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pined\Documents\HUMBERTO ACUÑA\LEY DE PRESUPUESTO DEL AÑO 2021\Formatos y Directivas de las entidades\Entidades\Vivienda\"/>
    </mc:Choice>
  </mc:AlternateContent>
  <xr:revisionPtr revIDLastSave="0" documentId="8_{43985226-4B97-4592-AD6C-1790237A322C}" xr6:coauthVersionLast="45" xr6:coauthVersionMax="45" xr10:uidLastSave="{00000000-0000-0000-0000-000000000000}"/>
  <bookViews>
    <workbookView xWindow="-120" yWindow="-120" windowWidth="20730" windowHeight="11160" xr2:uid="{00000000-000D-0000-FFFF-FFFF00000000}"/>
  </bookViews>
  <sheets>
    <sheet name="Índice" sheetId="1" r:id="rId1"/>
    <sheet name="F-01 " sheetId="2" r:id="rId2"/>
    <sheet name="F-02  " sheetId="3" r:id="rId3"/>
    <sheet name="F-03 " sheetId="4" r:id="rId4"/>
    <sheet name="F-04 " sheetId="5" r:id="rId5"/>
    <sheet name="F-05" sheetId="6" r:id="rId6"/>
    <sheet name="F-06" sheetId="7" r:id="rId7"/>
    <sheet name="F-07" sheetId="8" r:id="rId8"/>
    <sheet name="F-08" sheetId="9" r:id="rId9"/>
    <sheet name="F-09" sheetId="10" r:id="rId10"/>
    <sheet name="F-10" sheetId="11" r:id="rId11"/>
    <sheet name="F-11" sheetId="12" r:id="rId12"/>
    <sheet name="F-12 " sheetId="13" r:id="rId13"/>
    <sheet name="F-13" sheetId="14" r:id="rId14"/>
    <sheet name="F-14" sheetId="15" r:id="rId15"/>
    <sheet name="F-15" sheetId="16" r:id="rId16"/>
    <sheet name="F-16 " sheetId="17" r:id="rId17"/>
    <sheet name="F-17" sheetId="18" r:id="rId18"/>
    <sheet name="F-18" sheetId="19" r:id="rId19"/>
    <sheet name="Hoja1" sheetId="20" state="hidden" r:id="rId20"/>
  </sheets>
  <definedNames>
    <definedName name="_xlnm._FilterDatabase" localSheetId="13" hidden="1">'F-13'!$A$4:$R$123</definedName>
    <definedName name="_xlnm._FilterDatabase" localSheetId="14" hidden="1">'F-14'!$A$4:$J$207</definedName>
    <definedName name="_xlnm._FilterDatabase" localSheetId="15" hidden="1">'F-15'!$D$5:$F$94</definedName>
    <definedName name="_xlnm._FilterDatabase" localSheetId="17" hidden="1">'F-17'!$A$5:$Q$4856</definedName>
    <definedName name="_xlnm._FilterDatabase" localSheetId="18" hidden="1">'F-18'!$A$5:$N$125</definedName>
    <definedName name="dd" localSheetId="1">#REF!</definedName>
    <definedName name="dd" localSheetId="2">#REF!</definedName>
    <definedName name="dd" localSheetId="3">#REF!</definedName>
    <definedName name="dd" localSheetId="5">#REF!</definedName>
    <definedName name="dd" localSheetId="9">#REF!</definedName>
    <definedName name="dd" localSheetId="10">#REF!</definedName>
    <definedName name="dd" localSheetId="11">#REF!</definedName>
    <definedName name="dd" localSheetId="13">#REF!</definedName>
    <definedName name="dd" localSheetId="14">#REF!</definedName>
    <definedName name="dd" localSheetId="15">#REF!</definedName>
    <definedName name="dd" localSheetId="16">#REF!</definedName>
    <definedName name="dd" localSheetId="17">#REF!</definedName>
    <definedName name="dd" localSheetId="18">#REF!</definedName>
    <definedName name="dd">#REF!</definedName>
    <definedName name="DIRECREC" localSheetId="1">#REF!</definedName>
    <definedName name="DIRECREC" localSheetId="2">#REF!</definedName>
    <definedName name="DIRECREC" localSheetId="3">#REF!</definedName>
    <definedName name="DIRECREC" localSheetId="5">#REF!</definedName>
    <definedName name="DIRECREC" localSheetId="6">#REF!</definedName>
    <definedName name="DIRECREC" localSheetId="9">#REF!</definedName>
    <definedName name="DIRECREC" localSheetId="10">#REF!</definedName>
    <definedName name="DIRECREC" localSheetId="11">#REF!</definedName>
    <definedName name="DIRECREC" localSheetId="13">#REF!</definedName>
    <definedName name="DIRECREC" localSheetId="14">#REF!</definedName>
    <definedName name="DIRECREC" localSheetId="15">#REF!</definedName>
    <definedName name="DIRECREC" localSheetId="16">#REF!</definedName>
    <definedName name="DIRECREC" localSheetId="17">#REF!</definedName>
    <definedName name="DIRECREC" localSheetId="18">#REF!</definedName>
    <definedName name="DIRECREC">#REF!</definedName>
    <definedName name="DONAC" localSheetId="1">#REF!</definedName>
    <definedName name="DONAC" localSheetId="2">#REF!</definedName>
    <definedName name="DONAC" localSheetId="3">#REF!</definedName>
    <definedName name="DONAC" localSheetId="5">#REF!</definedName>
    <definedName name="DONAC" localSheetId="6">#REF!</definedName>
    <definedName name="DONAC" localSheetId="9">#REF!</definedName>
    <definedName name="DONAC" localSheetId="10">#REF!</definedName>
    <definedName name="DONAC" localSheetId="11">#REF!</definedName>
    <definedName name="DONAC" localSheetId="13">#REF!</definedName>
    <definedName name="DONAC" localSheetId="14">#REF!</definedName>
    <definedName name="DONAC" localSheetId="15">#REF!</definedName>
    <definedName name="DONAC" localSheetId="16">#REF!</definedName>
    <definedName name="DONAC" localSheetId="17">#REF!</definedName>
    <definedName name="DONAC" localSheetId="18">#REF!</definedName>
    <definedName name="DONAC">#REF!</definedName>
    <definedName name="EE" localSheetId="1">#REF!</definedName>
    <definedName name="EE" localSheetId="2">#REF!</definedName>
    <definedName name="EE" localSheetId="3">#REF!</definedName>
    <definedName name="EE" localSheetId="5">#REF!</definedName>
    <definedName name="EE" localSheetId="9">#REF!</definedName>
    <definedName name="EE" localSheetId="10">#REF!</definedName>
    <definedName name="EE" localSheetId="11">#REF!</definedName>
    <definedName name="EE" localSheetId="13">#REF!</definedName>
    <definedName name="EE" localSheetId="14">#REF!</definedName>
    <definedName name="EE" localSheetId="15">#REF!</definedName>
    <definedName name="EE" localSheetId="16">#REF!</definedName>
    <definedName name="EE" localSheetId="17">#REF!</definedName>
    <definedName name="EE" localSheetId="18">#REF!</definedName>
    <definedName name="EE">#REF!</definedName>
    <definedName name="RECORD" localSheetId="1">#REF!</definedName>
    <definedName name="RECORD" localSheetId="2">#REF!</definedName>
    <definedName name="RECORD" localSheetId="3">#REF!</definedName>
    <definedName name="RECORD" localSheetId="5">#REF!</definedName>
    <definedName name="RECORD" localSheetId="6">#REF!</definedName>
    <definedName name="RECORD" localSheetId="9">#REF!</definedName>
    <definedName name="RECORD" localSheetId="10">#REF!</definedName>
    <definedName name="RECORD" localSheetId="11">#REF!</definedName>
    <definedName name="RECORD" localSheetId="13">#REF!</definedName>
    <definedName name="RECORD" localSheetId="14">#REF!</definedName>
    <definedName name="RECORD" localSheetId="15">#REF!</definedName>
    <definedName name="RECORD" localSheetId="16">#REF!</definedName>
    <definedName name="RECORD" localSheetId="17">#REF!</definedName>
    <definedName name="RECORD" localSheetId="18">#REF!</definedName>
    <definedName name="RECORD">#REF!</definedName>
    <definedName name="RECPUB" localSheetId="1">#REF!</definedName>
    <definedName name="RECPUB" localSheetId="2">#REF!</definedName>
    <definedName name="RECPUB" localSheetId="3">#REF!</definedName>
    <definedName name="RECPUB" localSheetId="5">#REF!</definedName>
    <definedName name="RECPUB" localSheetId="6">#REF!</definedName>
    <definedName name="RECPUB" localSheetId="9">#REF!</definedName>
    <definedName name="RECPUB" localSheetId="10">#REF!</definedName>
    <definedName name="RECPUB" localSheetId="11">#REF!</definedName>
    <definedName name="RECPUB" localSheetId="13">#REF!</definedName>
    <definedName name="RECPUB" localSheetId="14">#REF!</definedName>
    <definedName name="RECPUB" localSheetId="15">#REF!</definedName>
    <definedName name="RECPUB" localSheetId="16">#REF!</definedName>
    <definedName name="RECPUB" localSheetId="17">#REF!</definedName>
    <definedName name="RECPUB" localSheetId="18">#REF!</definedName>
    <definedName name="RECPUB">#REF!</definedName>
    <definedName name="XPRINT" localSheetId="1">#REF!</definedName>
    <definedName name="XPRINT" localSheetId="2">#REF!</definedName>
    <definedName name="XPRINT" localSheetId="3">#REF!</definedName>
    <definedName name="XPRINT" localSheetId="5">#REF!</definedName>
    <definedName name="XPRINT" localSheetId="6">#REF!</definedName>
    <definedName name="XPRINT" localSheetId="9">#REF!</definedName>
    <definedName name="XPRINT" localSheetId="10">#REF!</definedName>
    <definedName name="XPRINT" localSheetId="11">#REF!</definedName>
    <definedName name="XPRINT" localSheetId="13">#REF!</definedName>
    <definedName name="XPRINT" localSheetId="14">#REF!</definedName>
    <definedName name="XPRINT" localSheetId="15">#REF!</definedName>
    <definedName name="XPRINT" localSheetId="16">#REF!</definedName>
    <definedName name="XPRINT" localSheetId="17">#REF!</definedName>
    <definedName name="XPRINT" localSheetId="18">#REF!</definedName>
    <definedName name="XPRINT">#REF!</definedName>
    <definedName name="XPRINT2" localSheetId="1">#REF!</definedName>
    <definedName name="XPRINT2" localSheetId="2">#REF!</definedName>
    <definedName name="XPRINT2" localSheetId="3">#REF!</definedName>
    <definedName name="XPRINT2" localSheetId="5">#REF!</definedName>
    <definedName name="XPRINT2" localSheetId="6">#REF!</definedName>
    <definedName name="XPRINT2" localSheetId="9">#REF!</definedName>
    <definedName name="XPRINT2" localSheetId="10">#REF!</definedName>
    <definedName name="XPRINT2" localSheetId="11">#REF!</definedName>
    <definedName name="XPRINT2" localSheetId="13">#REF!</definedName>
    <definedName name="XPRINT2" localSheetId="14">#REF!</definedName>
    <definedName name="XPRINT2" localSheetId="15">#REF!</definedName>
    <definedName name="XPRINT2" localSheetId="16">#REF!</definedName>
    <definedName name="XPRINT2" localSheetId="17">#REF!</definedName>
    <definedName name="XPRINT2" localSheetId="18">#REF!</definedName>
    <definedName name="XPRINT2">#REF!</definedName>
    <definedName name="XPRINT3" localSheetId="1">#REF!</definedName>
    <definedName name="XPRINT3" localSheetId="2">#REF!</definedName>
    <definedName name="XPRINT3" localSheetId="3">#REF!</definedName>
    <definedName name="XPRINT3" localSheetId="5">#REF!</definedName>
    <definedName name="XPRINT3" localSheetId="6">#REF!</definedName>
    <definedName name="XPRINT3" localSheetId="9">#REF!</definedName>
    <definedName name="XPRINT3" localSheetId="10">#REF!</definedName>
    <definedName name="XPRINT3" localSheetId="11">#REF!</definedName>
    <definedName name="XPRINT3" localSheetId="13">#REF!</definedName>
    <definedName name="XPRINT3" localSheetId="14">#REF!</definedName>
    <definedName name="XPRINT3" localSheetId="15">#REF!</definedName>
    <definedName name="XPRINT3" localSheetId="16">#REF!</definedName>
    <definedName name="XPRINT3" localSheetId="17">#REF!</definedName>
    <definedName name="XPRINT3" localSheetId="18">#REF!</definedName>
    <definedName name="XPRINT3">#REF!</definedName>
    <definedName name="XPRINT4" localSheetId="1">#REF!</definedName>
    <definedName name="XPRINT4" localSheetId="2">#REF!</definedName>
    <definedName name="XPRINT4" localSheetId="3">#REF!</definedName>
    <definedName name="XPRINT4" localSheetId="5">#REF!</definedName>
    <definedName name="XPRINT4" localSheetId="6">#REF!</definedName>
    <definedName name="XPRINT4" localSheetId="9">#REF!</definedName>
    <definedName name="XPRINT4" localSheetId="10">#REF!</definedName>
    <definedName name="XPRINT4" localSheetId="11">#REF!</definedName>
    <definedName name="XPRINT4" localSheetId="13">#REF!</definedName>
    <definedName name="XPRINT4" localSheetId="14">#REF!</definedName>
    <definedName name="XPRINT4" localSheetId="15">#REF!</definedName>
    <definedName name="XPRINT4" localSheetId="16">#REF!</definedName>
    <definedName name="XPRINT4" localSheetId="17">#REF!</definedName>
    <definedName name="XPRINT4" localSheetId="18">#REF!</definedName>
    <definedName name="XPRINT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8" i="19" l="1"/>
  <c r="K69" i="19"/>
  <c r="N69" i="19" s="1"/>
  <c r="N68" i="19"/>
  <c r="K67" i="19"/>
  <c r="N67" i="19" s="1"/>
  <c r="K66" i="19"/>
  <c r="N66" i="19" s="1"/>
  <c r="K65" i="19"/>
  <c r="N64" i="19"/>
  <c r="N63" i="19"/>
  <c r="D61" i="19"/>
  <c r="F60" i="19"/>
  <c r="D59" i="19"/>
  <c r="D60" i="19" s="1"/>
  <c r="N55" i="19"/>
  <c r="N53" i="19"/>
  <c r="M41" i="19"/>
  <c r="N40" i="19"/>
  <c r="M40" i="19"/>
  <c r="N37" i="19"/>
  <c r="N35" i="19"/>
  <c r="N33" i="19"/>
  <c r="M33" i="19"/>
  <c r="M32" i="19"/>
  <c r="M27" i="19"/>
  <c r="N26" i="19"/>
  <c r="M26" i="19"/>
  <c r="M25" i="19"/>
  <c r="N20" i="19"/>
  <c r="M20" i="19"/>
  <c r="N19" i="19"/>
  <c r="M19" i="19"/>
  <c r="N16" i="19"/>
  <c r="N14" i="19"/>
  <c r="N11" i="19"/>
  <c r="M7" i="19"/>
  <c r="M6" i="19"/>
  <c r="E4856" i="18"/>
  <c r="P4619" i="18"/>
  <c r="M4619" i="18"/>
  <c r="P4618" i="18"/>
  <c r="M4618" i="18"/>
  <c r="P4617" i="18"/>
  <c r="M4617" i="18"/>
  <c r="P4616" i="18"/>
  <c r="M4616" i="18"/>
  <c r="P4615" i="18"/>
  <c r="M4615" i="18"/>
  <c r="P4614" i="18"/>
  <c r="M4614" i="18"/>
  <c r="P4613" i="18"/>
  <c r="M4613" i="18"/>
  <c r="P4612" i="18"/>
  <c r="M4612" i="18"/>
  <c r="P4611" i="18"/>
  <c r="M4611" i="18"/>
  <c r="P4610" i="18"/>
  <c r="M4610" i="18"/>
  <c r="P4609" i="18"/>
  <c r="M4609" i="18"/>
  <c r="P4608" i="18"/>
  <c r="M4608" i="18"/>
  <c r="P4607" i="18"/>
  <c r="M4607" i="18"/>
  <c r="P4606" i="18"/>
  <c r="M4606" i="18"/>
  <c r="P4605" i="18"/>
  <c r="M4605" i="18"/>
  <c r="P4604" i="18"/>
  <c r="M4604" i="18"/>
  <c r="P4603" i="18"/>
  <c r="M4603" i="18"/>
  <c r="P4602" i="18"/>
  <c r="M4602" i="18"/>
  <c r="P4601" i="18"/>
  <c r="M4601" i="18"/>
  <c r="P4600" i="18"/>
  <c r="M4600" i="18"/>
  <c r="P4599" i="18"/>
  <c r="M4599" i="18"/>
  <c r="P4598" i="18"/>
  <c r="M4598" i="18"/>
  <c r="P4597" i="18"/>
  <c r="M4597" i="18"/>
  <c r="P4596" i="18"/>
  <c r="M4596" i="18"/>
  <c r="P4595" i="18"/>
  <c r="M4595" i="18"/>
  <c r="P4594" i="18"/>
  <c r="M4594" i="18"/>
  <c r="P4593" i="18"/>
  <c r="M4593" i="18"/>
  <c r="P4592" i="18"/>
  <c r="M4592" i="18"/>
  <c r="P4591" i="18"/>
  <c r="M4591" i="18"/>
  <c r="P4590" i="18"/>
  <c r="M4590" i="18"/>
  <c r="P4589" i="18"/>
  <c r="M4589" i="18"/>
  <c r="P4588" i="18"/>
  <c r="M4588" i="18"/>
  <c r="P4587" i="18"/>
  <c r="M4587" i="18"/>
  <c r="P4586" i="18"/>
  <c r="M4586" i="18"/>
  <c r="P4585" i="18"/>
  <c r="M4585" i="18"/>
  <c r="P4584" i="18"/>
  <c r="M4584" i="18"/>
  <c r="P4583" i="18"/>
  <c r="M4583" i="18"/>
  <c r="P4582" i="18"/>
  <c r="M4582" i="18"/>
  <c r="P4581" i="18"/>
  <c r="M4581" i="18"/>
  <c r="P4580" i="18"/>
  <c r="M4580" i="18"/>
  <c r="P4579" i="18"/>
  <c r="M4579" i="18"/>
  <c r="P4578" i="18"/>
  <c r="M4578" i="18"/>
  <c r="P4577" i="18"/>
  <c r="M4577" i="18"/>
  <c r="P4576" i="18"/>
  <c r="M4576" i="18"/>
  <c r="P4575" i="18"/>
  <c r="M4575" i="18"/>
  <c r="P4574" i="18"/>
  <c r="M4574" i="18"/>
  <c r="P4573" i="18"/>
  <c r="M4573" i="18"/>
  <c r="P4572" i="18"/>
  <c r="M4572" i="18"/>
  <c r="P4571" i="18"/>
  <c r="M4571" i="18"/>
  <c r="P4570" i="18"/>
  <c r="M4570" i="18"/>
  <c r="P4569" i="18"/>
  <c r="M4569" i="18"/>
  <c r="P4568" i="18"/>
  <c r="M4568" i="18"/>
  <c r="P4567" i="18"/>
  <c r="M4567" i="18"/>
  <c r="P4566" i="18"/>
  <c r="M4566" i="18"/>
  <c r="P4565" i="18"/>
  <c r="M4565" i="18"/>
  <c r="P4564" i="18"/>
  <c r="M4564" i="18"/>
  <c r="P4563" i="18"/>
  <c r="M4563" i="18"/>
  <c r="P4562" i="18"/>
  <c r="M4562" i="18"/>
  <c r="P4561" i="18"/>
  <c r="M4561" i="18"/>
  <c r="P4560" i="18"/>
  <c r="M4560" i="18"/>
  <c r="P4559" i="18"/>
  <c r="M4559" i="18"/>
  <c r="P4558" i="18"/>
  <c r="M4558" i="18"/>
  <c r="P4557" i="18"/>
  <c r="M4557" i="18"/>
  <c r="P4556" i="18"/>
  <c r="M4556" i="18"/>
  <c r="P4555" i="18"/>
  <c r="M4555" i="18"/>
  <c r="P4554" i="18"/>
  <c r="M4554" i="18"/>
  <c r="P4553" i="18"/>
  <c r="M4553" i="18"/>
  <c r="P4552" i="18"/>
  <c r="M4552" i="18"/>
  <c r="P4551" i="18"/>
  <c r="M4551" i="18"/>
  <c r="P4550" i="18"/>
  <c r="M4550" i="18"/>
  <c r="P4549" i="18"/>
  <c r="M4549" i="18"/>
  <c r="P4548" i="18"/>
  <c r="M4548" i="18"/>
  <c r="P4547" i="18"/>
  <c r="M4547" i="18"/>
  <c r="P4546" i="18"/>
  <c r="M4546" i="18"/>
  <c r="P4545" i="18"/>
  <c r="M4545" i="18"/>
  <c r="P4544" i="18"/>
  <c r="M4544" i="18"/>
  <c r="P4543" i="18"/>
  <c r="M4543" i="18"/>
  <c r="P4542" i="18"/>
  <c r="M4542" i="18"/>
  <c r="P4541" i="18"/>
  <c r="M4541" i="18"/>
  <c r="P4540" i="18"/>
  <c r="M4540" i="18"/>
  <c r="P4539" i="18"/>
  <c r="M4539" i="18"/>
  <c r="P4538" i="18"/>
  <c r="M4538" i="18"/>
  <c r="P4537" i="18"/>
  <c r="M4537" i="18"/>
  <c r="P4536" i="18"/>
  <c r="M4536" i="18"/>
  <c r="P4535" i="18"/>
  <c r="M4535" i="18"/>
  <c r="P4534" i="18"/>
  <c r="M4534" i="18"/>
  <c r="P4533" i="18"/>
  <c r="M4533" i="18"/>
  <c r="P4532" i="18"/>
  <c r="M4532" i="18"/>
  <c r="P4531" i="18"/>
  <c r="M4531" i="18"/>
  <c r="P4530" i="18"/>
  <c r="M4530" i="18"/>
  <c r="P4529" i="18"/>
  <c r="M4529" i="18"/>
  <c r="P4528" i="18"/>
  <c r="M4528" i="18"/>
  <c r="P4527" i="18"/>
  <c r="M4527" i="18"/>
  <c r="P4526" i="18"/>
  <c r="M4526" i="18"/>
  <c r="P4525" i="18"/>
  <c r="M4525" i="18"/>
  <c r="P4524" i="18"/>
  <c r="M4524" i="18"/>
  <c r="P4523" i="18"/>
  <c r="M4523" i="18"/>
  <c r="P4522" i="18"/>
  <c r="M4522" i="18"/>
  <c r="P4521" i="18"/>
  <c r="M4521" i="18"/>
  <c r="P4520" i="18"/>
  <c r="M4520" i="18"/>
  <c r="P4519" i="18"/>
  <c r="M4519" i="18"/>
  <c r="P4518" i="18"/>
  <c r="M4518" i="18"/>
  <c r="P4517" i="18"/>
  <c r="M4517" i="18"/>
  <c r="P4516" i="18"/>
  <c r="M4516" i="18"/>
  <c r="P4515" i="18"/>
  <c r="M4515" i="18"/>
  <c r="P4514" i="18"/>
  <c r="M4514" i="18"/>
  <c r="P4513" i="18"/>
  <c r="M4513" i="18"/>
  <c r="P4512" i="18"/>
  <c r="M4512" i="18"/>
  <c r="P4511" i="18"/>
  <c r="M4511" i="18"/>
  <c r="P4510" i="18"/>
  <c r="M4510" i="18"/>
  <c r="P4509" i="18"/>
  <c r="M4509" i="18"/>
  <c r="P4508" i="18"/>
  <c r="M4508" i="18"/>
  <c r="P4507" i="18"/>
  <c r="M4507" i="18"/>
  <c r="P4506" i="18"/>
  <c r="M4506" i="18"/>
  <c r="P4505" i="18"/>
  <c r="M4505" i="18"/>
  <c r="P4504" i="18"/>
  <c r="M4504" i="18"/>
  <c r="P4503" i="18"/>
  <c r="M4503" i="18"/>
  <c r="P4502" i="18"/>
  <c r="M4502" i="18"/>
  <c r="P4501" i="18"/>
  <c r="M4501" i="18"/>
  <c r="P4500" i="18"/>
  <c r="M4500" i="18"/>
  <c r="P4499" i="18"/>
  <c r="M4499" i="18"/>
  <c r="P4498" i="18"/>
  <c r="M4498" i="18"/>
  <c r="P4497" i="18"/>
  <c r="M4497" i="18"/>
  <c r="P4496" i="18"/>
  <c r="M4496" i="18"/>
  <c r="P4495" i="18"/>
  <c r="M4495" i="18"/>
  <c r="P4494" i="18"/>
  <c r="M4494" i="18"/>
  <c r="P4493" i="18"/>
  <c r="M4493" i="18"/>
  <c r="P4492" i="18"/>
  <c r="M4492" i="18"/>
  <c r="P4491" i="18"/>
  <c r="M4491" i="18"/>
  <c r="P4490" i="18"/>
  <c r="M4490" i="18"/>
  <c r="P4489" i="18"/>
  <c r="M4489" i="18"/>
  <c r="P4488" i="18"/>
  <c r="M4488" i="18"/>
  <c r="P4487" i="18"/>
  <c r="M4487" i="18"/>
  <c r="P4486" i="18"/>
  <c r="M4486" i="18"/>
  <c r="P4485" i="18"/>
  <c r="M4485" i="18"/>
  <c r="P4484" i="18"/>
  <c r="M4484" i="18"/>
  <c r="P4483" i="18"/>
  <c r="M4483" i="18"/>
  <c r="P4482" i="18"/>
  <c r="M4482" i="18"/>
  <c r="P4481" i="18"/>
  <c r="M4481" i="18"/>
  <c r="P4480" i="18"/>
  <c r="M4480" i="18"/>
  <c r="P4479" i="18"/>
  <c r="M4479" i="18"/>
  <c r="P4478" i="18"/>
  <c r="M4478" i="18"/>
  <c r="P4477" i="18"/>
  <c r="M4477" i="18"/>
  <c r="P4476" i="18"/>
  <c r="M4476" i="18"/>
  <c r="P4475" i="18"/>
  <c r="M4475" i="18"/>
  <c r="P4474" i="18"/>
  <c r="M4474" i="18"/>
  <c r="P4473" i="18"/>
  <c r="M4473" i="18"/>
  <c r="P4472" i="18"/>
  <c r="M4472" i="18"/>
  <c r="P4471" i="18"/>
  <c r="M4471" i="18"/>
  <c r="P4470" i="18"/>
  <c r="M4470" i="18"/>
  <c r="P4469" i="18"/>
  <c r="M4469" i="18"/>
  <c r="P4468" i="18"/>
  <c r="M4468" i="18"/>
  <c r="P4467" i="18"/>
  <c r="M4467" i="18"/>
  <c r="P4466" i="18"/>
  <c r="M4466" i="18"/>
  <c r="P4465" i="18"/>
  <c r="M4465" i="18"/>
  <c r="P4464" i="18"/>
  <c r="M4464" i="18"/>
  <c r="P4463" i="18"/>
  <c r="M4463" i="18"/>
  <c r="P4462" i="18"/>
  <c r="M4462" i="18"/>
  <c r="P4461" i="18"/>
  <c r="M4461" i="18"/>
  <c r="P4460" i="18"/>
  <c r="M4460" i="18"/>
  <c r="P4459" i="18"/>
  <c r="M4459" i="18"/>
  <c r="P4458" i="18"/>
  <c r="M4458" i="18"/>
  <c r="P4457" i="18"/>
  <c r="M4457" i="18"/>
  <c r="P4456" i="18"/>
  <c r="M4456" i="18"/>
  <c r="P4455" i="18"/>
  <c r="M4455" i="18"/>
  <c r="P4454" i="18"/>
  <c r="M4454" i="18"/>
  <c r="P4453" i="18"/>
  <c r="M4453" i="18"/>
  <c r="P4452" i="18"/>
  <c r="M4452" i="18"/>
  <c r="P4451" i="18"/>
  <c r="M4451" i="18"/>
  <c r="P4450" i="18"/>
  <c r="M4450" i="18"/>
  <c r="P4449" i="18"/>
  <c r="M4449" i="18"/>
  <c r="P4448" i="18"/>
  <c r="M4448" i="18"/>
  <c r="P4447" i="18"/>
  <c r="M4447" i="18"/>
  <c r="P4446" i="18"/>
  <c r="M4446" i="18"/>
  <c r="P4445" i="18"/>
  <c r="M4445" i="18"/>
  <c r="P4444" i="18"/>
  <c r="M4444" i="18"/>
  <c r="P4443" i="18"/>
  <c r="M4443" i="18"/>
  <c r="P4442" i="18"/>
  <c r="M4442" i="18"/>
  <c r="P4441" i="18"/>
  <c r="M4441" i="18"/>
  <c r="P4440" i="18"/>
  <c r="M4440" i="18"/>
  <c r="P4439" i="18"/>
  <c r="M4439" i="18"/>
  <c r="P4438" i="18"/>
  <c r="M4438" i="18"/>
  <c r="P4437" i="18"/>
  <c r="M4437" i="18"/>
  <c r="M2010" i="18"/>
  <c r="P1613" i="18"/>
  <c r="M1613" i="18"/>
  <c r="P1612" i="18"/>
  <c r="M1612" i="18"/>
  <c r="P1611" i="18"/>
  <c r="M1611" i="18"/>
  <c r="P1610" i="18"/>
  <c r="M1610" i="18"/>
  <c r="P1609" i="18"/>
  <c r="M1609" i="18"/>
  <c r="P1608" i="18"/>
  <c r="M1608" i="18"/>
  <c r="P1607" i="18"/>
  <c r="M1607" i="18"/>
  <c r="P1606" i="18"/>
  <c r="M1606" i="18"/>
  <c r="P1605" i="18"/>
  <c r="M1605" i="18"/>
  <c r="P1604" i="18"/>
  <c r="M1604" i="18"/>
  <c r="P1603" i="18"/>
  <c r="M1603" i="18"/>
  <c r="P1602" i="18"/>
  <c r="M1602" i="18"/>
  <c r="P1601" i="18"/>
  <c r="M1601" i="18"/>
  <c r="P1600" i="18"/>
  <c r="M1600" i="18"/>
  <c r="P1599" i="18"/>
  <c r="M1599" i="18"/>
  <c r="P1598" i="18"/>
  <c r="M1598" i="18"/>
  <c r="P1597" i="18"/>
  <c r="M1597" i="18"/>
  <c r="P1596" i="18"/>
  <c r="M1596" i="18"/>
  <c r="P1595" i="18"/>
  <c r="M1595" i="18"/>
  <c r="P1594" i="18"/>
  <c r="M1594" i="18"/>
  <c r="P1593" i="18"/>
  <c r="M1593" i="18"/>
  <c r="P1592" i="18"/>
  <c r="M1592" i="18"/>
  <c r="P1591" i="18"/>
  <c r="M1591" i="18"/>
  <c r="P1590" i="18"/>
  <c r="M1590" i="18"/>
  <c r="P1589" i="18"/>
  <c r="M1589" i="18"/>
  <c r="P1588" i="18"/>
  <c r="M1588" i="18"/>
  <c r="P1587" i="18"/>
  <c r="M1587" i="18"/>
  <c r="P1586" i="18"/>
  <c r="M1586" i="18"/>
  <c r="P1585" i="18"/>
  <c r="M1585" i="18"/>
  <c r="P1584" i="18"/>
  <c r="M1584" i="18"/>
  <c r="P1583" i="18"/>
  <c r="M1583" i="18"/>
  <c r="P1582" i="18"/>
  <c r="M1582" i="18"/>
  <c r="P1581" i="18"/>
  <c r="M1581" i="18"/>
  <c r="P1580" i="18"/>
  <c r="M1580" i="18"/>
  <c r="P1579" i="18"/>
  <c r="M1579" i="18"/>
  <c r="P1578" i="18"/>
  <c r="M1578" i="18"/>
  <c r="P1577" i="18"/>
  <c r="M1577" i="18"/>
  <c r="P1576" i="18"/>
  <c r="M1576" i="18"/>
  <c r="P1575" i="18"/>
  <c r="M1575" i="18"/>
  <c r="P1574" i="18"/>
  <c r="M1574" i="18"/>
  <c r="P1573" i="18"/>
  <c r="M1573" i="18"/>
  <c r="P1572" i="18"/>
  <c r="M1572" i="18"/>
  <c r="P1571" i="18"/>
  <c r="M1571" i="18"/>
  <c r="P1570" i="18"/>
  <c r="M1570" i="18"/>
  <c r="P1569" i="18"/>
  <c r="M1569" i="18"/>
  <c r="P1568" i="18"/>
  <c r="M1568" i="18"/>
  <c r="P1567" i="18"/>
  <c r="M1567" i="18"/>
  <c r="P1566" i="18"/>
  <c r="M1566" i="18"/>
  <c r="P1565" i="18"/>
  <c r="M1565" i="18"/>
  <c r="P1564" i="18"/>
  <c r="M1564" i="18"/>
  <c r="P1563" i="18"/>
  <c r="M1563" i="18"/>
  <c r="P1562" i="18"/>
  <c r="M1562" i="18"/>
  <c r="H255" i="17"/>
  <c r="G255" i="17"/>
  <c r="H233" i="17"/>
  <c r="G233" i="17"/>
  <c r="H214" i="17"/>
  <c r="G214" i="17"/>
  <c r="H164" i="17"/>
  <c r="G164" i="17"/>
  <c r="H139" i="17"/>
  <c r="G139" i="17"/>
  <c r="H120" i="17"/>
  <c r="G120" i="17"/>
  <c r="H73" i="17"/>
  <c r="G73" i="17"/>
  <c r="H41" i="17"/>
  <c r="G41" i="17"/>
  <c r="F94" i="16"/>
  <c r="E94" i="16"/>
  <c r="D86" i="16"/>
  <c r="D94" i="16" s="1"/>
  <c r="E207" i="15"/>
  <c r="J124" i="14"/>
  <c r="I124" i="14"/>
  <c r="H124" i="14"/>
  <c r="F124" i="14"/>
  <c r="P105" i="14"/>
  <c r="P104" i="14"/>
  <c r="D104" i="14"/>
  <c r="P103" i="14"/>
  <c r="P101" i="14"/>
  <c r="G85" i="14"/>
  <c r="G82" i="14"/>
  <c r="G81" i="14"/>
  <c r="G78" i="14"/>
  <c r="F38" i="13"/>
  <c r="E38" i="13"/>
  <c r="D38" i="13"/>
  <c r="C38" i="13"/>
  <c r="B38" i="13"/>
  <c r="J36" i="13"/>
  <c r="I36" i="13"/>
  <c r="H36" i="13"/>
  <c r="G36" i="13"/>
  <c r="I35" i="13"/>
  <c r="G35" i="13"/>
  <c r="I34" i="13"/>
  <c r="G34" i="13"/>
  <c r="J33" i="13"/>
  <c r="I33" i="13"/>
  <c r="H33" i="13"/>
  <c r="G33" i="13"/>
  <c r="I32" i="13"/>
  <c r="J32" i="13" s="1"/>
  <c r="H32" i="13"/>
  <c r="G32" i="13"/>
  <c r="J31" i="13"/>
  <c r="I31" i="13"/>
  <c r="H31" i="13"/>
  <c r="G31" i="13"/>
  <c r="I30" i="13"/>
  <c r="J30" i="13" s="1"/>
  <c r="H30" i="13"/>
  <c r="G30" i="13"/>
  <c r="I29" i="13"/>
  <c r="G29" i="13"/>
  <c r="J28" i="13"/>
  <c r="I28" i="13"/>
  <c r="G28" i="13"/>
  <c r="H28" i="13" s="1"/>
  <c r="J27" i="13"/>
  <c r="I27" i="13"/>
  <c r="H27" i="13"/>
  <c r="G27" i="13"/>
  <c r="J26" i="13"/>
  <c r="I26" i="13"/>
  <c r="G26" i="13"/>
  <c r="H26" i="13" s="1"/>
  <c r="J25" i="13"/>
  <c r="I25" i="13"/>
  <c r="H25" i="13"/>
  <c r="G25" i="13"/>
  <c r="J24" i="13"/>
  <c r="I24" i="13"/>
  <c r="G24" i="13"/>
  <c r="H24" i="13" s="1"/>
  <c r="J23" i="13"/>
  <c r="I23" i="13"/>
  <c r="H23" i="13"/>
  <c r="G23" i="13"/>
  <c r="J22" i="13"/>
  <c r="I22" i="13"/>
  <c r="G22" i="13"/>
  <c r="H22" i="13" s="1"/>
  <c r="J21" i="13"/>
  <c r="I21" i="13"/>
  <c r="H21" i="13"/>
  <c r="G21" i="13"/>
  <c r="J20" i="13"/>
  <c r="I20" i="13"/>
  <c r="G20" i="13"/>
  <c r="H20" i="13" s="1"/>
  <c r="J19" i="13"/>
  <c r="I19" i="13"/>
  <c r="H19" i="13"/>
  <c r="G19" i="13"/>
  <c r="J18" i="13"/>
  <c r="I18" i="13"/>
  <c r="G18" i="13"/>
  <c r="H18" i="13" s="1"/>
  <c r="J17" i="13"/>
  <c r="I17" i="13"/>
  <c r="H17" i="13"/>
  <c r="G17" i="13"/>
  <c r="J16" i="13"/>
  <c r="I16" i="13"/>
  <c r="G16" i="13"/>
  <c r="H16" i="13" s="1"/>
  <c r="J15" i="13"/>
  <c r="I15" i="13"/>
  <c r="H15" i="13"/>
  <c r="G15" i="13"/>
  <c r="J14" i="13"/>
  <c r="I14" i="13"/>
  <c r="G14" i="13"/>
  <c r="H14" i="13" s="1"/>
  <c r="I13" i="13"/>
  <c r="G13" i="13"/>
  <c r="J12" i="13"/>
  <c r="I12" i="13"/>
  <c r="H12" i="13"/>
  <c r="G12" i="13"/>
  <c r="I11" i="13"/>
  <c r="J11" i="13" s="1"/>
  <c r="H11" i="13"/>
  <c r="G11" i="13"/>
  <c r="J10" i="13"/>
  <c r="I10" i="13"/>
  <c r="H10" i="13"/>
  <c r="G10" i="13"/>
  <c r="I9" i="13"/>
  <c r="G9" i="13"/>
  <c r="G38" i="13" s="1"/>
  <c r="H38" i="13" s="1"/>
  <c r="I8" i="13"/>
  <c r="G8" i="13"/>
  <c r="J7" i="13"/>
  <c r="I7" i="13"/>
  <c r="H7" i="13"/>
  <c r="G7" i="13"/>
  <c r="I6" i="13"/>
  <c r="J6" i="13" s="1"/>
  <c r="H6" i="13"/>
  <c r="G6" i="13"/>
  <c r="AE133" i="12"/>
  <c r="AE134" i="12" s="1"/>
  <c r="AI132" i="12"/>
  <c r="AI133" i="12" s="1"/>
  <c r="W129" i="12"/>
  <c r="AI126" i="12"/>
  <c r="AH126" i="12"/>
  <c r="AE126" i="12"/>
  <c r="AD126" i="12"/>
  <c r="AC126" i="12"/>
  <c r="AB126" i="12"/>
  <c r="AA126" i="12"/>
  <c r="Z126" i="12"/>
  <c r="Y126" i="12"/>
  <c r="X126" i="12"/>
  <c r="W126" i="12"/>
  <c r="V126" i="12"/>
  <c r="U126" i="12"/>
  <c r="T126" i="12"/>
  <c r="T129" i="12" s="1"/>
  <c r="S126" i="12"/>
  <c r="R126" i="12"/>
  <c r="Q126" i="12"/>
  <c r="P126" i="12"/>
  <c r="AG126" i="12" s="1"/>
  <c r="O126" i="12"/>
  <c r="N126" i="12"/>
  <c r="M126" i="12"/>
  <c r="L126" i="12"/>
  <c r="K126" i="12"/>
  <c r="J126" i="12"/>
  <c r="I126" i="12"/>
  <c r="H126" i="12"/>
  <c r="G126" i="12"/>
  <c r="G129" i="12" s="1"/>
  <c r="F126" i="12"/>
  <c r="E126" i="12"/>
  <c r="D126" i="12"/>
  <c r="C126" i="12"/>
  <c r="B126" i="12"/>
  <c r="AI114" i="12"/>
  <c r="AH114" i="12"/>
  <c r="AB114" i="12"/>
  <c r="AA114" i="12"/>
  <c r="Y114" i="12"/>
  <c r="X114" i="12"/>
  <c r="W114" i="12"/>
  <c r="V114" i="12"/>
  <c r="U114" i="12"/>
  <c r="T114" i="12"/>
  <c r="S114" i="12"/>
  <c r="R114" i="12"/>
  <c r="Q114" i="12"/>
  <c r="M114" i="12"/>
  <c r="L114" i="12"/>
  <c r="K114" i="12"/>
  <c r="J114" i="12"/>
  <c r="I114" i="12"/>
  <c r="H114" i="12"/>
  <c r="G114" i="12"/>
  <c r="F114" i="12"/>
  <c r="E114" i="12"/>
  <c r="D114" i="12"/>
  <c r="C114" i="12"/>
  <c r="B114" i="12"/>
  <c r="AD113" i="12"/>
  <c r="AE113" i="12" s="1"/>
  <c r="P113" i="12"/>
  <c r="O113" i="12"/>
  <c r="AF113" i="12" s="1"/>
  <c r="AC112" i="12"/>
  <c r="Z112" i="12"/>
  <c r="Z114" i="12" s="1"/>
  <c r="N112" i="12"/>
  <c r="N114" i="12" s="1"/>
  <c r="K112" i="12"/>
  <c r="AI109" i="12"/>
  <c r="AH109" i="12"/>
  <c r="R109" i="12"/>
  <c r="Q109" i="12"/>
  <c r="C109" i="12"/>
  <c r="B109" i="12"/>
  <c r="AC107" i="12"/>
  <c r="AA107" i="12"/>
  <c r="R107" i="12"/>
  <c r="Z107" i="12" s="1"/>
  <c r="AD107" i="12" s="1"/>
  <c r="AE107" i="12" s="1"/>
  <c r="N107" i="12"/>
  <c r="L107" i="12"/>
  <c r="C107" i="12"/>
  <c r="K107" i="12" s="1"/>
  <c r="O107" i="12" s="1"/>
  <c r="AC105" i="12"/>
  <c r="AA105" i="12"/>
  <c r="R105" i="12"/>
  <c r="Z105" i="12" s="1"/>
  <c r="AD105" i="12" s="1"/>
  <c r="AE105" i="12" s="1"/>
  <c r="L105" i="12"/>
  <c r="N105" i="12" s="1"/>
  <c r="K105" i="12"/>
  <c r="O105" i="12" s="1"/>
  <c r="C105" i="12"/>
  <c r="AA103" i="12"/>
  <c r="AC103" i="12" s="1"/>
  <c r="Z103" i="12"/>
  <c r="AD103" i="12" s="1"/>
  <c r="AE103" i="12" s="1"/>
  <c r="R103" i="12"/>
  <c r="L103" i="12"/>
  <c r="L109" i="12" s="1"/>
  <c r="L129" i="12" s="1"/>
  <c r="K103" i="12"/>
  <c r="O103" i="12" s="1"/>
  <c r="C103" i="12"/>
  <c r="AA101" i="12"/>
  <c r="AC101" i="12" s="1"/>
  <c r="Z101" i="12"/>
  <c r="AD101" i="12" s="1"/>
  <c r="AE101" i="12" s="1"/>
  <c r="R101" i="12"/>
  <c r="L101" i="12"/>
  <c r="N101" i="12" s="1"/>
  <c r="C101" i="12"/>
  <c r="K101" i="12" s="1"/>
  <c r="O101" i="12" s="1"/>
  <c r="AF101" i="12" s="1"/>
  <c r="AA99" i="12"/>
  <c r="AC99" i="12" s="1"/>
  <c r="Z99" i="12"/>
  <c r="AD99" i="12" s="1"/>
  <c r="AE99" i="12" s="1"/>
  <c r="R99" i="12"/>
  <c r="L99" i="12"/>
  <c r="N99" i="12" s="1"/>
  <c r="K99" i="12"/>
  <c r="AI93" i="12"/>
  <c r="AH93" i="12"/>
  <c r="AB93" i="12"/>
  <c r="AA93" i="12"/>
  <c r="X93" i="12"/>
  <c r="W93" i="12"/>
  <c r="V93" i="12"/>
  <c r="U93" i="12"/>
  <c r="T93" i="12"/>
  <c r="S93" i="12"/>
  <c r="R93" i="12"/>
  <c r="Q93" i="12"/>
  <c r="M93" i="12"/>
  <c r="L93" i="12"/>
  <c r="I93" i="12"/>
  <c r="H93" i="12"/>
  <c r="G93" i="12"/>
  <c r="F93" i="12"/>
  <c r="E93" i="12"/>
  <c r="D93" i="12"/>
  <c r="C93" i="12"/>
  <c r="B93" i="12"/>
  <c r="N90" i="12"/>
  <c r="J90" i="12"/>
  <c r="K90" i="12" s="1"/>
  <c r="O90" i="12" s="1"/>
  <c r="AC89" i="12"/>
  <c r="Y89" i="12"/>
  <c r="Z89" i="12" s="1"/>
  <c r="N89" i="12"/>
  <c r="O89" i="12" s="1"/>
  <c r="K89" i="12"/>
  <c r="J89" i="12"/>
  <c r="AC88" i="12"/>
  <c r="Y88" i="12"/>
  <c r="Z88" i="12" s="1"/>
  <c r="AD88" i="12" s="1"/>
  <c r="AE88" i="12" s="1"/>
  <c r="N88" i="12"/>
  <c r="J88" i="12"/>
  <c r="K88" i="12" s="1"/>
  <c r="O88" i="12" s="1"/>
  <c r="AC87" i="12"/>
  <c r="Y87" i="12"/>
  <c r="Z87" i="12" s="1"/>
  <c r="N87" i="12"/>
  <c r="K87" i="12"/>
  <c r="O87" i="12" s="1"/>
  <c r="P87" i="12" s="1"/>
  <c r="J87" i="12"/>
  <c r="AC86" i="12"/>
  <c r="Z86" i="12"/>
  <c r="Y86" i="12"/>
  <c r="N86" i="12"/>
  <c r="J86" i="12"/>
  <c r="K86" i="12" s="1"/>
  <c r="O86" i="12" s="1"/>
  <c r="AC85" i="12"/>
  <c r="Y85" i="12"/>
  <c r="Z85" i="12" s="1"/>
  <c r="N85" i="12"/>
  <c r="K85" i="12"/>
  <c r="O85" i="12" s="1"/>
  <c r="J85" i="12"/>
  <c r="AC84" i="12"/>
  <c r="Y84" i="12"/>
  <c r="Z84" i="12" s="1"/>
  <c r="AD84" i="12" s="1"/>
  <c r="AE84" i="12" s="1"/>
  <c r="N84" i="12"/>
  <c r="J84" i="12"/>
  <c r="K84" i="12" s="1"/>
  <c r="O84" i="12" s="1"/>
  <c r="AC82" i="12"/>
  <c r="Y82" i="12"/>
  <c r="Z82" i="12" s="1"/>
  <c r="N82" i="12"/>
  <c r="K82" i="12"/>
  <c r="O82" i="12" s="1"/>
  <c r="J82" i="12"/>
  <c r="AC81" i="12"/>
  <c r="Y81" i="12"/>
  <c r="Z81" i="12" s="1"/>
  <c r="AD81" i="12" s="1"/>
  <c r="AE81" i="12" s="1"/>
  <c r="N81" i="12"/>
  <c r="J81" i="12"/>
  <c r="K81" i="12" s="1"/>
  <c r="O81" i="12" s="1"/>
  <c r="AC80" i="12"/>
  <c r="Y80" i="12"/>
  <c r="Z80" i="12" s="1"/>
  <c r="N80" i="12"/>
  <c r="K80" i="12"/>
  <c r="O80" i="12" s="1"/>
  <c r="J80" i="12"/>
  <c r="AC79" i="12"/>
  <c r="Y79" i="12"/>
  <c r="Z79" i="12" s="1"/>
  <c r="AD79" i="12" s="1"/>
  <c r="AE79" i="12" s="1"/>
  <c r="N79" i="12"/>
  <c r="J79" i="12"/>
  <c r="K79" i="12" s="1"/>
  <c r="O79" i="12" s="1"/>
  <c r="Z77" i="12"/>
  <c r="AD77" i="12" s="1"/>
  <c r="AE77" i="12" s="1"/>
  <c r="K77" i="12"/>
  <c r="O77" i="12" s="1"/>
  <c r="P77" i="12" s="1"/>
  <c r="AG77" i="12" s="1"/>
  <c r="AC76" i="12"/>
  <c r="Y76" i="12"/>
  <c r="Z76" i="12" s="1"/>
  <c r="N76" i="12"/>
  <c r="K76" i="12"/>
  <c r="O76" i="12" s="1"/>
  <c r="J76" i="12"/>
  <c r="AC75" i="12"/>
  <c r="Y75" i="12"/>
  <c r="Z75" i="12" s="1"/>
  <c r="AD75" i="12" s="1"/>
  <c r="AE75" i="12" s="1"/>
  <c r="N75" i="12"/>
  <c r="J75" i="12"/>
  <c r="K75" i="12" s="1"/>
  <c r="O75" i="12" s="1"/>
  <c r="AC74" i="12"/>
  <c r="Y74" i="12"/>
  <c r="Z74" i="12" s="1"/>
  <c r="N74" i="12"/>
  <c r="K74" i="12"/>
  <c r="O74" i="12" s="1"/>
  <c r="P74" i="12" s="1"/>
  <c r="J74" i="12"/>
  <c r="AC73" i="12"/>
  <c r="Y73" i="12"/>
  <c r="Z73" i="12" s="1"/>
  <c r="N73" i="12"/>
  <c r="J73" i="12"/>
  <c r="K73" i="12" s="1"/>
  <c r="O73" i="12" s="1"/>
  <c r="AC72" i="12"/>
  <c r="Y72" i="12"/>
  <c r="Z72" i="12" s="1"/>
  <c r="N72" i="12"/>
  <c r="J72" i="12"/>
  <c r="J93" i="12" s="1"/>
  <c r="AC71" i="12"/>
  <c r="Y71" i="12"/>
  <c r="Z71" i="12" s="1"/>
  <c r="N71" i="12"/>
  <c r="K71" i="12"/>
  <c r="O71" i="12" s="1"/>
  <c r="J71" i="12"/>
  <c r="AC70" i="12"/>
  <c r="Y70" i="12"/>
  <c r="Z70" i="12" s="1"/>
  <c r="AD70" i="12" s="1"/>
  <c r="AE70" i="12" s="1"/>
  <c r="N70" i="12"/>
  <c r="J70" i="12"/>
  <c r="K70" i="12" s="1"/>
  <c r="O70" i="12" s="1"/>
  <c r="AC69" i="12"/>
  <c r="Z69" i="12"/>
  <c r="Y69" i="12"/>
  <c r="N69" i="12"/>
  <c r="K69" i="12"/>
  <c r="O69" i="12" s="1"/>
  <c r="J69" i="12"/>
  <c r="AB63" i="12"/>
  <c r="Y63" i="12"/>
  <c r="X63" i="12"/>
  <c r="W63" i="12"/>
  <c r="V63" i="12"/>
  <c r="U63" i="12"/>
  <c r="T63" i="12"/>
  <c r="M63" i="12"/>
  <c r="J63" i="12"/>
  <c r="I63" i="12"/>
  <c r="H63" i="12"/>
  <c r="G63" i="12"/>
  <c r="F63" i="12"/>
  <c r="E63" i="12"/>
  <c r="D63" i="12"/>
  <c r="AA52" i="12"/>
  <c r="AA63" i="12" s="1"/>
  <c r="Z52" i="12"/>
  <c r="L52" i="12"/>
  <c r="L63" i="12" s="1"/>
  <c r="K52" i="12"/>
  <c r="AC51" i="12"/>
  <c r="S51" i="12"/>
  <c r="Z51" i="12" s="1"/>
  <c r="R51" i="12"/>
  <c r="N51" i="12"/>
  <c r="K51" i="12"/>
  <c r="O51" i="12" s="1"/>
  <c r="B51" i="12"/>
  <c r="AG50" i="12"/>
  <c r="Z50" i="12"/>
  <c r="O50" i="12"/>
  <c r="AF50" i="12" s="1"/>
  <c r="K50" i="12"/>
  <c r="AG49" i="12"/>
  <c r="Z49" i="12"/>
  <c r="O49" i="12"/>
  <c r="AF49" i="12" s="1"/>
  <c r="K49" i="12"/>
  <c r="AG48" i="12"/>
  <c r="Z48" i="12"/>
  <c r="O48" i="12"/>
  <c r="AF48" i="12" s="1"/>
  <c r="K48" i="12"/>
  <c r="AC47" i="12"/>
  <c r="S47" i="12"/>
  <c r="R47" i="12"/>
  <c r="Z47" i="12" s="1"/>
  <c r="AD47" i="12" s="1"/>
  <c r="AE47" i="12" s="1"/>
  <c r="N47" i="12"/>
  <c r="K47" i="12"/>
  <c r="AC46" i="12"/>
  <c r="S46" i="12"/>
  <c r="Z46" i="12" s="1"/>
  <c r="R46" i="12"/>
  <c r="N46" i="12"/>
  <c r="K46" i="12"/>
  <c r="AC45" i="12"/>
  <c r="S45" i="12"/>
  <c r="R45" i="12"/>
  <c r="Z45" i="12" s="1"/>
  <c r="AD45" i="12" s="1"/>
  <c r="AE45" i="12" s="1"/>
  <c r="N45" i="12"/>
  <c r="K45" i="12"/>
  <c r="O45" i="12" s="1"/>
  <c r="AG44" i="12"/>
  <c r="K44" i="12"/>
  <c r="O44" i="12" s="1"/>
  <c r="AF44" i="12" s="1"/>
  <c r="AG43" i="12"/>
  <c r="K43" i="12"/>
  <c r="O43" i="12" s="1"/>
  <c r="AF43" i="12" s="1"/>
  <c r="AI42" i="12"/>
  <c r="AC42" i="12"/>
  <c r="Z42" i="12"/>
  <c r="K42" i="12"/>
  <c r="O42" i="12" s="1"/>
  <c r="P42" i="12" s="1"/>
  <c r="AG41" i="12"/>
  <c r="K41" i="12"/>
  <c r="O41" i="12" s="1"/>
  <c r="AF41" i="12" s="1"/>
  <c r="AC40" i="12"/>
  <c r="S40" i="12"/>
  <c r="R40" i="12"/>
  <c r="N40" i="12"/>
  <c r="K40" i="12"/>
  <c r="AC39" i="12"/>
  <c r="S39" i="12"/>
  <c r="R39" i="12"/>
  <c r="N39" i="12"/>
  <c r="K39" i="12"/>
  <c r="AC38" i="12"/>
  <c r="S38" i="12"/>
  <c r="R38" i="12"/>
  <c r="N38" i="12"/>
  <c r="O38" i="12" s="1"/>
  <c r="K38" i="12"/>
  <c r="AC37" i="12"/>
  <c r="S37" i="12"/>
  <c r="R37" i="12"/>
  <c r="N37" i="12"/>
  <c r="K37" i="12"/>
  <c r="B37" i="12"/>
  <c r="AG36" i="12"/>
  <c r="AF36" i="12"/>
  <c r="K36" i="12"/>
  <c r="O36" i="12" s="1"/>
  <c r="N35" i="12"/>
  <c r="K35" i="12"/>
  <c r="O35" i="12" s="1"/>
  <c r="AG34" i="12"/>
  <c r="O34" i="12"/>
  <c r="AF34" i="12" s="1"/>
  <c r="N34" i="12"/>
  <c r="AC33" i="12"/>
  <c r="S33" i="12"/>
  <c r="Z33" i="12" s="1"/>
  <c r="AD33" i="12" s="1"/>
  <c r="AE33" i="12" s="1"/>
  <c r="R33" i="12"/>
  <c r="N33" i="12"/>
  <c r="K33" i="12"/>
  <c r="AH32" i="12"/>
  <c r="AC32" i="12"/>
  <c r="S32" i="12"/>
  <c r="R32" i="12"/>
  <c r="Z32" i="12" s="1"/>
  <c r="Q32" i="12"/>
  <c r="N32" i="12"/>
  <c r="K32" i="12"/>
  <c r="B32" i="12"/>
  <c r="AC31" i="12"/>
  <c r="S31" i="12"/>
  <c r="R31" i="12"/>
  <c r="Z31" i="12" s="1"/>
  <c r="AD31" i="12" s="1"/>
  <c r="AE31" i="12" s="1"/>
  <c r="N31" i="12"/>
  <c r="K31" i="12"/>
  <c r="B31" i="12"/>
  <c r="AI30" i="12"/>
  <c r="AI63" i="12" s="1"/>
  <c r="AC30" i="12"/>
  <c r="S30" i="12"/>
  <c r="R30" i="12"/>
  <c r="Z30" i="12" s="1"/>
  <c r="AD30" i="12" s="1"/>
  <c r="AE30" i="12" s="1"/>
  <c r="N30" i="12"/>
  <c r="K30" i="12"/>
  <c r="O30" i="12" s="1"/>
  <c r="B30" i="12"/>
  <c r="AG29" i="12"/>
  <c r="AD29" i="12"/>
  <c r="K29" i="12"/>
  <c r="O29" i="12" s="1"/>
  <c r="AF29" i="12" s="1"/>
  <c r="O28" i="12"/>
  <c r="N28" i="12"/>
  <c r="K28" i="12"/>
  <c r="AG27" i="12"/>
  <c r="AF27" i="12"/>
  <c r="AG26" i="12"/>
  <c r="AD26" i="12"/>
  <c r="AF26" i="12" s="1"/>
  <c r="AC25" i="12"/>
  <c r="S25" i="12"/>
  <c r="R25" i="12"/>
  <c r="N25" i="12"/>
  <c r="K25" i="12"/>
  <c r="O25" i="12" s="1"/>
  <c r="AC24" i="12"/>
  <c r="S24" i="12"/>
  <c r="R24" i="12"/>
  <c r="Z24" i="12" s="1"/>
  <c r="AD24" i="12" s="1"/>
  <c r="AE24" i="12" s="1"/>
  <c r="N24" i="12"/>
  <c r="K24" i="12"/>
  <c r="O24" i="12" s="1"/>
  <c r="P24" i="12" s="1"/>
  <c r="AC23" i="12"/>
  <c r="S23" i="12"/>
  <c r="R23" i="12"/>
  <c r="Z23" i="12" s="1"/>
  <c r="AD23" i="12" s="1"/>
  <c r="N23" i="12"/>
  <c r="K23" i="12"/>
  <c r="O23" i="12" s="1"/>
  <c r="P23" i="12" s="1"/>
  <c r="AH22" i="12"/>
  <c r="AC22" i="12"/>
  <c r="S22" i="12"/>
  <c r="R22" i="12"/>
  <c r="Q22" i="12"/>
  <c r="N22" i="12"/>
  <c r="K22" i="12"/>
  <c r="B22" i="12"/>
  <c r="AC21" i="12"/>
  <c r="S21" i="12"/>
  <c r="R21" i="12"/>
  <c r="Z21" i="12" s="1"/>
  <c r="N21" i="12"/>
  <c r="K21" i="12"/>
  <c r="B21" i="12"/>
  <c r="AG20" i="12"/>
  <c r="Z20" i="12"/>
  <c r="K20" i="12"/>
  <c r="O20" i="12" s="1"/>
  <c r="AF20" i="12" s="1"/>
  <c r="N19" i="12"/>
  <c r="K19" i="12"/>
  <c r="O19" i="12" s="1"/>
  <c r="AH18" i="12"/>
  <c r="AH63" i="12" s="1"/>
  <c r="AC18" i="12"/>
  <c r="S18" i="12"/>
  <c r="R18" i="12"/>
  <c r="Q18" i="12"/>
  <c r="Q63" i="12" s="1"/>
  <c r="N18" i="12"/>
  <c r="K18" i="12"/>
  <c r="B18" i="12"/>
  <c r="AC17" i="12"/>
  <c r="S17" i="12"/>
  <c r="R17" i="12"/>
  <c r="N17" i="12"/>
  <c r="K17" i="12"/>
  <c r="AC16" i="12"/>
  <c r="S16" i="12"/>
  <c r="R16" i="12"/>
  <c r="Z16" i="12" s="1"/>
  <c r="AD16" i="12" s="1"/>
  <c r="AE16" i="12" s="1"/>
  <c r="N16" i="12"/>
  <c r="K16" i="12"/>
  <c r="B16" i="12"/>
  <c r="AC15" i="12"/>
  <c r="S15" i="12"/>
  <c r="R15" i="12"/>
  <c r="Z15" i="12" s="1"/>
  <c r="AD15" i="12" s="1"/>
  <c r="AE15" i="12" s="1"/>
  <c r="N15" i="12"/>
  <c r="K15" i="12"/>
  <c r="AC14" i="12"/>
  <c r="AD14" i="12" s="1"/>
  <c r="AE14" i="12" s="1"/>
  <c r="N14" i="12"/>
  <c r="C14" i="12"/>
  <c r="K14" i="12" s="1"/>
  <c r="O14" i="12" s="1"/>
  <c r="AC13" i="12"/>
  <c r="S13" i="12"/>
  <c r="R13" i="12"/>
  <c r="Z13" i="12" s="1"/>
  <c r="AD13" i="12" s="1"/>
  <c r="N13" i="12"/>
  <c r="K13" i="12"/>
  <c r="O13" i="12" s="1"/>
  <c r="P13" i="12" s="1"/>
  <c r="AD12" i="12"/>
  <c r="AE12" i="12" s="1"/>
  <c r="AC12" i="12"/>
  <c r="Z12" i="12"/>
  <c r="N12" i="12"/>
  <c r="K12" i="12"/>
  <c r="O12" i="12" s="1"/>
  <c r="AC11" i="12"/>
  <c r="Z11" i="12"/>
  <c r="AD11" i="12" s="1"/>
  <c r="AE11" i="12" s="1"/>
  <c r="N11" i="12"/>
  <c r="K11" i="12"/>
  <c r="AC10" i="12"/>
  <c r="Z10" i="12"/>
  <c r="AD10" i="12" s="1"/>
  <c r="N10" i="12"/>
  <c r="K10" i="12"/>
  <c r="O10" i="12" s="1"/>
  <c r="H31" i="11"/>
  <c r="I30" i="11"/>
  <c r="H30" i="11"/>
  <c r="I29" i="11"/>
  <c r="H29" i="11"/>
  <c r="I28" i="11"/>
  <c r="H28" i="11"/>
  <c r="H27" i="11"/>
  <c r="G27" i="11"/>
  <c r="I27" i="11" s="1"/>
  <c r="E27" i="11"/>
  <c r="C27" i="11"/>
  <c r="H26" i="11"/>
  <c r="E26" i="11"/>
  <c r="I26" i="11" s="1"/>
  <c r="X25" i="11"/>
  <c r="I25" i="11"/>
  <c r="H25" i="11"/>
  <c r="I24" i="11"/>
  <c r="H24" i="11"/>
  <c r="H23" i="11"/>
  <c r="G23" i="11"/>
  <c r="I23" i="11" s="1"/>
  <c r="E23" i="11"/>
  <c r="C23" i="11"/>
  <c r="I22" i="11"/>
  <c r="G22" i="11"/>
  <c r="F22" i="11"/>
  <c r="E22" i="11"/>
  <c r="D22" i="11"/>
  <c r="C22" i="11"/>
  <c r="B22" i="11"/>
  <c r="G21" i="11"/>
  <c r="I21" i="11" s="1"/>
  <c r="F21" i="11"/>
  <c r="H21" i="11" s="1"/>
  <c r="E21" i="11"/>
  <c r="D21" i="11"/>
  <c r="I20" i="11"/>
  <c r="H20" i="11"/>
  <c r="G20" i="11"/>
  <c r="H19" i="11"/>
  <c r="G19" i="11"/>
  <c r="I19" i="11" s="1"/>
  <c r="F19" i="11"/>
  <c r="E19" i="11"/>
  <c r="D19" i="11"/>
  <c r="C19" i="11"/>
  <c r="B19" i="11"/>
  <c r="I18" i="11"/>
  <c r="H18" i="11"/>
  <c r="I17" i="11"/>
  <c r="G17" i="11"/>
  <c r="F17" i="11"/>
  <c r="E17" i="11"/>
  <c r="D17" i="11"/>
  <c r="C17" i="11"/>
  <c r="B17" i="11"/>
  <c r="I16" i="11"/>
  <c r="H16" i="11"/>
  <c r="I15" i="11"/>
  <c r="H15" i="11"/>
  <c r="I14" i="11"/>
  <c r="H14" i="11"/>
  <c r="G13" i="11"/>
  <c r="F13" i="11"/>
  <c r="H13" i="11" s="1"/>
  <c r="E13" i="11"/>
  <c r="C13" i="11"/>
  <c r="B13" i="11"/>
  <c r="I12" i="11"/>
  <c r="H12" i="11"/>
  <c r="G11" i="11"/>
  <c r="F11" i="11"/>
  <c r="E11" i="11"/>
  <c r="D11" i="11"/>
  <c r="H11" i="11" s="1"/>
  <c r="C11" i="11"/>
  <c r="B11" i="11"/>
  <c r="I10" i="11"/>
  <c r="H10" i="11"/>
  <c r="G9" i="11"/>
  <c r="F9" i="11"/>
  <c r="H9" i="11" s="1"/>
  <c r="E9" i="11"/>
  <c r="I9" i="11" s="1"/>
  <c r="D9" i="11"/>
  <c r="C9" i="11"/>
  <c r="B9" i="11"/>
  <c r="I8" i="11"/>
  <c r="H8" i="11"/>
  <c r="G7" i="11"/>
  <c r="I7" i="11" s="1"/>
  <c r="F7" i="11"/>
  <c r="D7" i="11"/>
  <c r="B7" i="11"/>
  <c r="G6" i="11"/>
  <c r="I6" i="11" s="1"/>
  <c r="F6" i="11"/>
  <c r="H6" i="11" s="1"/>
  <c r="E6" i="11"/>
  <c r="D6" i="11"/>
  <c r="C6" i="11"/>
  <c r="C31" i="11" s="1"/>
  <c r="B6" i="11"/>
  <c r="U145" i="10"/>
  <c r="T145" i="10"/>
  <c r="S145" i="10"/>
  <c r="R145" i="10"/>
  <c r="Q145" i="10"/>
  <c r="P145" i="10"/>
  <c r="O145" i="10"/>
  <c r="M145" i="10"/>
  <c r="J145" i="10"/>
  <c r="I145" i="10"/>
  <c r="H145" i="10"/>
  <c r="G145" i="10"/>
  <c r="F145" i="10"/>
  <c r="E145" i="10"/>
  <c r="D145" i="10"/>
  <c r="V142" i="10"/>
  <c r="B142" i="10"/>
  <c r="V139" i="10"/>
  <c r="K139" i="10"/>
  <c r="V137" i="10"/>
  <c r="K137" i="10"/>
  <c r="V135" i="10"/>
  <c r="K135" i="10"/>
  <c r="V133" i="10"/>
  <c r="K133" i="10"/>
  <c r="V131" i="10"/>
  <c r="K131" i="10"/>
  <c r="W130" i="10"/>
  <c r="V130" i="10"/>
  <c r="N130" i="10"/>
  <c r="L130" i="10"/>
  <c r="C130" i="10"/>
  <c r="K130" i="10" s="1"/>
  <c r="V129" i="10"/>
  <c r="K129" i="10"/>
  <c r="V128" i="10"/>
  <c r="K128" i="10"/>
  <c r="V127" i="10"/>
  <c r="K127" i="10"/>
  <c r="W126" i="10"/>
  <c r="N126" i="10"/>
  <c r="V126" i="10" s="1"/>
  <c r="L126" i="10"/>
  <c r="C126" i="10"/>
  <c r="K126" i="10" s="1"/>
  <c r="V125" i="10"/>
  <c r="K125" i="10"/>
  <c r="V124" i="10"/>
  <c r="K124" i="10"/>
  <c r="V123" i="10"/>
  <c r="K123" i="10"/>
  <c r="W122" i="10"/>
  <c r="N122" i="10"/>
  <c r="V122" i="10" s="1"/>
  <c r="L122" i="10"/>
  <c r="C122" i="10"/>
  <c r="K122" i="10" s="1"/>
  <c r="V121" i="10"/>
  <c r="K121" i="10"/>
  <c r="V120" i="10"/>
  <c r="K120" i="10"/>
  <c r="V119" i="10"/>
  <c r="K119" i="10"/>
  <c r="W118" i="10"/>
  <c r="W145" i="10" s="1"/>
  <c r="N118" i="10"/>
  <c r="V118" i="10" s="1"/>
  <c r="L118" i="10"/>
  <c r="C118" i="10"/>
  <c r="K118" i="10" s="1"/>
  <c r="V105" i="10"/>
  <c r="U105" i="10"/>
  <c r="T105" i="10"/>
  <c r="S105" i="10"/>
  <c r="R105" i="10"/>
  <c r="Q105" i="10"/>
  <c r="P105" i="10"/>
  <c r="O105" i="10"/>
  <c r="K105" i="10"/>
  <c r="J105" i="10"/>
  <c r="I105" i="10"/>
  <c r="H105" i="10"/>
  <c r="G105" i="10"/>
  <c r="F105" i="10"/>
  <c r="E105" i="10"/>
  <c r="D105" i="10"/>
  <c r="B105" i="10"/>
  <c r="W94" i="10"/>
  <c r="L94" i="10"/>
  <c r="W93" i="10"/>
  <c r="N93" i="10"/>
  <c r="L93" i="10"/>
  <c r="C93" i="10"/>
  <c r="W92" i="10"/>
  <c r="L92" i="10"/>
  <c r="L91" i="10" s="1"/>
  <c r="W91" i="10"/>
  <c r="C91" i="10"/>
  <c r="W90" i="10"/>
  <c r="W89" i="10" s="1"/>
  <c r="L90" i="10"/>
  <c r="L89" i="10" s="1"/>
  <c r="N89" i="10"/>
  <c r="C89" i="10"/>
  <c r="W88" i="10"/>
  <c r="W87" i="10" s="1"/>
  <c r="L88" i="10"/>
  <c r="L87" i="10" s="1"/>
  <c r="N87" i="10"/>
  <c r="C87" i="10"/>
  <c r="W86" i="10"/>
  <c r="W85" i="10" s="1"/>
  <c r="L86" i="10"/>
  <c r="L85" i="10" s="1"/>
  <c r="N85" i="10"/>
  <c r="C85" i="10"/>
  <c r="V81" i="10"/>
  <c r="V80" i="10" s="1"/>
  <c r="K81" i="10"/>
  <c r="K80" i="10" s="1"/>
  <c r="W80" i="10"/>
  <c r="U80" i="10"/>
  <c r="T80" i="10"/>
  <c r="S80" i="10"/>
  <c r="R80" i="10"/>
  <c r="Q80" i="10"/>
  <c r="P80" i="10"/>
  <c r="O80" i="10"/>
  <c r="N80" i="10"/>
  <c r="M80" i="10"/>
  <c r="L80" i="10"/>
  <c r="J80" i="10"/>
  <c r="I80" i="10"/>
  <c r="H80" i="10"/>
  <c r="G80" i="10"/>
  <c r="F80" i="10"/>
  <c r="E80" i="10"/>
  <c r="D80" i="10"/>
  <c r="C80" i="10"/>
  <c r="B80" i="10"/>
  <c r="V79" i="10"/>
  <c r="V78" i="10" s="1"/>
  <c r="K79" i="10"/>
  <c r="K78" i="10" s="1"/>
  <c r="W78" i="10"/>
  <c r="U78" i="10"/>
  <c r="T78" i="10"/>
  <c r="T82" i="10" s="1"/>
  <c r="S78" i="10"/>
  <c r="R78" i="10"/>
  <c r="Q78" i="10"/>
  <c r="P78" i="10"/>
  <c r="O78" i="10"/>
  <c r="N78" i="10"/>
  <c r="M78" i="10"/>
  <c r="L78" i="10"/>
  <c r="J78" i="10"/>
  <c r="I78" i="10"/>
  <c r="H78" i="10"/>
  <c r="G78" i="10"/>
  <c r="F78" i="10"/>
  <c r="E78" i="10"/>
  <c r="D78" i="10"/>
  <c r="C78" i="10"/>
  <c r="B78" i="10"/>
  <c r="V77" i="10"/>
  <c r="K77" i="10"/>
  <c r="V76" i="10"/>
  <c r="K76" i="10"/>
  <c r="V75" i="10"/>
  <c r="K75" i="10"/>
  <c r="V74" i="10"/>
  <c r="K74" i="10"/>
  <c r="V73" i="10"/>
  <c r="K73" i="10"/>
  <c r="V72" i="10"/>
  <c r="K72" i="10"/>
  <c r="V71" i="10"/>
  <c r="W70" i="10"/>
  <c r="U70" i="10"/>
  <c r="T70" i="10"/>
  <c r="S70" i="10"/>
  <c r="R70" i="10"/>
  <c r="R82" i="10" s="1"/>
  <c r="Q70" i="10"/>
  <c r="P70" i="10"/>
  <c r="O70" i="10"/>
  <c r="N70" i="10"/>
  <c r="M70" i="10"/>
  <c r="L70" i="10"/>
  <c r="L82" i="10" s="1"/>
  <c r="J70" i="10"/>
  <c r="I70" i="10"/>
  <c r="H70" i="10"/>
  <c r="G70" i="10"/>
  <c r="F70" i="10"/>
  <c r="E70" i="10"/>
  <c r="D70" i="10"/>
  <c r="C70" i="10"/>
  <c r="B70" i="10"/>
  <c r="V69" i="10"/>
  <c r="K69" i="10"/>
  <c r="V68" i="10"/>
  <c r="K68" i="10"/>
  <c r="V67" i="10"/>
  <c r="K67" i="10"/>
  <c r="V66" i="10"/>
  <c r="K66" i="10"/>
  <c r="V65" i="10"/>
  <c r="K65" i="10"/>
  <c r="W64" i="10"/>
  <c r="U64" i="10"/>
  <c r="T64" i="10"/>
  <c r="S64" i="10"/>
  <c r="R64" i="10"/>
  <c r="Q64" i="10"/>
  <c r="P64" i="10"/>
  <c r="O64" i="10"/>
  <c r="N64" i="10"/>
  <c r="M64" i="10"/>
  <c r="L64" i="10"/>
  <c r="J64" i="10"/>
  <c r="I64" i="10"/>
  <c r="H64" i="10"/>
  <c r="G64" i="10"/>
  <c r="F64" i="10"/>
  <c r="E64" i="10"/>
  <c r="D64" i="10"/>
  <c r="C64" i="10"/>
  <c r="B64" i="10"/>
  <c r="V63" i="10"/>
  <c r="K63" i="10"/>
  <c r="V62" i="10"/>
  <c r="K62" i="10"/>
  <c r="V61" i="10"/>
  <c r="K61" i="10"/>
  <c r="V60" i="10"/>
  <c r="K60" i="10"/>
  <c r="V59" i="10"/>
  <c r="K59" i="10"/>
  <c r="V58" i="10"/>
  <c r="K58" i="10"/>
  <c r="V57" i="10"/>
  <c r="K57" i="10"/>
  <c r="V56" i="10"/>
  <c r="K56" i="10"/>
  <c r="V55" i="10"/>
  <c r="K55" i="10"/>
  <c r="V54" i="10"/>
  <c r="V53" i="10" s="1"/>
  <c r="K54" i="10"/>
  <c r="K53" i="10" s="1"/>
  <c r="W53" i="10"/>
  <c r="U53" i="10"/>
  <c r="T53" i="10"/>
  <c r="S53" i="10"/>
  <c r="R53" i="10"/>
  <c r="Q53" i="10"/>
  <c r="P53" i="10"/>
  <c r="O53" i="10"/>
  <c r="O82" i="10" s="1"/>
  <c r="N53" i="10"/>
  <c r="M53" i="10"/>
  <c r="L53" i="10"/>
  <c r="J53" i="10"/>
  <c r="J82" i="10" s="1"/>
  <c r="I53" i="10"/>
  <c r="H53" i="10"/>
  <c r="G53" i="10"/>
  <c r="F53" i="10"/>
  <c r="F82" i="10" s="1"/>
  <c r="E53" i="10"/>
  <c r="E82" i="10" s="1"/>
  <c r="D53" i="10"/>
  <c r="C53" i="10"/>
  <c r="B53" i="10"/>
  <c r="B82" i="10" s="1"/>
  <c r="W49" i="10"/>
  <c r="W44" i="10" s="1"/>
  <c r="T49" i="10"/>
  <c r="T44" i="10" s="1"/>
  <c r="L49" i="10"/>
  <c r="I49" i="10"/>
  <c r="K49" i="10" s="1"/>
  <c r="V48" i="10"/>
  <c r="K48" i="10"/>
  <c r="V47" i="10"/>
  <c r="K47" i="10"/>
  <c r="V46" i="10"/>
  <c r="K46" i="10"/>
  <c r="V45" i="10"/>
  <c r="K45" i="10"/>
  <c r="U44" i="10"/>
  <c r="U50" i="10" s="1"/>
  <c r="S44" i="10"/>
  <c r="R44" i="10"/>
  <c r="Q44" i="10"/>
  <c r="Q50" i="10" s="1"/>
  <c r="P44" i="10"/>
  <c r="O44" i="10"/>
  <c r="N44" i="10"/>
  <c r="M44" i="10"/>
  <c r="L44" i="10"/>
  <c r="J44" i="10"/>
  <c r="I44" i="10"/>
  <c r="I50" i="10" s="1"/>
  <c r="H44" i="10"/>
  <c r="G44" i="10"/>
  <c r="F44" i="10"/>
  <c r="E44" i="10"/>
  <c r="D44" i="10"/>
  <c r="C44" i="10"/>
  <c r="B44" i="10"/>
  <c r="V42" i="10"/>
  <c r="K42" i="10"/>
  <c r="V41" i="10"/>
  <c r="K41" i="10"/>
  <c r="V40" i="10"/>
  <c r="K40" i="10"/>
  <c r="V39" i="10"/>
  <c r="K39" i="10"/>
  <c r="V38" i="10"/>
  <c r="K38" i="10"/>
  <c r="K36" i="10" s="1"/>
  <c r="V37" i="10"/>
  <c r="K37" i="10"/>
  <c r="W36" i="10"/>
  <c r="U36" i="10"/>
  <c r="T36" i="10"/>
  <c r="S36" i="10"/>
  <c r="R36" i="10"/>
  <c r="Q36" i="10"/>
  <c r="P36" i="10"/>
  <c r="O36" i="10"/>
  <c r="N36" i="10"/>
  <c r="M36" i="10"/>
  <c r="L36" i="10"/>
  <c r="J36" i="10"/>
  <c r="I36" i="10"/>
  <c r="H36" i="10"/>
  <c r="H50" i="10" s="1"/>
  <c r="G36" i="10"/>
  <c r="F36" i="10"/>
  <c r="E36" i="10"/>
  <c r="D36" i="10"/>
  <c r="C36" i="10"/>
  <c r="B36" i="10"/>
  <c r="V34" i="10"/>
  <c r="K34" i="10"/>
  <c r="V32" i="10"/>
  <c r="K32" i="10"/>
  <c r="V31" i="10"/>
  <c r="K31" i="10"/>
  <c r="V30" i="10"/>
  <c r="K30" i="10"/>
  <c r="W29" i="10"/>
  <c r="W28" i="10" s="1"/>
  <c r="V29" i="10"/>
  <c r="V28" i="10" s="1"/>
  <c r="L29" i="10"/>
  <c r="L28" i="10" s="1"/>
  <c r="K29" i="10"/>
  <c r="U28" i="10"/>
  <c r="T28" i="10"/>
  <c r="S28" i="10"/>
  <c r="R28" i="10"/>
  <c r="Q28" i="10"/>
  <c r="P28" i="10"/>
  <c r="O28" i="10"/>
  <c r="N28" i="10"/>
  <c r="M28" i="10"/>
  <c r="J28" i="10"/>
  <c r="I28" i="10"/>
  <c r="H28" i="10"/>
  <c r="G28" i="10"/>
  <c r="F28" i="10"/>
  <c r="E28" i="10"/>
  <c r="D28" i="10"/>
  <c r="C28" i="10"/>
  <c r="B28" i="10"/>
  <c r="V26" i="10"/>
  <c r="K26" i="10"/>
  <c r="V25" i="10"/>
  <c r="K25" i="10"/>
  <c r="V24" i="10"/>
  <c r="K24" i="10"/>
  <c r="V23" i="10"/>
  <c r="K23" i="10"/>
  <c r="V22" i="10"/>
  <c r="K22" i="10"/>
  <c r="W21" i="10"/>
  <c r="W20" i="10" s="1"/>
  <c r="V21" i="10"/>
  <c r="L21" i="10"/>
  <c r="K21" i="10"/>
  <c r="U20" i="10"/>
  <c r="T20" i="10"/>
  <c r="S20" i="10"/>
  <c r="R20" i="10"/>
  <c r="Q20" i="10"/>
  <c r="P20" i="10"/>
  <c r="O20" i="10"/>
  <c r="N20" i="10"/>
  <c r="M20" i="10"/>
  <c r="L20" i="10"/>
  <c r="K20" i="10"/>
  <c r="J20" i="10"/>
  <c r="I20" i="10"/>
  <c r="H20" i="10"/>
  <c r="G20" i="10"/>
  <c r="F20" i="10"/>
  <c r="E20" i="10"/>
  <c r="D20" i="10"/>
  <c r="C20" i="10"/>
  <c r="B20" i="10"/>
  <c r="V19" i="10"/>
  <c r="K19" i="10"/>
  <c r="V18" i="10"/>
  <c r="K18" i="10"/>
  <c r="V17" i="10"/>
  <c r="K17" i="10"/>
  <c r="V16" i="10"/>
  <c r="K16" i="10"/>
  <c r="V15" i="10"/>
  <c r="K15" i="10"/>
  <c r="V14" i="10"/>
  <c r="K14" i="10"/>
  <c r="V13" i="10"/>
  <c r="K13" i="10"/>
  <c r="V12" i="10"/>
  <c r="K12" i="10"/>
  <c r="V11" i="10"/>
  <c r="K11" i="10"/>
  <c r="V10" i="10"/>
  <c r="K10" i="10"/>
  <c r="W9" i="10"/>
  <c r="U9" i="10"/>
  <c r="T9" i="10"/>
  <c r="S9" i="10"/>
  <c r="R9" i="10"/>
  <c r="Q9" i="10"/>
  <c r="P9" i="10"/>
  <c r="O9" i="10"/>
  <c r="N9" i="10"/>
  <c r="M9" i="10"/>
  <c r="L9" i="10"/>
  <c r="J9" i="10"/>
  <c r="I9" i="10"/>
  <c r="H9" i="10"/>
  <c r="G9" i="10"/>
  <c r="F9" i="10"/>
  <c r="E9" i="10"/>
  <c r="D9" i="10"/>
  <c r="C9" i="10"/>
  <c r="B9" i="10"/>
  <c r="O28" i="9"/>
  <c r="P28" i="9" s="1"/>
  <c r="M28" i="9"/>
  <c r="L28" i="9"/>
  <c r="K28" i="9"/>
  <c r="J28" i="9"/>
  <c r="J29" i="9" s="1"/>
  <c r="H28" i="9"/>
  <c r="G28" i="9"/>
  <c r="F28" i="9"/>
  <c r="F29" i="9" s="1"/>
  <c r="E28" i="9"/>
  <c r="D28" i="9"/>
  <c r="C28" i="9"/>
  <c r="O27" i="9"/>
  <c r="P27" i="9" s="1"/>
  <c r="M27" i="9"/>
  <c r="L27" i="9"/>
  <c r="K27" i="9"/>
  <c r="J27" i="9"/>
  <c r="H27" i="9"/>
  <c r="G27" i="9"/>
  <c r="F27" i="9"/>
  <c r="E27" i="9"/>
  <c r="D27" i="9"/>
  <c r="C27" i="9"/>
  <c r="O26" i="9"/>
  <c r="P26" i="9" s="1"/>
  <c r="M26" i="9"/>
  <c r="L26" i="9"/>
  <c r="K26" i="9"/>
  <c r="J26" i="9"/>
  <c r="H26" i="9"/>
  <c r="G26" i="9"/>
  <c r="F26" i="9"/>
  <c r="E26" i="9"/>
  <c r="D26" i="9"/>
  <c r="C26" i="9"/>
  <c r="E25" i="9"/>
  <c r="P24" i="9"/>
  <c r="N24" i="9"/>
  <c r="I24" i="9"/>
  <c r="I25" i="9" s="1"/>
  <c r="P23" i="9"/>
  <c r="N23" i="9"/>
  <c r="I23" i="9"/>
  <c r="P22" i="9"/>
  <c r="N22" i="9"/>
  <c r="I22" i="9"/>
  <c r="Q22" i="9" s="1"/>
  <c r="N21" i="9"/>
  <c r="L21" i="9"/>
  <c r="H21" i="9"/>
  <c r="F21" i="9"/>
  <c r="D21" i="9"/>
  <c r="P20" i="9"/>
  <c r="N20" i="9"/>
  <c r="I20" i="9"/>
  <c r="I21" i="9" s="1"/>
  <c r="P19" i="9"/>
  <c r="N19" i="9"/>
  <c r="I19" i="9"/>
  <c r="P18" i="9"/>
  <c r="Q18" i="9" s="1"/>
  <c r="N18" i="9"/>
  <c r="I18" i="9"/>
  <c r="L17" i="9"/>
  <c r="J17" i="9"/>
  <c r="H17" i="9"/>
  <c r="G17" i="9"/>
  <c r="F17" i="9"/>
  <c r="E17" i="9"/>
  <c r="D17" i="9"/>
  <c r="P16" i="9"/>
  <c r="N16" i="9"/>
  <c r="I16" i="9"/>
  <c r="I17" i="9" s="1"/>
  <c r="P15" i="9"/>
  <c r="N15" i="9"/>
  <c r="I15" i="9"/>
  <c r="P14" i="9"/>
  <c r="N14" i="9"/>
  <c r="I14" i="9"/>
  <c r="Q14" i="9" s="1"/>
  <c r="L13" i="9"/>
  <c r="J13" i="9"/>
  <c r="H13" i="9"/>
  <c r="G13" i="9"/>
  <c r="F13" i="9"/>
  <c r="E13" i="9"/>
  <c r="D13" i="9"/>
  <c r="P12" i="9"/>
  <c r="Q12" i="9" s="1"/>
  <c r="N12" i="9"/>
  <c r="I12" i="9"/>
  <c r="I13" i="9" s="1"/>
  <c r="P11" i="9"/>
  <c r="N11" i="9"/>
  <c r="N13" i="9" s="1"/>
  <c r="I11" i="9"/>
  <c r="P10" i="9"/>
  <c r="Q10" i="9" s="1"/>
  <c r="N10" i="9"/>
  <c r="I10" i="9"/>
  <c r="L9" i="9"/>
  <c r="H9" i="9"/>
  <c r="F9" i="9"/>
  <c r="E9" i="9"/>
  <c r="D9" i="9"/>
  <c r="P8" i="9"/>
  <c r="N8" i="9"/>
  <c r="N9" i="9" s="1"/>
  <c r="I8" i="9"/>
  <c r="Q8" i="9" s="1"/>
  <c r="P7" i="9"/>
  <c r="N7" i="9"/>
  <c r="I7" i="9"/>
  <c r="Q6" i="9"/>
  <c r="P6" i="9"/>
  <c r="N6" i="9"/>
  <c r="I6" i="9"/>
  <c r="O25" i="8"/>
  <c r="N25" i="8"/>
  <c r="L25" i="8"/>
  <c r="K25" i="8"/>
  <c r="J25" i="8"/>
  <c r="I25" i="8"/>
  <c r="G25" i="8"/>
  <c r="F25" i="8"/>
  <c r="E25" i="8"/>
  <c r="D25" i="8"/>
  <c r="C25" i="8"/>
  <c r="B25" i="8"/>
  <c r="M18" i="8"/>
  <c r="P18" i="8" s="1"/>
  <c r="H18" i="8"/>
  <c r="M16" i="8"/>
  <c r="P16" i="8" s="1"/>
  <c r="H16" i="8"/>
  <c r="H25" i="8" s="1"/>
  <c r="M14" i="8"/>
  <c r="H14" i="8"/>
  <c r="P11" i="8"/>
  <c r="M11" i="8"/>
  <c r="H11" i="8"/>
  <c r="M9" i="8"/>
  <c r="P9" i="8" s="1"/>
  <c r="H9" i="8"/>
  <c r="M7" i="8"/>
  <c r="P7" i="8" s="1"/>
  <c r="H7" i="8"/>
  <c r="D32" i="6"/>
  <c r="B32" i="6"/>
  <c r="C28" i="6"/>
  <c r="C32" i="6" s="1"/>
  <c r="D22" i="6"/>
  <c r="C22" i="6"/>
  <c r="B22" i="6"/>
  <c r="D12" i="6"/>
  <c r="C12" i="6"/>
  <c r="B12" i="6"/>
  <c r="N126" i="5"/>
  <c r="I126" i="5"/>
  <c r="I125" i="5" s="1"/>
  <c r="P125" i="5"/>
  <c r="O125" i="5"/>
  <c r="N125" i="5"/>
  <c r="M125" i="5"/>
  <c r="L125" i="5"/>
  <c r="K125" i="5"/>
  <c r="J125" i="5"/>
  <c r="H125" i="5"/>
  <c r="G125" i="5"/>
  <c r="F125" i="5"/>
  <c r="E125" i="5"/>
  <c r="D125" i="5"/>
  <c r="C125" i="5"/>
  <c r="N124" i="5"/>
  <c r="I124" i="5"/>
  <c r="Q124" i="5" s="1"/>
  <c r="N123" i="5"/>
  <c r="I123" i="5"/>
  <c r="N122" i="5"/>
  <c r="N121" i="5" s="1"/>
  <c r="I122" i="5"/>
  <c r="Q122" i="5" s="1"/>
  <c r="P121" i="5"/>
  <c r="O121" i="5"/>
  <c r="M121" i="5"/>
  <c r="L121" i="5"/>
  <c r="K121" i="5"/>
  <c r="J121" i="5"/>
  <c r="J127" i="5" s="1"/>
  <c r="H121" i="5"/>
  <c r="G121" i="5"/>
  <c r="F121" i="5"/>
  <c r="E121" i="5"/>
  <c r="D121" i="5"/>
  <c r="C121" i="5"/>
  <c r="Q119" i="5"/>
  <c r="P119" i="5"/>
  <c r="O119" i="5"/>
  <c r="O127" i="5" s="1"/>
  <c r="N119" i="5"/>
  <c r="M119" i="5"/>
  <c r="L119" i="5"/>
  <c r="K119" i="5"/>
  <c r="J119" i="5"/>
  <c r="I119" i="5"/>
  <c r="H119" i="5"/>
  <c r="G119" i="5"/>
  <c r="F119" i="5"/>
  <c r="E119" i="5"/>
  <c r="D119" i="5"/>
  <c r="C119" i="5"/>
  <c r="I118" i="5"/>
  <c r="I117" i="5" s="1"/>
  <c r="Q117" i="5"/>
  <c r="P117" i="5"/>
  <c r="O117" i="5"/>
  <c r="N117" i="5"/>
  <c r="M117" i="5"/>
  <c r="L117" i="5"/>
  <c r="K117" i="5"/>
  <c r="J117" i="5"/>
  <c r="H117" i="5"/>
  <c r="G117" i="5"/>
  <c r="F117" i="5"/>
  <c r="E117" i="5"/>
  <c r="D117" i="5"/>
  <c r="C117" i="5"/>
  <c r="N116" i="5"/>
  <c r="I116" i="5"/>
  <c r="Q116" i="5" s="1"/>
  <c r="N115" i="5"/>
  <c r="Q115" i="5" s="1"/>
  <c r="I115" i="5"/>
  <c r="N114" i="5"/>
  <c r="I114" i="5"/>
  <c r="Q114" i="5" s="1"/>
  <c r="N113" i="5"/>
  <c r="I113" i="5"/>
  <c r="Q113" i="5" s="1"/>
  <c r="P112" i="5"/>
  <c r="O112" i="5"/>
  <c r="M112" i="5"/>
  <c r="L112" i="5"/>
  <c r="K112" i="5"/>
  <c r="J112" i="5"/>
  <c r="H112" i="5"/>
  <c r="G112" i="5"/>
  <c r="F112" i="5"/>
  <c r="E112" i="5"/>
  <c r="D112" i="5"/>
  <c r="C112" i="5"/>
  <c r="N105" i="5"/>
  <c r="N104" i="5" s="1"/>
  <c r="I105" i="5"/>
  <c r="I104" i="5" s="1"/>
  <c r="P104" i="5"/>
  <c r="O104" i="5"/>
  <c r="M104" i="5"/>
  <c r="L104" i="5"/>
  <c r="K104" i="5"/>
  <c r="J104" i="5"/>
  <c r="H104" i="5"/>
  <c r="G104" i="5"/>
  <c r="F104" i="5"/>
  <c r="E104" i="5"/>
  <c r="D104" i="5"/>
  <c r="C104" i="5"/>
  <c r="N103" i="5"/>
  <c r="I103" i="5"/>
  <c r="N102" i="5"/>
  <c r="Q102" i="5" s="1"/>
  <c r="I102" i="5"/>
  <c r="I100" i="5" s="1"/>
  <c r="N101" i="5"/>
  <c r="I101" i="5"/>
  <c r="Q101" i="5" s="1"/>
  <c r="P100" i="5"/>
  <c r="O100" i="5"/>
  <c r="M100" i="5"/>
  <c r="L100" i="5"/>
  <c r="K100" i="5"/>
  <c r="J100" i="5"/>
  <c r="H100" i="5"/>
  <c r="G100" i="5"/>
  <c r="F100" i="5"/>
  <c r="E100" i="5"/>
  <c r="D100" i="5"/>
  <c r="D106" i="5" s="1"/>
  <c r="C100" i="5"/>
  <c r="N99" i="5"/>
  <c r="I99" i="5"/>
  <c r="P98" i="5"/>
  <c r="O98" i="5"/>
  <c r="M98" i="5"/>
  <c r="L98" i="5"/>
  <c r="K98" i="5"/>
  <c r="J98" i="5"/>
  <c r="I98" i="5"/>
  <c r="H98" i="5"/>
  <c r="G98" i="5"/>
  <c r="F98" i="5"/>
  <c r="E98" i="5"/>
  <c r="D98" i="5"/>
  <c r="C98" i="5"/>
  <c r="Q97" i="5"/>
  <c r="Q96" i="5" s="1"/>
  <c r="N97" i="5"/>
  <c r="N96" i="5" s="1"/>
  <c r="I97" i="5"/>
  <c r="I96" i="5" s="1"/>
  <c r="P96" i="5"/>
  <c r="O96" i="5"/>
  <c r="M96" i="5"/>
  <c r="L96" i="5"/>
  <c r="K96" i="5"/>
  <c r="J96" i="5"/>
  <c r="H96" i="5"/>
  <c r="G96" i="5"/>
  <c r="F96" i="5"/>
  <c r="E96" i="5"/>
  <c r="D96" i="5"/>
  <c r="C96" i="5"/>
  <c r="N95" i="5"/>
  <c r="I95" i="5"/>
  <c r="N94" i="5"/>
  <c r="I94" i="5"/>
  <c r="Q94" i="5" s="1"/>
  <c r="N93" i="5"/>
  <c r="I93" i="5"/>
  <c r="Q93" i="5" s="1"/>
  <c r="Q92" i="5"/>
  <c r="N92" i="5"/>
  <c r="N91" i="5" s="1"/>
  <c r="I92" i="5"/>
  <c r="P91" i="5"/>
  <c r="O91" i="5"/>
  <c r="M91" i="5"/>
  <c r="L91" i="5"/>
  <c r="K91" i="5"/>
  <c r="J91" i="5"/>
  <c r="H91" i="5"/>
  <c r="G91" i="5"/>
  <c r="F91" i="5"/>
  <c r="E91" i="5"/>
  <c r="D91" i="5"/>
  <c r="C91" i="5"/>
  <c r="N84" i="5"/>
  <c r="N83" i="5" s="1"/>
  <c r="I84" i="5"/>
  <c r="I83" i="5" s="1"/>
  <c r="P83" i="5"/>
  <c r="O83" i="5"/>
  <c r="M83" i="5"/>
  <c r="L83" i="5"/>
  <c r="K83" i="5"/>
  <c r="J83" i="5"/>
  <c r="H83" i="5"/>
  <c r="G83" i="5"/>
  <c r="F83" i="5"/>
  <c r="E83" i="5"/>
  <c r="D83" i="5"/>
  <c r="C83" i="5"/>
  <c r="N82" i="5"/>
  <c r="Q82" i="5" s="1"/>
  <c r="I82" i="5"/>
  <c r="N81" i="5"/>
  <c r="I81" i="5"/>
  <c r="Q81" i="5" s="1"/>
  <c r="N80" i="5"/>
  <c r="I80" i="5"/>
  <c r="I79" i="5" s="1"/>
  <c r="P79" i="5"/>
  <c r="O79" i="5"/>
  <c r="M79" i="5"/>
  <c r="L79" i="5"/>
  <c r="K79" i="5"/>
  <c r="J79" i="5"/>
  <c r="H79" i="5"/>
  <c r="G79" i="5"/>
  <c r="F79" i="5"/>
  <c r="E79" i="5"/>
  <c r="D79" i="5"/>
  <c r="C79" i="5"/>
  <c r="N78" i="5"/>
  <c r="I78" i="5"/>
  <c r="P77" i="5"/>
  <c r="O77" i="5"/>
  <c r="N77" i="5"/>
  <c r="M77" i="5"/>
  <c r="L77" i="5"/>
  <c r="K77" i="5"/>
  <c r="J77" i="5"/>
  <c r="I77" i="5"/>
  <c r="H77" i="5"/>
  <c r="G77" i="5"/>
  <c r="F77" i="5"/>
  <c r="E77" i="5"/>
  <c r="D77" i="5"/>
  <c r="C77" i="5"/>
  <c r="Q76" i="5"/>
  <c r="N76" i="5"/>
  <c r="N75" i="5" s="1"/>
  <c r="I76" i="5"/>
  <c r="I75" i="5" s="1"/>
  <c r="P75" i="5"/>
  <c r="O75" i="5"/>
  <c r="M75" i="5"/>
  <c r="L75" i="5"/>
  <c r="K75" i="5"/>
  <c r="J75" i="5"/>
  <c r="H75" i="5"/>
  <c r="G75" i="5"/>
  <c r="F75" i="5"/>
  <c r="E75" i="5"/>
  <c r="D75" i="5"/>
  <c r="C75" i="5"/>
  <c r="N74" i="5"/>
  <c r="I74" i="5"/>
  <c r="Q74" i="5" s="1"/>
  <c r="N73" i="5"/>
  <c r="Q73" i="5" s="1"/>
  <c r="I73" i="5"/>
  <c r="N72" i="5"/>
  <c r="I72" i="5"/>
  <c r="Q72" i="5" s="1"/>
  <c r="N71" i="5"/>
  <c r="I71" i="5"/>
  <c r="P70" i="5"/>
  <c r="O70" i="5"/>
  <c r="M70" i="5"/>
  <c r="L70" i="5"/>
  <c r="K70" i="5"/>
  <c r="J70" i="5"/>
  <c r="H70" i="5"/>
  <c r="G70" i="5"/>
  <c r="F70" i="5"/>
  <c r="E70" i="5"/>
  <c r="D70" i="5"/>
  <c r="C70" i="5"/>
  <c r="Q63" i="5"/>
  <c r="Q62" i="5" s="1"/>
  <c r="N63" i="5"/>
  <c r="N62" i="5" s="1"/>
  <c r="I63" i="5"/>
  <c r="P62" i="5"/>
  <c r="O62" i="5"/>
  <c r="M62" i="5"/>
  <c r="L62" i="5"/>
  <c r="L64" i="5" s="1"/>
  <c r="K62" i="5"/>
  <c r="J62" i="5"/>
  <c r="I62" i="5"/>
  <c r="H62" i="5"/>
  <c r="G62" i="5"/>
  <c r="F62" i="5"/>
  <c r="E62" i="5"/>
  <c r="D62" i="5"/>
  <c r="C62" i="5"/>
  <c r="N61" i="5"/>
  <c r="I61" i="5"/>
  <c r="N60" i="5"/>
  <c r="I60" i="5"/>
  <c r="Q60" i="5" s="1"/>
  <c r="N59" i="5"/>
  <c r="I59" i="5"/>
  <c r="P58" i="5"/>
  <c r="O58" i="5"/>
  <c r="M58" i="5"/>
  <c r="L58" i="5"/>
  <c r="K58" i="5"/>
  <c r="J58" i="5"/>
  <c r="H58" i="5"/>
  <c r="G58" i="5"/>
  <c r="F58" i="5"/>
  <c r="E58" i="5"/>
  <c r="D58" i="5"/>
  <c r="C58" i="5"/>
  <c r="Q57" i="5"/>
  <c r="Q56" i="5" s="1"/>
  <c r="N57" i="5"/>
  <c r="N56" i="5" s="1"/>
  <c r="I57" i="5"/>
  <c r="P56" i="5"/>
  <c r="O56" i="5"/>
  <c r="M56" i="5"/>
  <c r="L56" i="5"/>
  <c r="K56" i="5"/>
  <c r="J56" i="5"/>
  <c r="I56" i="5"/>
  <c r="H56" i="5"/>
  <c r="G56" i="5"/>
  <c r="F56" i="5"/>
  <c r="E56" i="5"/>
  <c r="D56" i="5"/>
  <c r="C56" i="5"/>
  <c r="N55" i="5"/>
  <c r="N54" i="5" s="1"/>
  <c r="I55" i="5"/>
  <c r="P54" i="5"/>
  <c r="O54" i="5"/>
  <c r="M54" i="5"/>
  <c r="L54" i="5"/>
  <c r="K54" i="5"/>
  <c r="J54" i="5"/>
  <c r="H54" i="5"/>
  <c r="G54" i="5"/>
  <c r="F54" i="5"/>
  <c r="E54" i="5"/>
  <c r="D54" i="5"/>
  <c r="C54" i="5"/>
  <c r="N53" i="5"/>
  <c r="I53" i="5"/>
  <c r="Q53" i="5" s="1"/>
  <c r="N52" i="5"/>
  <c r="I52" i="5"/>
  <c r="Q51" i="5"/>
  <c r="N51" i="5"/>
  <c r="I51" i="5"/>
  <c r="N50" i="5"/>
  <c r="I50" i="5"/>
  <c r="P49" i="5"/>
  <c r="O49" i="5"/>
  <c r="M49" i="5"/>
  <c r="L49" i="5"/>
  <c r="K49" i="5"/>
  <c r="J49" i="5"/>
  <c r="H49" i="5"/>
  <c r="G49" i="5"/>
  <c r="F49" i="5"/>
  <c r="E49" i="5"/>
  <c r="D49" i="5"/>
  <c r="C49" i="5"/>
  <c r="N42" i="5"/>
  <c r="N41" i="5" s="1"/>
  <c r="I42" i="5"/>
  <c r="P41" i="5"/>
  <c r="O41" i="5"/>
  <c r="M41" i="5"/>
  <c r="L41" i="5"/>
  <c r="L43" i="5" s="1"/>
  <c r="K41" i="5"/>
  <c r="J41" i="5"/>
  <c r="I41" i="5"/>
  <c r="H41" i="5"/>
  <c r="G41" i="5"/>
  <c r="F41" i="5"/>
  <c r="E41" i="5"/>
  <c r="D41" i="5"/>
  <c r="D43" i="5" s="1"/>
  <c r="C41" i="5"/>
  <c r="C43" i="5" s="1"/>
  <c r="N40" i="5"/>
  <c r="I40" i="5"/>
  <c r="Q40" i="5" s="1"/>
  <c r="N39" i="5"/>
  <c r="Q39" i="5" s="1"/>
  <c r="I39" i="5"/>
  <c r="N38" i="5"/>
  <c r="I38" i="5"/>
  <c r="P37" i="5"/>
  <c r="O37" i="5"/>
  <c r="M37" i="5"/>
  <c r="L37" i="5"/>
  <c r="K37" i="5"/>
  <c r="K43" i="5" s="1"/>
  <c r="J37" i="5"/>
  <c r="H37" i="5"/>
  <c r="G37" i="5"/>
  <c r="F37" i="5"/>
  <c r="E37" i="5"/>
  <c r="D37" i="5"/>
  <c r="C37" i="5"/>
  <c r="N36" i="5"/>
  <c r="Q36" i="5" s="1"/>
  <c r="Q35" i="5" s="1"/>
  <c r="I36" i="5"/>
  <c r="P35" i="5"/>
  <c r="O35" i="5"/>
  <c r="N35" i="5"/>
  <c r="M35" i="5"/>
  <c r="L35" i="5"/>
  <c r="K35" i="5"/>
  <c r="J35" i="5"/>
  <c r="I35" i="5"/>
  <c r="H35" i="5"/>
  <c r="G35" i="5"/>
  <c r="F35" i="5"/>
  <c r="E35" i="5"/>
  <c r="D35" i="5"/>
  <c r="C35" i="5"/>
  <c r="N34" i="5"/>
  <c r="N33" i="5" s="1"/>
  <c r="I34" i="5"/>
  <c r="P33" i="5"/>
  <c r="O33" i="5"/>
  <c r="M33" i="5"/>
  <c r="L33" i="5"/>
  <c r="K33" i="5"/>
  <c r="J33" i="5"/>
  <c r="H33" i="5"/>
  <c r="G33" i="5"/>
  <c r="F33" i="5"/>
  <c r="E33" i="5"/>
  <c r="D33" i="5"/>
  <c r="C33" i="5"/>
  <c r="N32" i="5"/>
  <c r="I32" i="5"/>
  <c r="N31" i="5"/>
  <c r="I31" i="5"/>
  <c r="N30" i="5"/>
  <c r="I30" i="5"/>
  <c r="N29" i="5"/>
  <c r="N28" i="5" s="1"/>
  <c r="I29" i="5"/>
  <c r="P28" i="5"/>
  <c r="O28" i="5"/>
  <c r="M28" i="5"/>
  <c r="L28" i="5"/>
  <c r="K28" i="5"/>
  <c r="J28" i="5"/>
  <c r="H28" i="5"/>
  <c r="G28" i="5"/>
  <c r="F28" i="5"/>
  <c r="E28" i="5"/>
  <c r="D28" i="5"/>
  <c r="C28" i="5"/>
  <c r="P21" i="5"/>
  <c r="P20" i="5" s="1"/>
  <c r="O21" i="5"/>
  <c r="O20" i="5" s="1"/>
  <c r="M21" i="5"/>
  <c r="M20" i="5" s="1"/>
  <c r="L21" i="5"/>
  <c r="K21" i="5"/>
  <c r="J21" i="5"/>
  <c r="N21" i="5" s="1"/>
  <c r="N20" i="5" s="1"/>
  <c r="H21" i="5"/>
  <c r="G21" i="5"/>
  <c r="G20" i="5" s="1"/>
  <c r="F21" i="5"/>
  <c r="F20" i="5" s="1"/>
  <c r="E21" i="5"/>
  <c r="D21" i="5"/>
  <c r="C21" i="5"/>
  <c r="C20" i="5" s="1"/>
  <c r="L20" i="5"/>
  <c r="K20" i="5"/>
  <c r="H20" i="5"/>
  <c r="E20" i="5"/>
  <c r="D20" i="5"/>
  <c r="P19" i="5"/>
  <c r="P16" i="5" s="1"/>
  <c r="O19" i="5"/>
  <c r="M19" i="5"/>
  <c r="L19" i="5"/>
  <c r="K19" i="5"/>
  <c r="J19" i="5"/>
  <c r="H19" i="5"/>
  <c r="G19" i="5"/>
  <c r="F19" i="5"/>
  <c r="E19" i="5"/>
  <c r="D19" i="5"/>
  <c r="C19" i="5"/>
  <c r="I19" i="5" s="1"/>
  <c r="P18" i="5"/>
  <c r="O18" i="5"/>
  <c r="M18" i="5"/>
  <c r="L18" i="5"/>
  <c r="K18" i="5"/>
  <c r="K16" i="5" s="1"/>
  <c r="J18" i="5"/>
  <c r="H18" i="5"/>
  <c r="H16" i="5" s="1"/>
  <c r="G18" i="5"/>
  <c r="F18" i="5"/>
  <c r="E18" i="5"/>
  <c r="D18" i="5"/>
  <c r="C18" i="5"/>
  <c r="C16" i="5" s="1"/>
  <c r="P17" i="5"/>
  <c r="O17" i="5"/>
  <c r="M17" i="5"/>
  <c r="M16" i="5" s="1"/>
  <c r="L17" i="5"/>
  <c r="L16" i="5" s="1"/>
  <c r="K17" i="5"/>
  <c r="J17" i="5"/>
  <c r="N17" i="5" s="1"/>
  <c r="I17" i="5"/>
  <c r="Q17" i="5" s="1"/>
  <c r="H17" i="5"/>
  <c r="G17" i="5"/>
  <c r="G16" i="5" s="1"/>
  <c r="F17" i="5"/>
  <c r="E17" i="5"/>
  <c r="D17" i="5"/>
  <c r="D16" i="5" s="1"/>
  <c r="C17" i="5"/>
  <c r="O16" i="5"/>
  <c r="F16" i="5"/>
  <c r="E16" i="5"/>
  <c r="P15" i="5"/>
  <c r="O15" i="5"/>
  <c r="O14" i="5" s="1"/>
  <c r="M15" i="5"/>
  <c r="M14" i="5" s="1"/>
  <c r="L15" i="5"/>
  <c r="K15" i="5"/>
  <c r="K14" i="5" s="1"/>
  <c r="J15" i="5"/>
  <c r="N15" i="5" s="1"/>
  <c r="N14" i="5" s="1"/>
  <c r="H15" i="5"/>
  <c r="H14" i="5" s="1"/>
  <c r="G15" i="5"/>
  <c r="F15" i="5"/>
  <c r="E15" i="5"/>
  <c r="E14" i="5" s="1"/>
  <c r="D15" i="5"/>
  <c r="C15" i="5"/>
  <c r="I15" i="5" s="1"/>
  <c r="I14" i="5" s="1"/>
  <c r="P14" i="5"/>
  <c r="L14" i="5"/>
  <c r="G14" i="5"/>
  <c r="F14" i="5"/>
  <c r="D14" i="5"/>
  <c r="P13" i="5"/>
  <c r="P12" i="5" s="1"/>
  <c r="O13" i="5"/>
  <c r="M13" i="5"/>
  <c r="M12" i="5" s="1"/>
  <c r="L13" i="5"/>
  <c r="L12" i="5" s="1"/>
  <c r="K13" i="5"/>
  <c r="K12" i="5" s="1"/>
  <c r="J13" i="5"/>
  <c r="H13" i="5"/>
  <c r="G13" i="5"/>
  <c r="F13" i="5"/>
  <c r="E13" i="5"/>
  <c r="E12" i="5" s="1"/>
  <c r="D13" i="5"/>
  <c r="D12" i="5" s="1"/>
  <c r="C13" i="5"/>
  <c r="C12" i="5" s="1"/>
  <c r="O12" i="5"/>
  <c r="H12" i="5"/>
  <c r="G12" i="5"/>
  <c r="F12" i="5"/>
  <c r="P11" i="5"/>
  <c r="O11" i="5"/>
  <c r="M11" i="5"/>
  <c r="L11" i="5"/>
  <c r="K11" i="5"/>
  <c r="J11" i="5"/>
  <c r="H11" i="5"/>
  <c r="G11" i="5"/>
  <c r="F11" i="5"/>
  <c r="E11" i="5"/>
  <c r="D11" i="5"/>
  <c r="C11" i="5"/>
  <c r="I11" i="5" s="1"/>
  <c r="P10" i="5"/>
  <c r="O10" i="5"/>
  <c r="M10" i="5"/>
  <c r="L10" i="5"/>
  <c r="K10" i="5"/>
  <c r="J10" i="5"/>
  <c r="H10" i="5"/>
  <c r="G10" i="5"/>
  <c r="F10" i="5"/>
  <c r="E10" i="5"/>
  <c r="E7" i="5" s="1"/>
  <c r="D10" i="5"/>
  <c r="C10" i="5"/>
  <c r="P9" i="5"/>
  <c r="P7" i="5" s="1"/>
  <c r="O9" i="5"/>
  <c r="M9" i="5"/>
  <c r="L9" i="5"/>
  <c r="K9" i="5"/>
  <c r="J9" i="5"/>
  <c r="H9" i="5"/>
  <c r="G9" i="5"/>
  <c r="F9" i="5"/>
  <c r="E9" i="5"/>
  <c r="D9" i="5"/>
  <c r="D7" i="5" s="1"/>
  <c r="C9" i="5"/>
  <c r="I9" i="5" s="1"/>
  <c r="P8" i="5"/>
  <c r="O8" i="5"/>
  <c r="M8" i="5"/>
  <c r="M7" i="5" s="1"/>
  <c r="L8" i="5"/>
  <c r="K8" i="5"/>
  <c r="J8" i="5"/>
  <c r="H8" i="5"/>
  <c r="H7" i="5" s="1"/>
  <c r="G8" i="5"/>
  <c r="F8" i="5"/>
  <c r="F7" i="5" s="1"/>
  <c r="E8" i="5"/>
  <c r="D8" i="5"/>
  <c r="C8" i="5"/>
  <c r="L7" i="5"/>
  <c r="J7" i="5"/>
  <c r="D334" i="4"/>
  <c r="C334" i="4"/>
  <c r="B334" i="4"/>
  <c r="D329" i="4"/>
  <c r="C329" i="4"/>
  <c r="B329" i="4"/>
  <c r="D322" i="4"/>
  <c r="D336" i="4" s="1"/>
  <c r="C322" i="4"/>
  <c r="B322" i="4"/>
  <c r="D316" i="4"/>
  <c r="C316" i="4"/>
  <c r="C318" i="4" s="1"/>
  <c r="B316" i="4"/>
  <c r="D311" i="4"/>
  <c r="C311" i="4"/>
  <c r="B311" i="4"/>
  <c r="D304" i="4"/>
  <c r="C304" i="4"/>
  <c r="B304" i="4"/>
  <c r="B300" i="4"/>
  <c r="D298" i="4"/>
  <c r="C298" i="4"/>
  <c r="B298" i="4"/>
  <c r="D293" i="4"/>
  <c r="C293" i="4"/>
  <c r="B293" i="4"/>
  <c r="D286" i="4"/>
  <c r="D300" i="4" s="1"/>
  <c r="C286" i="4"/>
  <c r="C300" i="4" s="1"/>
  <c r="B286" i="4"/>
  <c r="D278" i="4"/>
  <c r="C278" i="4"/>
  <c r="B278" i="4"/>
  <c r="B280" i="4" s="1"/>
  <c r="D273" i="4"/>
  <c r="C273" i="4"/>
  <c r="B273" i="4"/>
  <c r="D266" i="4"/>
  <c r="C266" i="4"/>
  <c r="B266" i="4"/>
  <c r="D260" i="4"/>
  <c r="C260" i="4"/>
  <c r="B260" i="4"/>
  <c r="D255" i="4"/>
  <c r="C255" i="4"/>
  <c r="C262" i="4" s="1"/>
  <c r="B255" i="4"/>
  <c r="D248" i="4"/>
  <c r="C248" i="4"/>
  <c r="B248" i="4"/>
  <c r="B262" i="4" s="1"/>
  <c r="D242" i="4"/>
  <c r="C242" i="4"/>
  <c r="B242" i="4"/>
  <c r="B244" i="4" s="1"/>
  <c r="D237" i="4"/>
  <c r="C237" i="4"/>
  <c r="B237" i="4"/>
  <c r="D230" i="4"/>
  <c r="C230" i="4"/>
  <c r="B230" i="4"/>
  <c r="D222" i="4"/>
  <c r="C222" i="4"/>
  <c r="B222" i="4"/>
  <c r="D217" i="4"/>
  <c r="C217" i="4"/>
  <c r="B217" i="4"/>
  <c r="D210" i="4"/>
  <c r="C210" i="4"/>
  <c r="C224" i="4" s="1"/>
  <c r="B210" i="4"/>
  <c r="D204" i="4"/>
  <c r="C204" i="4"/>
  <c r="B204" i="4"/>
  <c r="D199" i="4"/>
  <c r="C199" i="4"/>
  <c r="B199" i="4"/>
  <c r="D192" i="4"/>
  <c r="C192" i="4"/>
  <c r="B192" i="4"/>
  <c r="B206" i="4" s="1"/>
  <c r="D186" i="4"/>
  <c r="D188" i="4" s="1"/>
  <c r="C186" i="4"/>
  <c r="B186" i="4"/>
  <c r="D181" i="4"/>
  <c r="C181" i="4"/>
  <c r="C188" i="4" s="1"/>
  <c r="B181" i="4"/>
  <c r="B188" i="4" s="1"/>
  <c r="D174" i="4"/>
  <c r="C174" i="4"/>
  <c r="B174" i="4"/>
  <c r="D166" i="4"/>
  <c r="C166" i="4"/>
  <c r="B166" i="4"/>
  <c r="D161" i="4"/>
  <c r="C161" i="4"/>
  <c r="B161" i="4"/>
  <c r="C156" i="4"/>
  <c r="C154" i="4" s="1"/>
  <c r="D154" i="4"/>
  <c r="B154" i="4"/>
  <c r="D148" i="4"/>
  <c r="C148" i="4"/>
  <c r="C150" i="4" s="1"/>
  <c r="B148" i="4"/>
  <c r="B150" i="4" s="1"/>
  <c r="D143" i="4"/>
  <c r="C143" i="4"/>
  <c r="B143" i="4"/>
  <c r="D136" i="4"/>
  <c r="D150" i="4" s="1"/>
  <c r="C136" i="4"/>
  <c r="B136" i="4"/>
  <c r="D130" i="4"/>
  <c r="D132" i="4" s="1"/>
  <c r="C130" i="4"/>
  <c r="C132" i="4" s="1"/>
  <c r="B130" i="4"/>
  <c r="D125" i="4"/>
  <c r="C125" i="4"/>
  <c r="B125" i="4"/>
  <c r="D118" i="4"/>
  <c r="C118" i="4"/>
  <c r="B118" i="4"/>
  <c r="D110" i="4"/>
  <c r="C110" i="4"/>
  <c r="B110" i="4"/>
  <c r="D105" i="4"/>
  <c r="C105" i="4"/>
  <c r="B105" i="4"/>
  <c r="C100" i="4"/>
  <c r="C98" i="4" s="1"/>
  <c r="C112" i="4" s="1"/>
  <c r="D98" i="4"/>
  <c r="D112" i="4" s="1"/>
  <c r="B98" i="4"/>
  <c r="D92" i="4"/>
  <c r="C92" i="4"/>
  <c r="B92" i="4"/>
  <c r="D87" i="4"/>
  <c r="C87" i="4"/>
  <c r="B87" i="4"/>
  <c r="D80" i="4"/>
  <c r="C80" i="4"/>
  <c r="B80" i="4"/>
  <c r="D74" i="4"/>
  <c r="D76" i="4" s="1"/>
  <c r="C74" i="4"/>
  <c r="B74" i="4"/>
  <c r="D69" i="4"/>
  <c r="C69" i="4"/>
  <c r="B69" i="4"/>
  <c r="D62" i="4"/>
  <c r="C62" i="4"/>
  <c r="B62" i="4"/>
  <c r="D55" i="4"/>
  <c r="D54" i="4" s="1"/>
  <c r="C55" i="4"/>
  <c r="C54" i="4" s="1"/>
  <c r="B55" i="4"/>
  <c r="B54" i="4"/>
  <c r="D53" i="4"/>
  <c r="C53" i="4"/>
  <c r="B53" i="4"/>
  <c r="D52" i="4"/>
  <c r="C52" i="4"/>
  <c r="B52" i="4"/>
  <c r="D51" i="4"/>
  <c r="C51" i="4"/>
  <c r="B51" i="4"/>
  <c r="D50" i="4"/>
  <c r="C50" i="4"/>
  <c r="B50" i="4"/>
  <c r="B49" i="4" s="1"/>
  <c r="D48" i="4"/>
  <c r="C48" i="4"/>
  <c r="B48" i="4"/>
  <c r="D47" i="4"/>
  <c r="C47" i="4"/>
  <c r="B47" i="4"/>
  <c r="D46" i="4"/>
  <c r="C46" i="4"/>
  <c r="B46" i="4"/>
  <c r="D45" i="4"/>
  <c r="C45" i="4"/>
  <c r="B45" i="4"/>
  <c r="D44" i="4"/>
  <c r="B44" i="4"/>
  <c r="D43" i="4"/>
  <c r="C43" i="4"/>
  <c r="B43" i="4"/>
  <c r="B42" i="4" s="1"/>
  <c r="D37" i="4"/>
  <c r="D36" i="4" s="1"/>
  <c r="C37" i="4"/>
  <c r="C36" i="4" s="1"/>
  <c r="B37" i="4"/>
  <c r="B36" i="4" s="1"/>
  <c r="D35" i="4"/>
  <c r="C35" i="4"/>
  <c r="B35" i="4"/>
  <c r="D34" i="4"/>
  <c r="C34" i="4"/>
  <c r="C31" i="4" s="1"/>
  <c r="B34" i="4"/>
  <c r="D33" i="4"/>
  <c r="C33" i="4"/>
  <c r="B33" i="4"/>
  <c r="D32" i="4"/>
  <c r="C32" i="4"/>
  <c r="B32" i="4"/>
  <c r="B31" i="4" s="1"/>
  <c r="D30" i="4"/>
  <c r="C30" i="4"/>
  <c r="B30" i="4"/>
  <c r="D29" i="4"/>
  <c r="C29" i="4"/>
  <c r="B29" i="4"/>
  <c r="D28" i="4"/>
  <c r="C28" i="4"/>
  <c r="B28" i="4"/>
  <c r="D27" i="4"/>
  <c r="C27" i="4"/>
  <c r="B27" i="4"/>
  <c r="D26" i="4"/>
  <c r="C26" i="4"/>
  <c r="C24" i="4" s="1"/>
  <c r="B26" i="4"/>
  <c r="D25" i="4"/>
  <c r="C25" i="4"/>
  <c r="B25" i="4"/>
  <c r="D19" i="4"/>
  <c r="D18" i="4" s="1"/>
  <c r="C19" i="4"/>
  <c r="C18" i="4" s="1"/>
  <c r="B19" i="4"/>
  <c r="B18" i="4"/>
  <c r="D17" i="4"/>
  <c r="C17" i="4"/>
  <c r="B17" i="4"/>
  <c r="D16" i="4"/>
  <c r="C16" i="4"/>
  <c r="B16" i="4"/>
  <c r="D15" i="4"/>
  <c r="C15" i="4"/>
  <c r="B15" i="4"/>
  <c r="D14" i="4"/>
  <c r="C14" i="4"/>
  <c r="B14" i="4"/>
  <c r="D12" i="4"/>
  <c r="C12" i="4"/>
  <c r="B12" i="4"/>
  <c r="D11" i="4"/>
  <c r="C11" i="4"/>
  <c r="B11" i="4"/>
  <c r="D10" i="4"/>
  <c r="C10" i="4"/>
  <c r="B10" i="4"/>
  <c r="D9" i="4"/>
  <c r="C9" i="4"/>
  <c r="B9" i="4"/>
  <c r="D8" i="4"/>
  <c r="C8" i="4"/>
  <c r="B8" i="4"/>
  <c r="D7" i="4"/>
  <c r="D6" i="4" s="1"/>
  <c r="C7" i="4"/>
  <c r="B7" i="4"/>
  <c r="D20" i="3"/>
  <c r="B20" i="3"/>
  <c r="C19" i="3"/>
  <c r="C20" i="3" s="1"/>
  <c r="D14" i="3"/>
  <c r="C14" i="3"/>
  <c r="B14" i="3"/>
  <c r="D8" i="3"/>
  <c r="C8" i="3"/>
  <c r="B8" i="3"/>
  <c r="L18" i="2"/>
  <c r="K18" i="2"/>
  <c r="P22" i="5" l="1"/>
  <c r="AF105" i="12"/>
  <c r="P105" i="12"/>
  <c r="AG105" i="12" s="1"/>
  <c r="AE109" i="12"/>
  <c r="AE13" i="12"/>
  <c r="AF13" i="12"/>
  <c r="AF10" i="12"/>
  <c r="M22" i="5"/>
  <c r="AE23" i="12"/>
  <c r="AG23" i="12" s="1"/>
  <c r="AF23" i="12"/>
  <c r="AF45" i="12"/>
  <c r="P45" i="12"/>
  <c r="AG45" i="12" s="1"/>
  <c r="F22" i="5"/>
  <c r="P90" i="12"/>
  <c r="AG90" i="12" s="1"/>
  <c r="AF90" i="12"/>
  <c r="G7" i="5"/>
  <c r="L22" i="5"/>
  <c r="M43" i="5"/>
  <c r="G82" i="10"/>
  <c r="P82" i="10"/>
  <c r="H7" i="11"/>
  <c r="AF14" i="12"/>
  <c r="K72" i="12"/>
  <c r="N103" i="12"/>
  <c r="N109" i="12" s="1"/>
  <c r="K64" i="10"/>
  <c r="N16" i="5"/>
  <c r="E43" i="5"/>
  <c r="M25" i="8"/>
  <c r="B168" i="4"/>
  <c r="Q30" i="5"/>
  <c r="N37" i="5"/>
  <c r="N58" i="5"/>
  <c r="N64" i="5" s="1"/>
  <c r="E64" i="5"/>
  <c r="M64" i="5"/>
  <c r="L85" i="5"/>
  <c r="Q103" i="5"/>
  <c r="Q100" i="5" s="1"/>
  <c r="J106" i="5"/>
  <c r="Q105" i="5"/>
  <c r="I112" i="5"/>
  <c r="I121" i="5"/>
  <c r="I127" i="5" s="1"/>
  <c r="P14" i="8"/>
  <c r="Q20" i="9"/>
  <c r="Q24" i="9"/>
  <c r="N26" i="9"/>
  <c r="L29" i="9"/>
  <c r="H82" i="10"/>
  <c r="Q82" i="10"/>
  <c r="Q148" i="10" s="1"/>
  <c r="O18" i="12"/>
  <c r="P18" i="12" s="1"/>
  <c r="AG18" i="12" s="1"/>
  <c r="O31" i="12"/>
  <c r="Z37" i="12"/>
  <c r="AD37" i="12" s="1"/>
  <c r="AE37" i="12" s="1"/>
  <c r="O40" i="12"/>
  <c r="AD42" i="12"/>
  <c r="O47" i="12"/>
  <c r="P47" i="12" s="1"/>
  <c r="N93" i="12"/>
  <c r="I38" i="13"/>
  <c r="J38" i="13" s="1"/>
  <c r="K126" i="19"/>
  <c r="B6" i="4"/>
  <c r="C76" i="4"/>
  <c r="B224" i="4"/>
  <c r="K7" i="5"/>
  <c r="N19" i="5"/>
  <c r="Q19" i="5" s="1"/>
  <c r="Q16" i="5" s="1"/>
  <c r="D22" i="5"/>
  <c r="I21" i="5"/>
  <c r="Q31" i="5"/>
  <c r="J43" i="5"/>
  <c r="G43" i="5"/>
  <c r="O43" i="5"/>
  <c r="J64" i="5"/>
  <c r="F64" i="5"/>
  <c r="Q78" i="5"/>
  <c r="Q77" i="5" s="1"/>
  <c r="Q80" i="5"/>
  <c r="F85" i="5"/>
  <c r="H127" i="5"/>
  <c r="D29" i="9"/>
  <c r="I82" i="10"/>
  <c r="I148" i="10" s="1"/>
  <c r="I11" i="11"/>
  <c r="I13" i="11"/>
  <c r="P14" i="12"/>
  <c r="AE22" i="12"/>
  <c r="Z25" i="12"/>
  <c r="AD25" i="12" s="1"/>
  <c r="AE25" i="12" s="1"/>
  <c r="O39" i="12"/>
  <c r="D129" i="12"/>
  <c r="C106" i="5"/>
  <c r="E22" i="5"/>
  <c r="P43" i="5"/>
  <c r="O85" i="5"/>
  <c r="H106" i="5"/>
  <c r="L106" i="5"/>
  <c r="I9" i="9"/>
  <c r="V9" i="10"/>
  <c r="M50" i="10"/>
  <c r="E129" i="12"/>
  <c r="U129" i="12"/>
  <c r="P30" i="12"/>
  <c r="AG30" i="12" s="1"/>
  <c r="B56" i="4"/>
  <c r="D262" i="4"/>
  <c r="K64" i="5"/>
  <c r="O64" i="5"/>
  <c r="G85" i="5"/>
  <c r="B13" i="4"/>
  <c r="B20" i="4" s="1"/>
  <c r="B24" i="4"/>
  <c r="B38" i="4" s="1"/>
  <c r="C49" i="4"/>
  <c r="C94" i="4"/>
  <c r="B112" i="4"/>
  <c r="D224" i="4"/>
  <c r="B336" i="4"/>
  <c r="I10" i="5"/>
  <c r="I13" i="5"/>
  <c r="C14" i="5"/>
  <c r="I18" i="5"/>
  <c r="I16" i="5" s="1"/>
  <c r="N49" i="5"/>
  <c r="C64" i="5"/>
  <c r="H64" i="5"/>
  <c r="P64" i="5"/>
  <c r="C85" i="5"/>
  <c r="H85" i="5"/>
  <c r="P85" i="5"/>
  <c r="K127" i="5"/>
  <c r="Q126" i="5"/>
  <c r="Q19" i="9"/>
  <c r="P50" i="10"/>
  <c r="F50" i="10"/>
  <c r="N50" i="10"/>
  <c r="C105" i="10"/>
  <c r="B63" i="12"/>
  <c r="O17" i="12"/>
  <c r="Z22" i="12"/>
  <c r="AD22" i="12" s="1"/>
  <c r="AD32" i="12"/>
  <c r="AC52" i="12"/>
  <c r="AB129" i="12"/>
  <c r="AC109" i="12"/>
  <c r="V129" i="12"/>
  <c r="C6" i="4"/>
  <c r="I8" i="5"/>
  <c r="H43" i="5"/>
  <c r="G64" i="5"/>
  <c r="K85" i="5"/>
  <c r="C13" i="4"/>
  <c r="D31" i="4"/>
  <c r="D49" i="4"/>
  <c r="D56" i="4" s="1"/>
  <c r="B94" i="4"/>
  <c r="D94" i="4"/>
  <c r="C206" i="4"/>
  <c r="C336" i="4"/>
  <c r="O7" i="5"/>
  <c r="N13" i="5"/>
  <c r="N12" i="5" s="1"/>
  <c r="N18" i="5"/>
  <c r="Q18" i="5" s="1"/>
  <c r="Q32" i="5"/>
  <c r="Q42" i="5"/>
  <c r="Q41" i="5" s="1"/>
  <c r="D64" i="5"/>
  <c r="Q61" i="5"/>
  <c r="I70" i="5"/>
  <c r="I85" i="5" s="1"/>
  <c r="D85" i="5"/>
  <c r="M85" i="5"/>
  <c r="I91" i="5"/>
  <c r="Q95" i="5"/>
  <c r="N100" i="5"/>
  <c r="F127" i="5"/>
  <c r="C127" i="5"/>
  <c r="Q15" i="9"/>
  <c r="G50" i="10"/>
  <c r="G148" i="10" s="1"/>
  <c r="O50" i="10"/>
  <c r="O148" i="10" s="1"/>
  <c r="V70" i="10"/>
  <c r="C145" i="10"/>
  <c r="H17" i="11"/>
  <c r="H22" i="11"/>
  <c r="O15" i="12"/>
  <c r="Z17" i="12"/>
  <c r="AD17" i="12" s="1"/>
  <c r="AE17" i="12" s="1"/>
  <c r="Z39" i="12"/>
  <c r="AD39" i="12" s="1"/>
  <c r="AE39" i="12" s="1"/>
  <c r="C63" i="12"/>
  <c r="AD71" i="12"/>
  <c r="AE71" i="12" s="1"/>
  <c r="M126" i="19"/>
  <c r="D13" i="4"/>
  <c r="D20" i="4" s="1"/>
  <c r="D24" i="4"/>
  <c r="D42" i="4"/>
  <c r="B76" i="4"/>
  <c r="B132" i="4"/>
  <c r="D206" i="4"/>
  <c r="B318" i="4"/>
  <c r="N9" i="5"/>
  <c r="Q9" i="5" s="1"/>
  <c r="H22" i="5"/>
  <c r="N70" i="5"/>
  <c r="E85" i="5"/>
  <c r="J85" i="5"/>
  <c r="Q84" i="5"/>
  <c r="Q83" i="5" s="1"/>
  <c r="K106" i="5"/>
  <c r="P106" i="5"/>
  <c r="G127" i="5"/>
  <c r="H29" i="9"/>
  <c r="V36" i="10"/>
  <c r="N82" i="10"/>
  <c r="K70" i="10"/>
  <c r="K82" i="10" s="1"/>
  <c r="V145" i="10"/>
  <c r="O11" i="12"/>
  <c r="AD46" i="12"/>
  <c r="AE46" i="12" s="1"/>
  <c r="AD51" i="12"/>
  <c r="AE51" i="12" s="1"/>
  <c r="AD82" i="12"/>
  <c r="AE82" i="12" s="1"/>
  <c r="AF103" i="12"/>
  <c r="H129" i="12"/>
  <c r="X129" i="12"/>
  <c r="G124" i="14"/>
  <c r="P4856" i="18"/>
  <c r="C20" i="4"/>
  <c r="I7" i="5"/>
  <c r="C38" i="4"/>
  <c r="D38" i="4"/>
  <c r="G22" i="5"/>
  <c r="N98" i="5"/>
  <c r="Q99" i="5"/>
  <c r="AF31" i="12"/>
  <c r="P31" i="12"/>
  <c r="AG31" i="12" s="1"/>
  <c r="K63" i="12"/>
  <c r="Q34" i="5"/>
  <c r="I33" i="5"/>
  <c r="C44" i="4"/>
  <c r="C42" i="4" s="1"/>
  <c r="C56" i="4" s="1"/>
  <c r="D244" i="4"/>
  <c r="N8" i="5"/>
  <c r="J16" i="5"/>
  <c r="O22" i="5"/>
  <c r="Q71" i="5"/>
  <c r="Q91" i="5"/>
  <c r="I106" i="5"/>
  <c r="M106" i="5"/>
  <c r="O22" i="12"/>
  <c r="C168" i="4"/>
  <c r="Q29" i="5"/>
  <c r="I28" i="5"/>
  <c r="Q125" i="5"/>
  <c r="N145" i="10"/>
  <c r="N148" i="10" s="1"/>
  <c r="AE42" i="12"/>
  <c r="AF42" i="12"/>
  <c r="I49" i="5"/>
  <c r="Q50" i="5"/>
  <c r="N17" i="9"/>
  <c r="Q16" i="9"/>
  <c r="J14" i="5"/>
  <c r="Q21" i="9"/>
  <c r="D168" i="4"/>
  <c r="D318" i="4"/>
  <c r="J12" i="5"/>
  <c r="J20" i="5"/>
  <c r="F43" i="5"/>
  <c r="N43" i="5"/>
  <c r="L127" i="5"/>
  <c r="K44" i="10"/>
  <c r="AF17" i="12"/>
  <c r="P17" i="12"/>
  <c r="AG17" i="12" s="1"/>
  <c r="C7" i="5"/>
  <c r="C280" i="4"/>
  <c r="N11" i="5"/>
  <c r="Q11" i="5" s="1"/>
  <c r="K22" i="5"/>
  <c r="N79" i="5"/>
  <c r="N85" i="5" s="1"/>
  <c r="P15" i="12"/>
  <c r="AG15" i="12" s="1"/>
  <c r="AF15" i="12"/>
  <c r="AG47" i="12"/>
  <c r="O72" i="12"/>
  <c r="P85" i="12"/>
  <c r="K109" i="12"/>
  <c r="K129" i="12" s="1"/>
  <c r="O99" i="12"/>
  <c r="P25" i="8"/>
  <c r="Q14" i="8" s="1"/>
  <c r="P70" i="12"/>
  <c r="AG70" i="12" s="1"/>
  <c r="AF70" i="12"/>
  <c r="D280" i="4"/>
  <c r="N10" i="5"/>
  <c r="Q10" i="5" s="1"/>
  <c r="Q52" i="5"/>
  <c r="I58" i="5"/>
  <c r="Q59" i="5"/>
  <c r="Q75" i="5"/>
  <c r="Q79" i="5"/>
  <c r="E31" i="11"/>
  <c r="P11" i="12"/>
  <c r="AG11" i="12" s="1"/>
  <c r="AF11" i="12"/>
  <c r="Q38" i="5"/>
  <c r="I37" i="5"/>
  <c r="C244" i="4"/>
  <c r="Q15" i="5"/>
  <c r="I54" i="5"/>
  <c r="Q55" i="5"/>
  <c r="Q112" i="5"/>
  <c r="AD69" i="12"/>
  <c r="AF69" i="12" s="1"/>
  <c r="Z93" i="12"/>
  <c r="P80" i="12"/>
  <c r="N112" i="5"/>
  <c r="K9" i="10"/>
  <c r="P148" i="10"/>
  <c r="V20" i="10"/>
  <c r="F148" i="10"/>
  <c r="E50" i="10"/>
  <c r="E148" i="10" s="1"/>
  <c r="N105" i="10"/>
  <c r="AE10" i="12"/>
  <c r="AF47" i="12"/>
  <c r="Y93" i="12"/>
  <c r="Y129" i="12" s="1"/>
  <c r="P86" i="12"/>
  <c r="P89" i="12"/>
  <c r="B129" i="12"/>
  <c r="F129" i="12"/>
  <c r="E106" i="5"/>
  <c r="O106" i="5"/>
  <c r="D127" i="5"/>
  <c r="M127" i="5"/>
  <c r="Q11" i="9"/>
  <c r="I26" i="9"/>
  <c r="Q26" i="9" s="1"/>
  <c r="I28" i="9"/>
  <c r="H148" i="10"/>
  <c r="T50" i="10"/>
  <c r="T148" i="10" s="1"/>
  <c r="AF25" i="12"/>
  <c r="P25" i="12"/>
  <c r="AG25" i="12" s="1"/>
  <c r="AF39" i="12"/>
  <c r="P39" i="12"/>
  <c r="AG39" i="12" s="1"/>
  <c r="AC114" i="12"/>
  <c r="AD112" i="12"/>
  <c r="AI129" i="12"/>
  <c r="I129" i="12"/>
  <c r="AF126" i="12"/>
  <c r="Q129" i="12"/>
  <c r="F106" i="5"/>
  <c r="E127" i="5"/>
  <c r="N127" i="5"/>
  <c r="V49" i="10"/>
  <c r="V44" i="10" s="1"/>
  <c r="V50" i="10" s="1"/>
  <c r="P10" i="12"/>
  <c r="AG13" i="12"/>
  <c r="N52" i="12"/>
  <c r="O52" i="12" s="1"/>
  <c r="P52" i="12" s="1"/>
  <c r="AF71" i="12"/>
  <c r="P71" i="12"/>
  <c r="AG71" i="12" s="1"/>
  <c r="G106" i="5"/>
  <c r="Q123" i="5"/>
  <c r="Q121" i="5" s="1"/>
  <c r="Q23" i="9"/>
  <c r="Q25" i="9" s="1"/>
  <c r="N27" i="9"/>
  <c r="E29" i="9"/>
  <c r="K28" i="10"/>
  <c r="B50" i="10"/>
  <c r="J50" i="10"/>
  <c r="J148" i="10" s="1"/>
  <c r="R50" i="10"/>
  <c r="R148" i="10" s="1"/>
  <c r="W50" i="10"/>
  <c r="D82" i="10"/>
  <c r="AC63" i="12"/>
  <c r="AF30" i="12"/>
  <c r="P51" i="12"/>
  <c r="AF84" i="12"/>
  <c r="P84" i="12"/>
  <c r="AG84" i="12" s="1"/>
  <c r="AG113" i="12"/>
  <c r="C129" i="12"/>
  <c r="N106" i="5"/>
  <c r="P127" i="5"/>
  <c r="Q7" i="9"/>
  <c r="C50" i="10"/>
  <c r="S50" i="10"/>
  <c r="M82" i="10"/>
  <c r="M148" i="10" s="1"/>
  <c r="U82" i="10"/>
  <c r="U148" i="10" s="1"/>
  <c r="R63" i="12"/>
  <c r="R129" i="12" s="1"/>
  <c r="S63" i="12"/>
  <c r="S129" i="12" s="1"/>
  <c r="AD21" i="12"/>
  <c r="AE21" i="12" s="1"/>
  <c r="P38" i="12"/>
  <c r="O93" i="12"/>
  <c r="P69" i="12"/>
  <c r="AF77" i="12"/>
  <c r="P101" i="12"/>
  <c r="AG101" i="12" s="1"/>
  <c r="P103" i="12"/>
  <c r="AG103" i="12" s="1"/>
  <c r="Q104" i="5"/>
  <c r="I27" i="9"/>
  <c r="G29" i="9"/>
  <c r="P12" i="12"/>
  <c r="AG12" i="12" s="1"/>
  <c r="AF12" i="12"/>
  <c r="AF73" i="12"/>
  <c r="P73" i="12"/>
  <c r="P76" i="12"/>
  <c r="AF76" i="12"/>
  <c r="AF81" i="12"/>
  <c r="P81" i="12"/>
  <c r="AG81" i="12" s="1"/>
  <c r="P82" i="12"/>
  <c r="AG82" i="12" s="1"/>
  <c r="AF82" i="12"/>
  <c r="AA109" i="12"/>
  <c r="AA129" i="12" s="1"/>
  <c r="M129" i="12"/>
  <c r="N28" i="9"/>
  <c r="N29" i="9" s="1"/>
  <c r="W82" i="10"/>
  <c r="O37" i="12"/>
  <c r="AD76" i="12"/>
  <c r="AE76" i="12" s="1"/>
  <c r="AD80" i="12"/>
  <c r="AE80" i="12" s="1"/>
  <c r="AD89" i="12"/>
  <c r="AE89" i="12" s="1"/>
  <c r="AF107" i="12"/>
  <c r="Z109" i="12"/>
  <c r="D50" i="10"/>
  <c r="L50" i="10"/>
  <c r="V64" i="10"/>
  <c r="V82" i="10" s="1"/>
  <c r="O32" i="12"/>
  <c r="AF32" i="12" s="1"/>
  <c r="AC93" i="12"/>
  <c r="AC129" i="12" s="1"/>
  <c r="J129" i="12"/>
  <c r="P107" i="12"/>
  <c r="AG107" i="12" s="1"/>
  <c r="L105" i="10"/>
  <c r="O21" i="12"/>
  <c r="AF24" i="12"/>
  <c r="Z38" i="12"/>
  <c r="AD38" i="12" s="1"/>
  <c r="AE38" i="12" s="1"/>
  <c r="P40" i="12"/>
  <c r="AG40" i="12" s="1"/>
  <c r="AD52" i="12"/>
  <c r="AE52" i="12" s="1"/>
  <c r="AD72" i="12"/>
  <c r="AE72" i="12" s="1"/>
  <c r="AD85" i="12"/>
  <c r="AE85" i="12" s="1"/>
  <c r="AH129" i="12"/>
  <c r="C82" i="10"/>
  <c r="S82" i="10"/>
  <c r="W105" i="10"/>
  <c r="B145" i="10"/>
  <c r="K142" i="10"/>
  <c r="K145" i="10" s="1"/>
  <c r="G31" i="11"/>
  <c r="I31" i="11" s="1"/>
  <c r="AG14" i="12"/>
  <c r="O16" i="12"/>
  <c r="Z18" i="12"/>
  <c r="AD18" i="12" s="1"/>
  <c r="AE18" i="12" s="1"/>
  <c r="P22" i="12"/>
  <c r="Z40" i="12"/>
  <c r="AD40" i="12" s="1"/>
  <c r="AE40" i="12" s="1"/>
  <c r="O46" i="12"/>
  <c r="L145" i="10"/>
  <c r="AG24" i="12"/>
  <c r="AE32" i="12"/>
  <c r="O33" i="12"/>
  <c r="AG42" i="12"/>
  <c r="K93" i="12"/>
  <c r="AD73" i="12"/>
  <c r="AE73" i="12" s="1"/>
  <c r="AD74" i="12"/>
  <c r="AF75" i="12"/>
  <c r="P75" i="12"/>
  <c r="AG75" i="12" s="1"/>
  <c r="AF79" i="12"/>
  <c r="P79" i="12"/>
  <c r="AG79" i="12" s="1"/>
  <c r="AD86" i="12"/>
  <c r="AE86" i="12" s="1"/>
  <c r="AD87" i="12"/>
  <c r="AF88" i="12"/>
  <c r="P88" i="12"/>
  <c r="AG88" i="12" s="1"/>
  <c r="AD109" i="12"/>
  <c r="O112" i="12"/>
  <c r="M4856" i="18"/>
  <c r="N65" i="19"/>
  <c r="N126" i="19" s="1"/>
  <c r="Z129" i="12" l="1"/>
  <c r="Q27" i="9"/>
  <c r="R7" i="9" s="1"/>
  <c r="AG80" i="12"/>
  <c r="AF22" i="12"/>
  <c r="Z63" i="12"/>
  <c r="AF85" i="12"/>
  <c r="I12" i="5"/>
  <c r="Q13" i="5"/>
  <c r="Q12" i="5" s="1"/>
  <c r="I20" i="5"/>
  <c r="I22" i="5" s="1"/>
  <c r="Q21" i="5"/>
  <c r="Q20" i="5" s="1"/>
  <c r="AF51" i="12"/>
  <c r="AG22" i="12"/>
  <c r="V148" i="10"/>
  <c r="C22" i="5"/>
  <c r="O63" i="12"/>
  <c r="D148" i="10"/>
  <c r="P32" i="12"/>
  <c r="AG51" i="12"/>
  <c r="I64" i="5"/>
  <c r="Q9" i="8"/>
  <c r="R26" i="9"/>
  <c r="R18" i="9"/>
  <c r="R10" i="9"/>
  <c r="R22" i="9"/>
  <c r="R14" i="9"/>
  <c r="R6" i="9"/>
  <c r="AE63" i="12"/>
  <c r="Q14" i="5"/>
  <c r="AF46" i="12"/>
  <c r="P46" i="12"/>
  <c r="AG46" i="12" s="1"/>
  <c r="AD63" i="12"/>
  <c r="Q33" i="5"/>
  <c r="AF40" i="12"/>
  <c r="AG76" i="12"/>
  <c r="AG38" i="12"/>
  <c r="AF89" i="12"/>
  <c r="AD93" i="12"/>
  <c r="AE69" i="12"/>
  <c r="I43" i="5"/>
  <c r="Q58" i="5"/>
  <c r="AG85" i="12"/>
  <c r="AF18" i="12"/>
  <c r="N7" i="5"/>
  <c r="N22" i="5" s="1"/>
  <c r="Q25" i="8"/>
  <c r="Q7" i="8"/>
  <c r="Q11" i="8"/>
  <c r="Q16" i="8"/>
  <c r="AE87" i="12"/>
  <c r="AG87" i="12" s="1"/>
  <c r="AF87" i="12"/>
  <c r="AG73" i="12"/>
  <c r="AF38" i="12"/>
  <c r="S148" i="10"/>
  <c r="R23" i="9"/>
  <c r="AG10" i="12"/>
  <c r="AG89" i="12"/>
  <c r="Q37" i="5"/>
  <c r="P72" i="12"/>
  <c r="AG72" i="12" s="1"/>
  <c r="AF72" i="12"/>
  <c r="Q28" i="5"/>
  <c r="Q70" i="5"/>
  <c r="Q85" i="5" s="1"/>
  <c r="Q8" i="5"/>
  <c r="R112" i="5"/>
  <c r="AE74" i="12"/>
  <c r="AG74" i="12" s="1"/>
  <c r="AF74" i="12"/>
  <c r="AF21" i="12"/>
  <c r="P21" i="12"/>
  <c r="AG21" i="12" s="1"/>
  <c r="AG32" i="12"/>
  <c r="C148" i="10"/>
  <c r="W148" i="10"/>
  <c r="R123" i="5"/>
  <c r="AG86" i="12"/>
  <c r="N63" i="12"/>
  <c r="N129" i="12" s="1"/>
  <c r="AF33" i="12"/>
  <c r="P33" i="12"/>
  <c r="AG33" i="12" s="1"/>
  <c r="AF16" i="12"/>
  <c r="AF63" i="12" s="1"/>
  <c r="P16" i="12"/>
  <c r="AG16" i="12" s="1"/>
  <c r="Q28" i="9"/>
  <c r="AD114" i="12"/>
  <c r="AE112" i="12"/>
  <c r="AE114" i="12" s="1"/>
  <c r="AF86" i="12"/>
  <c r="Q9" i="9"/>
  <c r="Q54" i="5"/>
  <c r="J22" i="5"/>
  <c r="Q17" i="9"/>
  <c r="R125" i="5"/>
  <c r="Q127" i="5"/>
  <c r="Q98" i="5"/>
  <c r="L148" i="10"/>
  <c r="AF37" i="12"/>
  <c r="P37" i="12"/>
  <c r="AG37" i="12" s="1"/>
  <c r="I29" i="9"/>
  <c r="Q18" i="8"/>
  <c r="K50" i="10"/>
  <c r="K148" i="10" s="1"/>
  <c r="AF112" i="12"/>
  <c r="AF114" i="12" s="1"/>
  <c r="O114" i="12"/>
  <c r="P112" i="12"/>
  <c r="Q13" i="9"/>
  <c r="B148" i="10"/>
  <c r="AF80" i="12"/>
  <c r="AF99" i="12"/>
  <c r="AF109" i="12" s="1"/>
  <c r="O109" i="12"/>
  <c r="P99" i="12"/>
  <c r="Q49" i="5"/>
  <c r="R75" i="5" l="1"/>
  <c r="R79" i="5"/>
  <c r="AF93" i="12"/>
  <c r="AF129" i="12" s="1"/>
  <c r="R19" i="9"/>
  <c r="R15" i="9"/>
  <c r="R27" i="9"/>
  <c r="R11" i="9"/>
  <c r="AE93" i="12"/>
  <c r="AE129" i="12" s="1"/>
  <c r="Q29" i="9"/>
  <c r="R28" i="9"/>
  <c r="R12" i="9"/>
  <c r="R24" i="9"/>
  <c r="R8" i="9"/>
  <c r="R20" i="9"/>
  <c r="Q43" i="5"/>
  <c r="R37" i="5" s="1"/>
  <c r="Q7" i="5"/>
  <c r="R120" i="5"/>
  <c r="R119" i="5"/>
  <c r="R118" i="5"/>
  <c r="R122" i="5"/>
  <c r="R124" i="5"/>
  <c r="R116" i="5"/>
  <c r="R114" i="5"/>
  <c r="R115" i="5"/>
  <c r="R126" i="5"/>
  <c r="R113" i="5"/>
  <c r="R117" i="5"/>
  <c r="R71" i="5"/>
  <c r="O129" i="12"/>
  <c r="R33" i="5"/>
  <c r="P93" i="12"/>
  <c r="R70" i="5"/>
  <c r="P63" i="12"/>
  <c r="R16" i="9"/>
  <c r="AG63" i="12"/>
  <c r="Q106" i="5"/>
  <c r="R98" i="5" s="1"/>
  <c r="R76" i="5"/>
  <c r="R82" i="5"/>
  <c r="R83" i="5"/>
  <c r="R84" i="5"/>
  <c r="R78" i="5"/>
  <c r="R73" i="5"/>
  <c r="R77" i="5"/>
  <c r="R80" i="5"/>
  <c r="R81" i="5"/>
  <c r="R72" i="5"/>
  <c r="R74" i="5"/>
  <c r="AG69" i="12"/>
  <c r="AG93" i="12" s="1"/>
  <c r="P109" i="12"/>
  <c r="AG99" i="12"/>
  <c r="AG109" i="12" s="1"/>
  <c r="AG112" i="12"/>
  <c r="AG114" i="12" s="1"/>
  <c r="P114" i="12"/>
  <c r="AD129" i="12"/>
  <c r="Q64" i="5"/>
  <c r="R121" i="5"/>
  <c r="R28" i="5" l="1"/>
  <c r="R57" i="5"/>
  <c r="R51" i="5"/>
  <c r="R53" i="5"/>
  <c r="R63" i="5"/>
  <c r="R61" i="5"/>
  <c r="R60" i="5"/>
  <c r="R56" i="5"/>
  <c r="R62" i="5"/>
  <c r="R59" i="5"/>
  <c r="R52" i="5"/>
  <c r="R50" i="5"/>
  <c r="R55" i="5"/>
  <c r="R49" i="5"/>
  <c r="R58" i="5"/>
  <c r="P129" i="12"/>
  <c r="R54" i="5"/>
  <c r="AG129" i="12"/>
  <c r="R94" i="5"/>
  <c r="R92" i="5"/>
  <c r="R101" i="5"/>
  <c r="R93" i="5"/>
  <c r="R96" i="5"/>
  <c r="R105" i="5"/>
  <c r="R97" i="5"/>
  <c r="R102" i="5"/>
  <c r="R103" i="5"/>
  <c r="R100" i="5"/>
  <c r="R95" i="5"/>
  <c r="R104" i="5"/>
  <c r="R99" i="5"/>
  <c r="R91" i="5"/>
  <c r="R30" i="5"/>
  <c r="R39" i="5"/>
  <c r="R42" i="5"/>
  <c r="R31" i="5"/>
  <c r="R40" i="5"/>
  <c r="R41" i="5"/>
  <c r="R36" i="5"/>
  <c r="R32" i="5"/>
  <c r="R35" i="5"/>
  <c r="R29" i="5"/>
  <c r="R34" i="5"/>
  <c r="R38" i="5"/>
  <c r="Q22" i="5"/>
  <c r="R17" i="5" l="1"/>
  <c r="R21" i="5"/>
  <c r="R9" i="5"/>
  <c r="R12" i="5"/>
  <c r="R13" i="5"/>
  <c r="R18" i="5"/>
  <c r="R19" i="5"/>
  <c r="R11" i="5"/>
  <c r="R15" i="5"/>
  <c r="R10" i="5"/>
  <c r="R16" i="5"/>
  <c r="R20" i="5"/>
  <c r="R8" i="5"/>
  <c r="R14" i="5"/>
  <c r="R7" i="5"/>
  <c r="Q68" i="14"/>
</calcChain>
</file>

<file path=xl/sharedStrings.xml><?xml version="1.0" encoding="utf-8"?>
<sst xmlns="http://schemas.openxmlformats.org/spreadsheetml/2006/main" count="47251" uniqueCount="12876">
  <si>
    <t>ÍNDICE DE FORMATOS</t>
  </si>
  <si>
    <t>INDICADORES INSTITUCIONALES</t>
  </si>
  <si>
    <t>FORMATO Nº 1:</t>
  </si>
  <si>
    <t>INDICADORES DE GESTIÓN SEGÚN OBJETIVOS ESTRATÉGICOS INSTITUCIONALES AL 2021</t>
  </si>
  <si>
    <t>DISTRIBUCIÓN DEL GASTO</t>
  </si>
  <si>
    <t>FORMATO Nº 2:</t>
  </si>
  <si>
    <t>DISTRIBUCIÓN DEL PRESUPUESTO POR CATEGORÍA PRESUPUESTAL 2019, 2020 Y PROYECTO 2021</t>
  </si>
  <si>
    <t>FORMATO Nº 3:</t>
  </si>
  <si>
    <t>DISTRIBUCIÓN DEL PRESUPUESTO POR FUENTE DE FINANCIAMIENTO 2019, 2020 Y PROYECTO 2021</t>
  </si>
  <si>
    <t>FORMATO Nº 4:</t>
  </si>
  <si>
    <t>DISTRIBUCIÓN DEL GASTO POR UNIDADES EJECUTORAS / ENTIDAD PÚBLICA Y FUENTES DE FINANCIAMIENTO - PROYECTO 2021</t>
  </si>
  <si>
    <t>FORMATO Nº 5:</t>
  </si>
  <si>
    <t>DISTRIBUCIÓN DEL PRESUPUESTO POR PROGRAMA PRESUPUESTAL 2019, 2020 Y 2021</t>
  </si>
  <si>
    <t>FORMATO Nº 6:</t>
  </si>
  <si>
    <t>PROGRAMAS SOCIALES PRIORIZADOS SEGÚN EL CICLO DE VIDA POR FUENTE DE FINANCIAMIENTO 2019, 2020 Y PROYECTO 2021</t>
  </si>
  <si>
    <t>FORMATO Nº 7:</t>
  </si>
  <si>
    <t>RESUMEN POR GRUPO GENÉRICO Y FUENTES DE FINANCIAMIENTO PROYECTO 2021</t>
  </si>
  <si>
    <t>FORMATO Nº 8:</t>
  </si>
  <si>
    <t>RESUMEN DE PRESUPUESTO POR FUNCIONES PIA 2019, 2020 Y PROYECTO 2021</t>
  </si>
  <si>
    <t>GASTOS DE PERSONAL</t>
  </si>
  <si>
    <t>FORMATO Nº 9:</t>
  </si>
  <si>
    <t>COMPARATIVO DEL NÚMERO DE PLAZAS EN EL PRESUPUESTO 2019, 2020 Y PROYECTO 2021</t>
  </si>
  <si>
    <t>FORMATO Nº 10:</t>
  </si>
  <si>
    <t>INFORMACIÓN DE REMUNERACIONES Y NÚMERO DE PLAZAS - PRESUPUESTO 2019, 2020 Y PROYECTO 2021</t>
  </si>
  <si>
    <t>FORMATO Nº 11:</t>
  </si>
  <si>
    <t>INGRESOS MENSUALES POR PERIODO DEL PERSONAL ACTIVO -  COMPARATIVO PRESUPUESTO 2019, 2020 Y PROYECTO 2021</t>
  </si>
  <si>
    <t>GASTOS EN BIENES Y SERVICIOS</t>
  </si>
  <si>
    <t>FORMATO Nº 12:</t>
  </si>
  <si>
    <t>ASIGNACIÓN DE BIENES Y SERVICIOS - COMPARATIVO PRESUPUESTO 2019, 2020 Y PROYECTO 2021</t>
  </si>
  <si>
    <t>FORMATO Nº 13:</t>
  </si>
  <si>
    <t>CONTRATOS DE OBRAS SUSCRITOS EN LOS AÑOS 2019 Y 2020</t>
  </si>
  <si>
    <t>FORMATO Nº 14:</t>
  </si>
  <si>
    <t>PRINCIPALES ADQUISICIONES DE BIENES Y SERVICIOS - PRESUPUESTO 2019, 2020 Y PROYECTO 2021</t>
  </si>
  <si>
    <t>FORMATO Nº 15:</t>
  </si>
  <si>
    <t>DETALLE DE CONSULTORIAS PERSONAS JURÍDICAS Y NATURALES - PRESUPUESTO 2019, 2020 Y PROYECTO 2021</t>
  </si>
  <si>
    <t>FORMATO Nº 16:</t>
  </si>
  <si>
    <t>TESORERIA - RESUMEN POR GRUPO GENERICO Y FUENTES DE FINANCIAMIENTO 2019 Y 2020</t>
  </si>
  <si>
    <t>OTROS</t>
  </si>
  <si>
    <t>FORMATO Nº 17:</t>
  </si>
  <si>
    <t>NOMBRES E INGRESOS MENSUALES DEL PERSONAL CONTRATADO FUERA DEL PAP EN LOS AÑOS FISCALES 2019 Y 2020</t>
  </si>
  <si>
    <t>FORMATO Nº 18:</t>
  </si>
  <si>
    <t>ALQUILER DE INMUEBLES EN LOS AÑOS FISCALES 2019 Y 2020</t>
  </si>
  <si>
    <t>FORMATO 01: INDICADORES DE GESTIÓN SEGÚN OBJETIVOS ESTRATÉGICOS INSTITUCIONALES AL 2021</t>
  </si>
  <si>
    <t>SECTOR 037: VIVIENDA CONSTRUCCION Y SANEAMIENTO</t>
  </si>
  <si>
    <t>PLIEGO O ENTIDAD DEL SECTOR</t>
  </si>
  <si>
    <t>Objetivo Estrategico Sectorial
(Código)</t>
  </si>
  <si>
    <t>Objetivo Estrategico Institucional
(Código y Enunciado)</t>
  </si>
  <si>
    <t>Nombre del Indicador</t>
  </si>
  <si>
    <t>Linea Base</t>
  </si>
  <si>
    <t>Meta 2021</t>
  </si>
  <si>
    <t>Fuente de Información</t>
  </si>
  <si>
    <t>Responsable</t>
  </si>
  <si>
    <t>Meta</t>
  </si>
  <si>
    <t>Resultado</t>
  </si>
  <si>
    <t>Proyectado</t>
  </si>
  <si>
    <t>Ministerio de Vivienda, Construcción y Saneamiento (MVCS)</t>
  </si>
  <si>
    <t>OES.06</t>
  </si>
  <si>
    <t>OEI.01.Incrementar el acceso a los servicios de saneamiento, sostenibles y de calidad, de la población del ámbito urbano.</t>
  </si>
  <si>
    <t>Porcentaje de la población del ámbito urbano que accede al servicio de agua potable mediante red pública con intervención directa del MVCS.</t>
  </si>
  <si>
    <t>0.03% de población accede al servicio de agua potable con intervención directa del MVCS,  en el año base.</t>
  </si>
  <si>
    <t>0.1% de población que accede al servicio de agua potable con intervención directa del MVCS en el año 2021.</t>
  </si>
  <si>
    <t>MVCS
INEI</t>
  </si>
  <si>
    <t>MVCS</t>
  </si>
  <si>
    <t>N.A.</t>
  </si>
  <si>
    <t>Porcentaje de la población del ámbito urbano que accede al servicio de alcantarillado u otras formas de disposición sanitaria de excretas con intervención directa del MVCS.</t>
  </si>
  <si>
    <t>0.03% de población accede al servicio de alcantarillado con intervención directa del MVCS,  en el año base.</t>
  </si>
  <si>
    <t>0.07% de población que accede al servicio de alcantarillado con intervención directa del MVCS,  en el año 2021.</t>
  </si>
  <si>
    <t>OES.05</t>
  </si>
  <si>
    <t>OEI.02. Incrementar el acceso a los servicios de saneamiento, sostenibles y de calidad, de la población del ámbito rural.</t>
  </si>
  <si>
    <t>Porcentaje de la población del ámbito rural que accede al servicio de agua potable mediante red pública con intervención directa del  MVCS.</t>
  </si>
  <si>
    <t>0.72% de la población del ámbito rural accede al servicio de agua potable con intervención directa del  MVCS,  en el año base.</t>
  </si>
  <si>
    <t>1.24% de la población del ámbito rural accede al servicio de agua potable con intervención directa del  MVCS,  en el año 2021</t>
  </si>
  <si>
    <t>Porcentaje de la población del ámbito rural que accede a servicios de alcantarillado u otras formas de disposición sanitaria de excretas con intervención directa del MVCS.</t>
  </si>
  <si>
    <t>0.74% de la población del ámbito rural  accede a servicios de disposición sanitaria de excretas con intervención directa del MVCS,  en el año base.</t>
  </si>
  <si>
    <t>1.29% de la población del ámbito rural  accede a servicios de disposición sanitaria de excretas con intervención directa del MVCS,  en el año 2021</t>
  </si>
  <si>
    <t>OES.04</t>
  </si>
  <si>
    <t>OEI.03. Impulsar la construcción de edificaciones e infraestructura  urbana seguras, accesibles  y sostenibles en beneficio de la población a nivel nacional</t>
  </si>
  <si>
    <t>Porcentaje de viviendas que han sido construidas a través de procesos formales.</t>
  </si>
  <si>
    <t>16.74% de viviendas han sido construidas a través de procesos formales.</t>
  </si>
  <si>
    <t>17.5% de viviendas han sido construidas a través de procesos formales.</t>
  </si>
  <si>
    <t>Variación del número de edificaciones y habilitaciones urbana registradas en el MVCS como edificación o habilitación urbana sostenible, respecto al año anterior.</t>
  </si>
  <si>
    <t>N.D.</t>
  </si>
  <si>
    <t>Incremento de 400 edificaciones y hbailitaciones urbanas registradas como sostenbles respecto al año 2020</t>
  </si>
  <si>
    <t>S.I.</t>
  </si>
  <si>
    <t>OES.01</t>
  </si>
  <si>
    <t>OEI.04. Mejorar el ordenamiento y desarrollo urbano sostenible y accesible de los centros poblados.</t>
  </si>
  <si>
    <t>Porcentaje de gobiernos locales provinciales que cuentan con Planes de Acondicionamiento Territorial (PAT) elaborados en convenio con el MVCS.</t>
  </si>
  <si>
    <t>8.16% de gobiernos locales provinciales cuentan con Planes de Acondicionamiento Territorial (PAT) elaborados en convenio con el MVCS.</t>
  </si>
  <si>
    <t>50.5% de gobiernos locales provinciales cuentan con Planes de Acondicionamiento Territorial (PAT) elaborados en convenio con el MVCS.</t>
  </si>
  <si>
    <t>Porcentaje de gobiernos locales con Planes de Desarrollo Urbano (PDU) elaborados en convenio con el MVCS.</t>
  </si>
  <si>
    <t>2.3% de gobiernos locales cuentan  con Planes de Desarrollo Urbano (PDU) elaborados en convenio con el MVCS.</t>
  </si>
  <si>
    <t>8.8% de gobiernos locales cuentan  con Planes de Desarrollo Urbano (PDU) elaborados en convenio con el MVCS.</t>
  </si>
  <si>
    <t>Porcentaje de Gobiernos Regionales y Locales que implementan los criterios de Accesibilidad en sus proyectos.</t>
  </si>
  <si>
    <t>50.07% de Gobiernos Regionales y Locales que implementan los criterios de Accesibilidad en sus proyectos.</t>
  </si>
  <si>
    <t>OES.02</t>
  </si>
  <si>
    <t>OEI.05. Incrementar el acceso a viviendas adecuadas y seguras de la población del ámbito urbano.</t>
  </si>
  <si>
    <t>Porcentaje de familias en el ámbito urbano de nivel socioeconómico C, D y E que cuentan con una vivienda adecuada y segura.</t>
  </si>
  <si>
    <t>3.1%  de familias en el ámbito urbano de nivel socioeconómico C, D y E  cuentan con una vivienda adecuada y segura en el año base</t>
  </si>
  <si>
    <t>6.6%  de familias en el ámbito urbano de nivel socioeconómico C, D y E  cuentan con una vivienda adecuada y segura en el año 2021</t>
  </si>
  <si>
    <t>OEI.06. Incrementar el acceso a viviendas adecuadas y seguras de la población del ámbito rural.</t>
  </si>
  <si>
    <t>Porcentaje de familias rurales en condición de pobreza y pobreza extrema que cuentan con una vivienda adecuada y segura.</t>
  </si>
  <si>
    <t>13.10% de familias rurales en condición de pobreza y pobreza extrema que cuentan con una vivienda adecuada y segura.</t>
  </si>
  <si>
    <t>30.9% </t>
  </si>
  <si>
    <t>Porcentaje de familias rurales en condición de pobreza o pobreza extrema que usan adecuadamente sus viviendas mejoradas a un año de entrega.</t>
  </si>
  <si>
    <t>22% de familias rurales en condición de pobreza o pobreza extrema que usan adecuadamente sus viviendas mejoradas a un año de entrega.</t>
  </si>
  <si>
    <t>OES.01
OES.02</t>
  </si>
  <si>
    <t>OEI.07. Fortalecer la gestión del riesgo de desastres y la adaptación al cambio climático.</t>
  </si>
  <si>
    <t>Porcentaje de unidades orgánicas y Programas del MVCS que participan en el PP 0068 y muestran una ejecución anual mayor al 80%.</t>
  </si>
  <si>
    <t>50% de unidades orgánicas y Programas del MVCS que participan en el PP 0068, muestran una ejecución anual mayor al 80%.</t>
  </si>
  <si>
    <t>75% de unidades orgánicas y Programas del MVCS que participan en el PP 0068, muestran una ejecución anual mayor al 80%.</t>
  </si>
  <si>
    <t>OES.07</t>
  </si>
  <si>
    <t>OEI. 08. Modernizar la gestión institucional del MVCS.</t>
  </si>
  <si>
    <t>Porcentaje de metas de modernización de la gestión institucional del MVCS cumplidas.</t>
  </si>
  <si>
    <t>70% de metas de modernización de la gestión institucional del MVCS cumplidas.</t>
  </si>
  <si>
    <t>Servicio Nacional de Capacitación para la Industria de la Construcción - SENCICO</t>
  </si>
  <si>
    <t>O.E.I. 01 Generar las competencias adecuadas en estudiantes, técnicos, profesionales y trabajadores vinculados al sector Construcción[1]</t>
  </si>
  <si>
    <t xml:space="preserve">Porcentaje de egresados de formación brindada por SENCICO respecto a la PEA del Sector Construcción. </t>
  </si>
  <si>
    <t xml:space="preserve">15% de egresados de SENCICO respecto a la PEA del Sector Construcción. </t>
  </si>
  <si>
    <t xml:space="preserve">25% de egresados de SENCICO respecto a la PEA del Sector Construcción. </t>
  </si>
  <si>
    <t>INEI</t>
  </si>
  <si>
    <t>Gerencia de Formación Profesional / SENCICO</t>
  </si>
  <si>
    <t>O.E.I. 02 Generar conocimiento técnico y científico para el desarrollo del sector Construcción.</t>
  </si>
  <si>
    <t>Número de Investigaciones concluidas desarrolladas por SENCICO</t>
  </si>
  <si>
    <t>12 Investigaciones concluidas y desarrolladas por SENCICO</t>
  </si>
  <si>
    <t>Informes de la Gerencia de Investigación y normalización - SENCICO</t>
  </si>
  <si>
    <t>Gerencia de Investigación y normalización - SENCICO</t>
  </si>
  <si>
    <t>O.E.I. 03 Proponer Nomas técnicas que regulen el diseño de las edificaciones y el desarrollo tecnológico para el sector Construcción.</t>
  </si>
  <si>
    <t>Numero de Normas Técnicas del Sector Construcción propuestas por SENCICO</t>
  </si>
  <si>
    <t>9 Normas Técnicas del Sector Construcción propuestas por SENCICO</t>
  </si>
  <si>
    <t>3 Normas Técnicas del Sector Construcción propuestas por SENCICO</t>
  </si>
  <si>
    <t>O.E.I. 04 Modernizar la gestión institucional de SENCICO</t>
  </si>
  <si>
    <t>Índice de efectividad de la gestión institucional de soporte de SENCICO</t>
  </si>
  <si>
    <t>0.9 de efectividad de la gestión institucional de SENCICO, en un rango de 0-1</t>
  </si>
  <si>
    <t>0.94 de efectividad de la gestión institucional de SENCICO, en un rango de 0-1</t>
  </si>
  <si>
    <t>Informe de avance de cumplimiento de metas - SAIS</t>
  </si>
  <si>
    <t>Gerencia General</t>
  </si>
  <si>
    <t xml:space="preserve">O.E.I. 05 Reducir la vulnerabilidad ante el riesgo de desastres </t>
  </si>
  <si>
    <t>Porcentaje de riesgos identificados que han sido reducidos</t>
  </si>
  <si>
    <r>
      <t xml:space="preserve">65 % de riesgos identificados que han sido reducidos </t>
    </r>
    <r>
      <rPr>
        <vertAlign val="superscript"/>
        <sz val="8"/>
        <rFont val="Arial"/>
      </rPr>
      <t>(2)</t>
    </r>
  </si>
  <si>
    <t>SENCICO - Informe del  Comité de Gestión de Riesgo de Desastres</t>
  </si>
  <si>
    <t>Comité de Gestión de Riesgo de Desastres</t>
  </si>
  <si>
    <t>Superintendencia Nacional de Bienes Estatates - SBN</t>
  </si>
  <si>
    <t xml:space="preserve">OES.01
</t>
  </si>
  <si>
    <t>OEI.03 Mejorar la gestión integral de los predios estatales a favor de la sociedad</t>
  </si>
  <si>
    <t>Porcentaje de predios estatales gestionados con actos aprobados</t>
  </si>
  <si>
    <t>43% de predios estatales gestionados con actos aprobados (2017)</t>
  </si>
  <si>
    <t>46% de predios estatales gestionados con actos aprobados</t>
  </si>
  <si>
    <t>Sistema Integrado Documentario (SID) - SBN / Informe de implementación del POI – DGPE/SBN</t>
  </si>
  <si>
    <t>SBN</t>
  </si>
  <si>
    <t>OEI.05 Promover las acciones de Gestión del Riesgo de Desastres (GRD)</t>
  </si>
  <si>
    <t xml:space="preserve">Número de instrumentos de GRD de aprobados </t>
  </si>
  <si>
    <t>2 instrumentos de GRD de aprobados (2017)</t>
  </si>
  <si>
    <t>1 instrumento de GRD de aprobado</t>
  </si>
  <si>
    <t>Portal de Transparencia de la SBN / Grupo de Trabajo de GRD de la SBN</t>
  </si>
  <si>
    <t xml:space="preserve">OES.03
</t>
  </si>
  <si>
    <t>OEI.01 Fortalecer el Sistema de Información Nacional de Bienes Estatales (SINABIP) a favor de las entidades del Sistema Nacional de Bienes Estatales (SNBE)</t>
  </si>
  <si>
    <t>Porcentaje de predios estatales registrados en el SINABIP</t>
  </si>
  <si>
    <t>50% de predios estatales registrados en el SINABIP (2017)</t>
  </si>
  <si>
    <t>75% de predios estatales registrados en el SINABIP</t>
  </si>
  <si>
    <t>SINABIP - SBN
Informe de implementación del POI – SDRC/SBN</t>
  </si>
  <si>
    <t>OEI.02 Fomentar un marco jurídico apropiado  en beneficio de las entidades del Sistema Nacional de Bienes Estatales (SNBE)</t>
  </si>
  <si>
    <t>Número de  normas del SNBE  aprobadas.</t>
  </si>
  <si>
    <t>6 normas del SNBE  aprobadas (2017)</t>
  </si>
  <si>
    <t>5 normas del SNBE  aprobadas.</t>
  </si>
  <si>
    <t>Diario "El peruano" 
Informe de implementación del POI – DNR/SBN</t>
  </si>
  <si>
    <t>OEI.04 Mejorar la gestión institucional</t>
  </si>
  <si>
    <t>Tasa de Insatisfacción sobre la gestión operativa de la SBN (x 10 000 solicitudes)</t>
  </si>
  <si>
    <t>30 solicitudes insatisfechas por cada 10,000 (2017)</t>
  </si>
  <si>
    <t>16  solicitudes insatisfechas por cada 10,000</t>
  </si>
  <si>
    <t>Módulo de denuncias (Página web - SBN)
Informe de implementación del POI-UTD/SBN</t>
  </si>
  <si>
    <t>Organismo de Formalización de la Propiedad Informal - COFOPRI</t>
  </si>
  <si>
    <t>OES.03</t>
  </si>
  <si>
    <t>OEI.01 Reducir la informalidad de la propiedad predial urbana en favor de los ciudadanos de sectores de escasos recursos</t>
  </si>
  <si>
    <t>Porcentaje de Informalidad de la Propiedad Predial Urbana de terrenos del Estado ocupados al 31.12.2004</t>
  </si>
  <si>
    <t>99% de Informalidad de la Propiedad Predial Urbana de terrenos del Estado ocupados al 31.12.2004
(1996)</t>
  </si>
  <si>
    <t>21% de Informalidad de la Propiedad Predial Urbana de terrenos del Estado ocupados al 31.12.2004</t>
  </si>
  <si>
    <t>COFOPRI - Base de Datos del Sistema de Seguimiento de Títulos</t>
  </si>
  <si>
    <t>COFOPRI - Oficina de Planeamiento y Presupuesto</t>
  </si>
  <si>
    <t>Porcentaje de Informalidad de la Propiedad Predial Urbana en terrenos ocupados del Estado establecidos entre el 01 de enero de 2005 al 24 de noviembre de 2010</t>
  </si>
  <si>
    <t>100% de Informalidad de la Propiedad Predial Urbana en terrenos ocupados del Estado establecidos entre el 01 de enero de 2005 al 24 de noviembre de 2010
(2014)</t>
  </si>
  <si>
    <t>59% de Informalidad de la Propiedad Predial Urbana en terrenos ocupados del Estado establecidos entre el 01 de enero de 2005 al 24 de noviembre de 2010</t>
  </si>
  <si>
    <t>OEI.02 Incrementar la información catastral urbana para la eficiente gestión de los inmuebles en beneficio de los ciudadanos</t>
  </si>
  <si>
    <t>Porcentaje de unidades catastrales urbanas que se encuentran registradas en la Base de Datos Catastral</t>
  </si>
  <si>
    <t>0,9% de unidades catastrales urbanas que se encuentran registradas en la Base de Datos Catastral
(2008)</t>
  </si>
  <si>
    <t>4% de unidades catastrales urbanas que se encuentran registradas en la Base de Datos Catastral</t>
  </si>
  <si>
    <t>COFOPRI - Sistema de Información Catastral</t>
  </si>
  <si>
    <t>COFOPRI - Dirección de Catastro</t>
  </si>
  <si>
    <t>a/</t>
  </si>
  <si>
    <t>OEI.03 Fortalecer la gestión institucional</t>
  </si>
  <si>
    <t>Porcentaje de cumplimiento del fortalecimiento de la gestión institucional</t>
  </si>
  <si>
    <t>97% de cumplimiento del fortalecimiento de la gestión institucional</t>
  </si>
  <si>
    <t>COFOPRI - Informe de
Evaluación de cumplimiento de Acciones</t>
  </si>
  <si>
    <t>OEI.04 Fortalecer la gestión de riesgo de desastres</t>
  </si>
  <si>
    <t>Porcentaje de actividades cumplidas del Plan de Prevención y Reducción del riesgo de Desastres (de 03 años)</t>
  </si>
  <si>
    <t>100% de actividades cumplidas del Plan de Prevención y Reducción del riesgo de Desastres (de 03 años)</t>
  </si>
  <si>
    <t>COFOPRI - Informe de Ejecución del Plan de Gestión de Riesgo de Desastres</t>
  </si>
  <si>
    <t>COFOPRI - Gerencia General</t>
  </si>
  <si>
    <t>-</t>
  </si>
  <si>
    <t>Organismo Técnico de la Administración de los Servicios de Saneamiento (OTASS)</t>
  </si>
  <si>
    <t>OEI.01 Orientar en la elaboración de planes a los prestadores de los servicios de saneamiento</t>
  </si>
  <si>
    <t>Porcentaje de empresas prestadoras que cuentan con Plan de Reflotamiento (PR) elaborado</t>
  </si>
  <si>
    <t>5.6% de empresas prestadoras que cuentan con Plan de Reflotamiento (PR) elaborado (2018)</t>
  </si>
  <si>
    <t>29% de empresas prestadoras que cuentan con Plan de Reflotamiento (PR) elaborado</t>
  </si>
  <si>
    <t>OTASS - Informes DGF</t>
  </si>
  <si>
    <t>OTASS -Dirección de Gestión y Financiamiento</t>
  </si>
  <si>
    <t>NA</t>
  </si>
  <si>
    <t>Porcentaje de empresas prestadoras que cuentan con Plan de Acciones de Urgencia (PAU) elaborado</t>
  </si>
  <si>
    <t>27.8% de empresas prestadoras que cuentan con Plan de Acciones de Urgencia (PAU) elaborado  (2018)</t>
  </si>
  <si>
    <t>67% de empresas prestadoras que cuentan con Plan de Acciones de Urgencia (PAU) elaborado</t>
  </si>
  <si>
    <t>OTASS -Informes DGF</t>
  </si>
  <si>
    <t>OEI.02 Promover la calidad y sostenibilidad de los servicios de saneamiento de los prestadores</t>
  </si>
  <si>
    <t>Porcentaje de prestadores de los servicios de saneamiento que mejoran sus indicadores con la asistencia del OTASS</t>
  </si>
  <si>
    <t>69% de prestadores de los servicios de saneamiento que mejoran sus indicadores con la asistencia del OTASS  (2018)</t>
  </si>
  <si>
    <t>90% de prestadores de los servicios de saneamiento que mejoran sus indicadores con la asistencia del OTASS</t>
  </si>
  <si>
    <t>OTASS -Informes DME</t>
  </si>
  <si>
    <t>OTASS -Dirección de Operaciones</t>
  </si>
  <si>
    <t>OEI.03 Promover la integración entre prestadores de servicios de saneamiento</t>
  </si>
  <si>
    <t>Número de procesos de integración ejecutados</t>
  </si>
  <si>
    <t>3 procesos de integración ejecutados (2017)</t>
  </si>
  <si>
    <t>28  procesos de integración ejecutados</t>
  </si>
  <si>
    <t>OTASS -Informes DI</t>
  </si>
  <si>
    <t>OTASS -Dirección de Integración</t>
  </si>
  <si>
    <t>ND</t>
  </si>
  <si>
    <t>Número de usuarios de servicios de saneamiento integrados a una empresa prestadora</t>
  </si>
  <si>
    <t>44,545 usuarios de servicios de saneamiento integrados a una empresa prestadora (2017)</t>
  </si>
  <si>
    <t>216,000 usuarios de servicios de saneamiento integrados a una empresa prestadora</t>
  </si>
  <si>
    <t>OEI.04 Fortalecer la gestión institucional</t>
  </si>
  <si>
    <t>Porcentaje promedio de cumplimiento de metas del Plan Estratégico Institucional (PEI)</t>
  </si>
  <si>
    <t>47% de cumplimiento promedio de metas del Plan Estratégico Institucional (PEI) (2015)</t>
  </si>
  <si>
    <t>80% de cumplimiento promedio de metas del Plan Estratégico Institucional (PEI)</t>
  </si>
  <si>
    <t>OTASS -Informes OPP</t>
  </si>
  <si>
    <t>OTASS -Gerencia General</t>
  </si>
  <si>
    <t>OEI.05 Implementar la gestión interna de riesgo de desastres</t>
  </si>
  <si>
    <t>Número de informes de implementación de la gestión de riesgo de desastres</t>
  </si>
  <si>
    <t>1 informe de implementación de la gestión de riesgo de desastres (2018)</t>
  </si>
  <si>
    <t>3 informes de implementación de la gestión de riesgo de desastres</t>
  </si>
  <si>
    <t>OTASS -Informes OA</t>
  </si>
  <si>
    <t>OTASS -Oficina de Administración</t>
  </si>
  <si>
    <t>[1] Se Considera la PEA del Sector Construcción a 350,000 trabajadores</t>
  </si>
  <si>
    <t>[2] Se encuentra en revisión / implementración el indicador</t>
  </si>
  <si>
    <t>a/ No corresponde, dado que este Objetivo estratégico Institucional no se encontraba establecido para el año 2018</t>
  </si>
  <si>
    <t>FORMATO 02: DISTRIBUCIÓN DEL PRESUPUESTO POR CATEGORÍA PRESUPUESTAL 2019, 2020 Y PROYECTO 2021</t>
  </si>
  <si>
    <t>SECTOR 37: VIVIENDA CONSTRUCCION Y SANEAMIENTO</t>
  </si>
  <si>
    <t>PIA
POR CATEGORIA PRESUPUESTAL</t>
  </si>
  <si>
    <t>1: Acciones Centrales (AC)</t>
  </si>
  <si>
    <t>2: Asignaciones Presupuestarias que No Resultan en Productos (APNP)</t>
  </si>
  <si>
    <t>3: Programas Presupuestales</t>
  </si>
  <si>
    <t>PIA TOTAL S/</t>
  </si>
  <si>
    <t>PIM
POR CATEGORIA PRESUPUESTAL</t>
  </si>
  <si>
    <t>2020 (*)</t>
  </si>
  <si>
    <t>2021 (**)</t>
  </si>
  <si>
    <t>PIM TOTAL S/</t>
  </si>
  <si>
    <t>EJECUCIÓN
POR CATEGORIA PRESUPUESTAL</t>
  </si>
  <si>
    <t>EJECUCIÓN TOTAL S/</t>
  </si>
  <si>
    <t>(*) Proyección al 31/12/2020</t>
  </si>
  <si>
    <t>(**) Proyecto 2021</t>
  </si>
  <si>
    <t>FORMATO 03: DISTRIBUCIÓN DEL PRESUPUESTO POR FUENTE FINAN. 2019, 2020 Y PROYECTO 2021</t>
  </si>
  <si>
    <t>Fuente: Toda Fuente</t>
  </si>
  <si>
    <t>PIA</t>
  </si>
  <si>
    <t>GASTOS CORRIENTES</t>
  </si>
  <si>
    <t>1: Reserva de Contingencia</t>
  </si>
  <si>
    <t>2: Personal y Obligaciones Sociales</t>
  </si>
  <si>
    <t>3: Pensiones y Prestaciones Sociales</t>
  </si>
  <si>
    <t>4: Bienes y Servicios</t>
  </si>
  <si>
    <t>5: Donaciones y Transferencias (corrientes)</t>
  </si>
  <si>
    <t>6: Otros Gastos (corrientes)</t>
  </si>
  <si>
    <t>GASTOS DE CAPITAL</t>
  </si>
  <si>
    <t>7: Donaciones y Transferencias (de capital)</t>
  </si>
  <si>
    <t>8: Otros Gastos (de capital)</t>
  </si>
  <si>
    <t>9: Adquisiciones de Activos No Financieros</t>
  </si>
  <si>
    <t>10: Adquisiciones de Activos Financieros</t>
  </si>
  <si>
    <t>SERVICIO DE DEUDA</t>
  </si>
  <si>
    <t>11: Servicio de la Deuda</t>
  </si>
  <si>
    <t>PIM</t>
  </si>
  <si>
    <t>EJECUCIÓN</t>
  </si>
  <si>
    <t>Fuente: Recursos Ordinarios</t>
  </si>
  <si>
    <t>Fuente: Recursos Directamete Recaudados</t>
  </si>
  <si>
    <t>Fuente: Recursos por Operaciones Oficiales de Crédito</t>
  </si>
  <si>
    <t>Fuente: Donaciones y Transferencias</t>
  </si>
  <si>
    <t>Fuente: Recursos Determinados</t>
  </si>
  <si>
    <t>FORMATO 04: DISTRIBUCIÓN DEL GASTO POR UNIDADES EJECUTORAS / ENTIDAD PÚBLICA Y FUENTES DE FINANCIAMIENTO - PROYECTO 2021</t>
  </si>
  <si>
    <t>Fuente Financiamiento: Toda Fuente</t>
  </si>
  <si>
    <t>PLIEGOS DEL SECTOR O GOBIERNO REGIONAL</t>
  </si>
  <si>
    <t>UNIDADES EJECUTORAS O ENTIDADES PÚBLICAS ADSCRITAS AL SECTOR</t>
  </si>
  <si>
    <t>TOTAL</t>
  </si>
  <si>
    <t>5: Donaciones y Transferencias</t>
  </si>
  <si>
    <t>6: Otros Gastos</t>
  </si>
  <si>
    <t>SUB TOTAL GASTOS CORRIENTES</t>
  </si>
  <si>
    <t>7: Donaciones y Transferencias</t>
  </si>
  <si>
    <t>8: Otros Gastos</t>
  </si>
  <si>
    <t>SUB TOTAL GASTOS DE CAPITAL</t>
  </si>
  <si>
    <t>SUB TOTAL SERVICIO DE DEUDA</t>
  </si>
  <si>
    <t>TOTAL GASTOS UNIDAD EJECUTORA / ENTIDAD PÚBLICA</t>
  </si>
  <si>
    <t>PART. %</t>
  </si>
  <si>
    <t>037. MINISTERIO DE VIVIENDA, CONSTRUCCION Y SANEAMIENTO</t>
  </si>
  <si>
    <t>001. MINISTERIO DE VIVIENDA CONSTRUCCION Y SANEAMIENTO - ADMINISTRACION GENERAL</t>
  </si>
  <si>
    <t>004. PROGRAMA NACIONAL DE SANEAMIENTO URBANO</t>
  </si>
  <si>
    <t>005. PROGRAMA NACIONAL DE SANEAMIENTO RURAL</t>
  </si>
  <si>
    <t>006. AGUA SEGURA PARA LIMA Y CALLAO</t>
  </si>
  <si>
    <t>056. SUPERINTENDENCIA NACIONAL DE BIENES ESTATALES</t>
  </si>
  <si>
    <t>001. SUPERINTENDENCIA NACIONAL DE BIENES ESTATALES</t>
  </si>
  <si>
    <t>205. SERVICIO NACIONAL DE CAPACITACION PARA LA INDUSTRIA DE LA CONSTRUCCION</t>
  </si>
  <si>
    <t>001. SERVICIO NACIONAL DE CAPACITACION PARA LA INDUSTRIA DE LA CONSTRUCCION</t>
  </si>
  <si>
    <t>207. ORGANISMO TECNICO DE LA ADMINISTRACION DE LOS SERVICIOS DE SANEAMIENTO</t>
  </si>
  <si>
    <t>001. ORGANISMO TÉCNICO DE LA ADMINISTRACIÓN DE LOS SERVICIOS DE SANEAMIENTO - OTASS</t>
  </si>
  <si>
    <t>002. SERVICIOS DE SANEAMIENTO TUMBES</t>
  </si>
  <si>
    <t>003. MODERNIZACIÓN DE LA PRESTACIÓN DE LOS SERVICIOS DE AGUA POTABLE Y SANEAMIENTO DE LAS EPSS</t>
  </si>
  <si>
    <t>211. ORGANISMO DE FORMALIZACION DE LA PROPIEDAD INFORMAL</t>
  </si>
  <si>
    <t>001. ORGANISMO DE FORMALIZACION DE LA PROPIEDAD INFORMAL - COFOPRI</t>
  </si>
  <si>
    <t>TOTAL SECTOR</t>
  </si>
  <si>
    <t>Fuente Financiamiento: Recursos Ordinarios</t>
  </si>
  <si>
    <t>Fuente Financiamiento: Recursos Directamente Recaudados</t>
  </si>
  <si>
    <t>Fuente Financiamiento: Recursos por Operaciones Oficiales de Crédito</t>
  </si>
  <si>
    <t>Fuente Financiamiento: Donaciones y Transferencias</t>
  </si>
  <si>
    <t>Fuente Financiamiento: Recursos Determinados</t>
  </si>
  <si>
    <t>FORMATO 05: DISTRIBUCIÓN DEL PRESUPUESTO POR PROGRAMA PRESUPUESTAL 2019, 2020 Y 2021</t>
  </si>
  <si>
    <t>SECTOR  37: VIVIENDA CONSTRUCCION Y SANEAMIENTO</t>
  </si>
  <si>
    <t>PIA
POR PROGRAMA PRESUPUESTAL</t>
  </si>
  <si>
    <t>0058. ACCESO DE LA POBLACION A LA PROPIEDAD PREDIAL FORMALIZADA</t>
  </si>
  <si>
    <t>0068. REDUCCION DE VULNERABILIDAD Y ATENCION DE EMERGENCIAS POR DESASTRES</t>
  </si>
  <si>
    <t>0082. PROGRAMA NACIONAL DE SANEAMIENTO URBANO</t>
  </si>
  <si>
    <t>0083. PROGRAMA NACIONAL DE SANEAMIENTO RURAL</t>
  </si>
  <si>
    <t>0109. NUESTRAS CIUDADES</t>
  </si>
  <si>
    <t>0111. APOYO AL HABITAT RURAL</t>
  </si>
  <si>
    <t>0146. ACCESO DE LAS FAMILIAS A VIVIENDA Y ENTORNO URBANO ADECUADO</t>
  </si>
  <si>
    <t>PIM
POR PROGRAMA PRESUPUESTAL</t>
  </si>
  <si>
    <t>EJECUCIÓN
POR PROGRAMA PRESUPUESTAL</t>
  </si>
  <si>
    <t>PROGRAMAS SOCIALES</t>
  </si>
  <si>
    <t>PRESUPUESTO PIA</t>
  </si>
  <si>
    <t>PRESUPUESTO PIM</t>
  </si>
  <si>
    <t>BENEFICIARIOS</t>
  </si>
  <si>
    <t>DIferencia 
(2019-2020</t>
  </si>
  <si>
    <t>Proyecto 2021</t>
  </si>
  <si>
    <t>Estimado 2020 (**)</t>
  </si>
  <si>
    <t>DIferencia 
(2020-2021)</t>
  </si>
  <si>
    <t>I.  DE GESTANTES A NIÑOS DE HASTA 14 AÑOS</t>
  </si>
  <si>
    <t>JUNTOS</t>
  </si>
  <si>
    <t>II.  GESTACIÓN</t>
  </si>
  <si>
    <t>SAMU</t>
  </si>
  <si>
    <t>SMN</t>
  </si>
  <si>
    <t>Mortalidad Materna</t>
  </si>
  <si>
    <t>Mortalidad Neonatal</t>
  </si>
  <si>
    <t>III.  De 0 a 2 AÑOS</t>
  </si>
  <si>
    <t>PAN</t>
  </si>
  <si>
    <t>CUNA MAS</t>
  </si>
  <si>
    <t>Desnutrición Cronica</t>
  </si>
  <si>
    <t>Mortalidad Infantil</t>
  </si>
  <si>
    <t>Desarrollo cognitivo, lenguaje, socioemocional y motor</t>
  </si>
  <si>
    <t>IV. DE 3 A 5 AÑOS</t>
  </si>
  <si>
    <t>PELA</t>
  </si>
  <si>
    <t>Logros de aprendizaje</t>
  </si>
  <si>
    <t>Cobertura escolar</t>
  </si>
  <si>
    <t>V. DE 6 A 12 AÑOS</t>
  </si>
  <si>
    <t>PELA Primaria</t>
  </si>
  <si>
    <t>VI. DE 13 A 17 AÑOS</t>
  </si>
  <si>
    <t>PELA Secundaria</t>
  </si>
  <si>
    <t>Logros de aprindizaje</t>
  </si>
  <si>
    <t>Deserción escolar</t>
  </si>
  <si>
    <t>VII. DE 17 A 24 AÑOS</t>
  </si>
  <si>
    <t>Jovenes a la obra</t>
  </si>
  <si>
    <t>Beca 18</t>
  </si>
  <si>
    <t>Acceso a la educación superior de calidad</t>
  </si>
  <si>
    <t>Educacion pertienente para el mercado laboral</t>
  </si>
  <si>
    <t>VIII. DE 65 A MAS</t>
  </si>
  <si>
    <t>Pensión 65</t>
  </si>
  <si>
    <t>Asegurar las condiciones básicas para la subsistencia</t>
  </si>
  <si>
    <t>Est. %</t>
  </si>
  <si>
    <t>(*) Al 30 de junio de 2020</t>
  </si>
  <si>
    <t>(**) Estimado al 31 de diciembre de 2020</t>
  </si>
  <si>
    <t>FORMATO 07: RESUMEN POR GRUPO GENÉRICO Y FUENTES DE FINANCIAMIENTO PROYECTO 2021</t>
  </si>
  <si>
    <t>RECURSOS PUBLICOS</t>
  </si>
  <si>
    <t>GASTO CORRIENTE 2021</t>
  </si>
  <si>
    <t>GASTO CAPITAL 2021</t>
  </si>
  <si>
    <t>SERVICIO DE DEUDA 2021</t>
  </si>
  <si>
    <t>RESERVA DE CONTINGENCIA</t>
  </si>
  <si>
    <t>PERSONAL Y OBLIGAC. SOC.</t>
  </si>
  <si>
    <t>PENSIONES Y PREST. SOC.</t>
  </si>
  <si>
    <t>BIENES Y SERVICIOS</t>
  </si>
  <si>
    <t>DONACIONES TRANSFER.</t>
  </si>
  <si>
    <t>OTROS GASTOS</t>
  </si>
  <si>
    <t>SUB TOTAL GASTO CORRIENTETE</t>
  </si>
  <si>
    <t>DONACIONES Y TRANSFERENCIAS</t>
  </si>
  <si>
    <t>ADQUISICIÓN ACTIVOS NO FINANCIEROS</t>
  </si>
  <si>
    <t>ADQUIS. ACT. FINANC.</t>
  </si>
  <si>
    <t>SUB TOTAL GASTOS CAPITAL</t>
  </si>
  <si>
    <t xml:space="preserve">SERVICIO DE DEUDA </t>
  </si>
  <si>
    <t>SUB TOTAL SER. DEUDA</t>
  </si>
  <si>
    <t>S/.</t>
  </si>
  <si>
    <t>EST. %</t>
  </si>
  <si>
    <t>1. RECURSOS ORDINARIOS</t>
  </si>
  <si>
    <t>2. RECURSOS DIRECTAM. RECAUD.</t>
  </si>
  <si>
    <t>3.- RECURSOS OPERACIONES</t>
  </si>
  <si>
    <t xml:space="preserve">       OFICIALES DE CREDITO</t>
  </si>
  <si>
    <t>4. DONACIONES Y TRANSFERENCIAS</t>
  </si>
  <si>
    <t>5. RECURSOS DETERMINADOS</t>
  </si>
  <si>
    <t xml:space="preserve">    - CANON  Y  SOBRECANON, REGALIAS</t>
  </si>
  <si>
    <t xml:space="preserve">       Y PARTICIPACIONES</t>
  </si>
  <si>
    <t xml:space="preserve">    - CONTRIBUCIONES A FONDOS</t>
  </si>
  <si>
    <t xml:space="preserve">    - FONDO DE COMPENCIÓN MUNICIPAL</t>
  </si>
  <si>
    <t xml:space="preserve">    - IMPUESTOS MUNICIPALES</t>
  </si>
  <si>
    <t xml:space="preserve">    - OTROS (ESPECIFICAR)</t>
  </si>
  <si>
    <t>FORMATO 08: RESUMEN DE PRESUPUESTO POR FUNCIONES PIA 2019, 2020 Y PROYECTO 2021</t>
  </si>
  <si>
    <t>SECTOR 37: VIVIENDA, CONSTRUCCIÓN Y SANEAMIENTO</t>
  </si>
  <si>
    <t>FUNCIONES</t>
  </si>
  <si>
    <t>PPTO (PIA)</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</si>
  <si>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</si>
  <si>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</si>
  <si>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</si>
  <si>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</si>
  <si>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</si>
  <si>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</si>
  <si>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</si>
  <si>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</si>
  <si>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</si>
  <si>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NUEVOS SOLES</t>
  </si>
  <si>
    <t>3 Planeam. Gestión y Reserva</t>
  </si>
  <si>
    <t>Var. % (2021-2020)</t>
  </si>
  <si>
    <t>18 aneamiento</t>
  </si>
  <si>
    <t>19 Vivienda y Des. Urbano</t>
  </si>
  <si>
    <t>22 Educación</t>
  </si>
  <si>
    <t>24 Previsión Social</t>
  </si>
  <si>
    <t>FORMATO 09: COMPARATIVO DEL NÚMERO DE PLAZAS EN EL PRESUPUESTO  2020 Y PROYECTO 2021</t>
  </si>
  <si>
    <t>SECTOR 37: VIVIENDA, CONSTRUCCION Y SANEAMIENTO</t>
  </si>
  <si>
    <r>
      <t xml:space="preserve">PLIEGO: </t>
    </r>
    <r>
      <rPr>
        <sz val="11"/>
        <rFont val="Arial"/>
      </rPr>
      <t>Todos los pliegos del sector y cada pliego del sector</t>
    </r>
  </si>
  <si>
    <t>CATEGORIA</t>
  </si>
  <si>
    <t>2020 (JUNIO)</t>
  </si>
  <si>
    <t>PROYECCIÓN 2021 (JUNIO)</t>
  </si>
  <si>
    <t xml:space="preserve"> REMUNERATIVA</t>
  </si>
  <si>
    <t>Decreto Legislativo 276 (Regimen Público)</t>
  </si>
  <si>
    <t>Decreto Legislativo 728 (Regimen Privado)</t>
  </si>
  <si>
    <t>Decreto Legislativo 1057 (Contrato Administrativo de Servicios</t>
  </si>
  <si>
    <t>Ley 30057 
(Ley del Servicio Civil)</t>
  </si>
  <si>
    <t>Decreto Legislativo 1024 (Gerentes Públicos) (**)</t>
  </si>
  <si>
    <t>Ley 25650 (Fondo de Apoyo Generencial) (**)</t>
  </si>
  <si>
    <t>Ley 29806 (Personal Altamente Calificado) (**)</t>
  </si>
  <si>
    <t>Practicantes (***)</t>
  </si>
  <si>
    <t>Otros Servidores (especificar) (**) (***)</t>
  </si>
  <si>
    <t xml:space="preserve">Total </t>
  </si>
  <si>
    <t>S/ Anual (****)</t>
  </si>
  <si>
    <t>S/ (****)</t>
  </si>
  <si>
    <t>PLIEGO 037: MINISTERIO DE VIVIENDA, CONSTRUCCION Y SANEAMIENTO</t>
  </si>
  <si>
    <t>DIRECTIVOS/FUNCIONARIOS</t>
  </si>
  <si>
    <t>F-8</t>
  </si>
  <si>
    <t>F-7</t>
  </si>
  <si>
    <t>F-6</t>
  </si>
  <si>
    <t>F-5</t>
  </si>
  <si>
    <t>F-4</t>
  </si>
  <si>
    <t>F-3</t>
  </si>
  <si>
    <t>F-2</t>
  </si>
  <si>
    <t>F-1</t>
  </si>
  <si>
    <t>COORDINADOR/A DE AREA</t>
  </si>
  <si>
    <t>CAS</t>
  </si>
  <si>
    <t>PROFESIONALES</t>
  </si>
  <si>
    <t>SPA</t>
  </si>
  <si>
    <t>SPB</t>
  </si>
  <si>
    <t>SPC</t>
  </si>
  <si>
    <t>SPD</t>
  </si>
  <si>
    <t>SPE</t>
  </si>
  <si>
    <t>TECNICOS</t>
  </si>
  <si>
    <t>STA</t>
  </si>
  <si>
    <t>STB</t>
  </si>
  <si>
    <t>STC</t>
  </si>
  <si>
    <t>STD</t>
  </si>
  <si>
    <t>STE</t>
  </si>
  <si>
    <t>AUXILIARES</t>
  </si>
  <si>
    <t>SAA</t>
  </si>
  <si>
    <t>SAB</t>
  </si>
  <si>
    <t>SAC</t>
  </si>
  <si>
    <t>SAD</t>
  </si>
  <si>
    <t>SAE</t>
  </si>
  <si>
    <t>OBREROS PERMANENTES</t>
  </si>
  <si>
    <t>PRACTICANTES</t>
  </si>
  <si>
    <t>CONSOLIDADO A TODA FUENTE -MVCS</t>
  </si>
  <si>
    <t>PLIEGO 205: SERVICIO NACIONAL DE CAPACITACION PARA LA INDUSTRIA DE LA CONSTRUCCION-SENCICO</t>
  </si>
  <si>
    <t>D4 - D. LEG. N° 728 (CARGOS DE CONFIANZA)</t>
  </si>
  <si>
    <t>D3 - D. LEG. N° 728 (CARGOS DE CONFIANZA)</t>
  </si>
  <si>
    <t>D2 - D. LEG. N° 728 (CARGOS DE CONFIANZA)</t>
  </si>
  <si>
    <t>D1 - D. LEG. N° 728 (CARGOS DE CONFIANZA)</t>
  </si>
  <si>
    <t>J3 - D. LEG. N° 728 (CARGOS DE CONFIANZA)</t>
  </si>
  <si>
    <t>J3 - D. LEG. N° 728</t>
  </si>
  <si>
    <t>J2 - D. LEG. N° 728</t>
  </si>
  <si>
    <t>J1 - D. LEG. N° 728</t>
  </si>
  <si>
    <t>Dietas</t>
  </si>
  <si>
    <t>E4 - D. LEG. N° 728</t>
  </si>
  <si>
    <t>E3 - D. LEG. N° 728</t>
  </si>
  <si>
    <t>E2 - D. LEG. N° 728</t>
  </si>
  <si>
    <t>E1 - D. LEG. N° 728</t>
  </si>
  <si>
    <t>T5 - D. LEG. N° 728</t>
  </si>
  <si>
    <t xml:space="preserve"> </t>
  </si>
  <si>
    <t>T4 - D. LEG. N° 728</t>
  </si>
  <si>
    <t>T3 - D. LEG. N° 728</t>
  </si>
  <si>
    <t>T2 - D. LEG. N° 728</t>
  </si>
  <si>
    <t>T1 - D. LEG. N° 728</t>
  </si>
  <si>
    <t>STA  - D. LEG. N° 276</t>
  </si>
  <si>
    <t>TOTAL CONSOLIDADO TODA FUENTE-SENCICO</t>
  </si>
  <si>
    <t>PLIEGO 056: SUPERINTENDENCIA NACIONAL DE BIENES ESTATALES</t>
  </si>
  <si>
    <t>FUNCIONARIO PUBLICO</t>
  </si>
  <si>
    <t>FP</t>
  </si>
  <si>
    <t>EMPLEADO DE CONFIANZA</t>
  </si>
  <si>
    <t>EC</t>
  </si>
  <si>
    <t>SERVIDOR PÚBLICO - DIRECTIVO SUPERIOR</t>
  </si>
  <si>
    <t>SP - DS</t>
  </si>
  <si>
    <t>SERVIDOR PÚBLICO - ESPECIALISTA</t>
  </si>
  <si>
    <t>SP - ES</t>
  </si>
  <si>
    <t>SERVIDOR PÚBLICO - DE APOYO</t>
  </si>
  <si>
    <t>SP - AP</t>
  </si>
  <si>
    <t>Decreto Legislativo Nº 1057 - CAS</t>
  </si>
  <si>
    <t>DIRECTIVOS</t>
  </si>
  <si>
    <t>PRACTICANTES - D.Leg. Nº 1401</t>
  </si>
  <si>
    <t xml:space="preserve"> - Por Recursos Ordinarios</t>
  </si>
  <si>
    <t xml:space="preserve"> - Por Recursos Directamente Recaudados</t>
  </si>
  <si>
    <t>TOTAL CONSOLIDADO TODA FUENTE- SBN</t>
  </si>
  <si>
    <t>PLIEGO 207: ORGANISMO TÉCNICO DE LA ADMINISTRACIÓN DE LOS SERVICIOS DE SANEAMIENTO - OTASS</t>
  </si>
  <si>
    <t>TOTAL   CONSOLIDADO TODA FUENTE-OTASS</t>
  </si>
  <si>
    <t>PLIEGO 211: ORGANISMO DE FORMALIZACION DE LA PROPIEDAD INFORMAL - COFOPRI</t>
  </si>
  <si>
    <t>Decreto Legislativo 728/Decreto Legislativo 1024</t>
  </si>
  <si>
    <t>E-1</t>
  </si>
  <si>
    <t>E-2</t>
  </si>
  <si>
    <t>E-3</t>
  </si>
  <si>
    <t>P-1</t>
  </si>
  <si>
    <t>P-2</t>
  </si>
  <si>
    <t>P-3</t>
  </si>
  <si>
    <t>T-1</t>
  </si>
  <si>
    <t>T-2</t>
  </si>
  <si>
    <t>T-3</t>
  </si>
  <si>
    <t>Decreto Legislativo 1057</t>
  </si>
  <si>
    <t>LEY Nº 28518</t>
  </si>
  <si>
    <t>TOTAL CONSOLIDADO TODA FUENTE - COFOPRI</t>
  </si>
  <si>
    <t>TOTAL SECTOR A TODA FUENTE</t>
  </si>
  <si>
    <t>(*) Incluye GRATIFICACIONES, CAFAE, PNUD, BONOS, PRODUCTIVIDAD, HORAS EXTRAS, GUARDIAS, AETAS, etc.</t>
  </si>
  <si>
    <t>(**) Incluye el monto pagado por otras entidades al personal que presta servidos en el Sector o Gobierno Regional</t>
  </si>
  <si>
    <t xml:space="preserve">(***) Detallar el marco legal </t>
  </si>
  <si>
    <t>(****) Proyectado</t>
  </si>
  <si>
    <t>FORMATO 10: INFORMACIÓN DE REMUNERACIONES Y NÚMERO DE PLAZAS - PRESUPUESTO 2019, 2020 Y PROYECTO 2021</t>
  </si>
  <si>
    <t>2019 (PIA)</t>
  </si>
  <si>
    <t>2020 (PIA)</t>
  </si>
  <si>
    <t>2021  (PROYECTO)</t>
  </si>
  <si>
    <t>VARIACION 2021-2020</t>
  </si>
  <si>
    <t>PEA / Beneficiarios</t>
  </si>
  <si>
    <t>COSTO ANUAL</t>
  </si>
  <si>
    <t>COSTO TOTAL EN PLANILLAS (*)</t>
  </si>
  <si>
    <t>5</t>
  </si>
  <si>
    <t>2</t>
  </si>
  <si>
    <t>1</t>
  </si>
  <si>
    <t xml:space="preserve"> 1</t>
  </si>
  <si>
    <t xml:space="preserve"> 2</t>
  </si>
  <si>
    <t>211112</t>
  </si>
  <si>
    <t>BONIFICACIÓN EXTRAORDINARIA (INACEPTACIÓN DE GRATIFICACIONES)</t>
  </si>
  <si>
    <t>BONOS POR FUNCION JURIDICCIONAL Y FISCAL</t>
  </si>
  <si>
    <t xml:space="preserve"> 7</t>
  </si>
  <si>
    <t>211117</t>
  </si>
  <si>
    <t>DIETA DE DIRECTORIO</t>
  </si>
  <si>
    <t>DIETAS</t>
  </si>
  <si>
    <t>ESCOLARIDAD, AGUINALDO Y GRATIFICACIONES</t>
  </si>
  <si>
    <t xml:space="preserve"> 9</t>
  </si>
  <si>
    <t>211912</t>
  </si>
  <si>
    <t>GASTOS POR ESTACIONAMIENTO DE VEHICULOS</t>
  </si>
  <si>
    <t xml:space="preserve"> 3</t>
  </si>
  <si>
    <t>211913</t>
  </si>
  <si>
    <t xml:space="preserve"> GASTOS VARIABLES Y OCASIONALES</t>
  </si>
  <si>
    <t xml:space="preserve">- Compensación por Tiempo de Servicios </t>
  </si>
  <si>
    <t>- Bonificación Adicional por Vacaciones</t>
  </si>
  <si>
    <t>MOVILIDAD PARA TRASLADO DE TRABAJADORES</t>
  </si>
  <si>
    <t>211931</t>
  </si>
  <si>
    <t>OBLIGACIONES DEL EMPLEADOR (CARGAS SOCIALES)</t>
  </si>
  <si>
    <t>211933</t>
  </si>
  <si>
    <t>PRODUCTIVIDAD</t>
  </si>
  <si>
    <t>212111</t>
  </si>
  <si>
    <t>RETRIBUCIONES EN BIENES (UNIFORMES)</t>
  </si>
  <si>
    <t>SEGUROS (ESPECIFICAR)</t>
  </si>
  <si>
    <t>213113</t>
  </si>
  <si>
    <t>SEGUROS (ESPECIFICAR)-VIDA LEY</t>
  </si>
  <si>
    <t>TRANSFERENCIAS CAFAE</t>
  </si>
  <si>
    <t xml:space="preserve"> 5</t>
  </si>
  <si>
    <t>213115</t>
  </si>
  <si>
    <t>VESTUARIO</t>
  </si>
  <si>
    <t xml:space="preserve"> 6</t>
  </si>
  <si>
    <t>213116</t>
  </si>
  <si>
    <t>Gasto para el pago de Personal Activo, sujestos a evaluacion por Registro AIRHSP.</t>
  </si>
  <si>
    <t>OTROS (ESPECIFICAR) (**)</t>
  </si>
  <si>
    <t xml:space="preserve"> OTROS (21.19.398 OTROS GASTOS DE PERSONA L) (**)</t>
  </si>
  <si>
    <t xml:space="preserve"> - Compensacion por tiempo de Servicios.</t>
  </si>
  <si>
    <t xml:space="preserve"> - Asignación por cumplir 25 o 30 años</t>
  </si>
  <si>
    <t xml:space="preserve"> - Compensacion por Vacacional</t>
  </si>
  <si>
    <t>- Retribucion en Especie (Alimentación)</t>
  </si>
  <si>
    <t>TOTAL SECTOR A TODA FUENTE(*)</t>
  </si>
  <si>
    <t>(*) DEBE COINCIDIR CON LOS MONTOS ASIGNADOS EN LA GENERICA 1. PERSONAL Y OBLIGACIONES SOCIALES CONSIDERADAS EN EL PRESUPUESTO</t>
  </si>
  <si>
    <t>(**) PNUD, BONOS, etc.</t>
  </si>
  <si>
    <t>FORMATO 11: INGRESOS MENSUALES POR PERIODO DEL PERSONAL ACTIVO -  COMPARATIVO PRESUPUESTO 2019, 2020 Y PROYECTO 2021</t>
  </si>
  <si>
    <r>
      <t xml:space="preserve">PLIEGO: </t>
    </r>
    <r>
      <rPr>
        <sz val="9"/>
        <rFont val="Arial"/>
      </rPr>
      <t>Todos los pliego del sector y cada pliego del sector</t>
    </r>
  </si>
  <si>
    <t>NIVELES REMUNERATIVOS</t>
  </si>
  <si>
    <t>INGRESOS PERSONAL PRESUPUESTO 2019</t>
  </si>
  <si>
    <t>INGRESOS PERSONAL PRESUPUESTO 2020</t>
  </si>
  <si>
    <t>DIFERENCIA 
(2019 -2020)</t>
  </si>
  <si>
    <t>PROYECTO 2021</t>
  </si>
  <si>
    <t>PEA</t>
  </si>
  <si>
    <t>REMUNERACION MENSUAL (cada persona)</t>
  </si>
  <si>
    <t>CAFAE MENSUAL (cada persona)</t>
  </si>
  <si>
    <t>AETA MENSUAL (cada persona)</t>
  </si>
  <si>
    <t>INCENTIVOS O PRODUCTIVIDAD (cada persona)</t>
  </si>
  <si>
    <t>MOVILIDAD</t>
  </si>
  <si>
    <t>RACIONAMIENTO</t>
  </si>
  <si>
    <t>BONOS</t>
  </si>
  <si>
    <t>OTROS INGRESOS MENSUAL (cada persona)</t>
  </si>
  <si>
    <t>SUB TOTAL INGRESOS MENSUALES (cada persona)</t>
  </si>
  <si>
    <t>AGUINALDOS, GRAFICACIONES Y ESCOLARIDAD (anual cada persona)</t>
  </si>
  <si>
    <t>OTROS INGRESOS NO MENSUALES 
(anual cada personal)</t>
  </si>
  <si>
    <t>SUB TOTAL OTROS BENEFICIOS ... (no, mensuales, monto anual)</t>
  </si>
  <si>
    <t>TOTAL INGRESOS ANUAL POR PERSONA</t>
  </si>
  <si>
    <t>TOTAL INGRESO ANUAL PEA</t>
  </si>
  <si>
    <t>CAFAE MENSUL (cada persona)</t>
  </si>
  <si>
    <t>TOTAL INGRESO ANUAL PEA (Proyección al 31 de diciembre de  2019)</t>
  </si>
  <si>
    <t xml:space="preserve">DIFERENCIA INGRESO ANUAL POR PERSONAL </t>
  </si>
  <si>
    <t>DIFERENCIA INGRESO ANUAL PEA</t>
  </si>
  <si>
    <t>TOTAL INGRESO ANUAL PEA (Proyección al 31 de diciembre de 2020)</t>
  </si>
  <si>
    <t>(1)</t>
  </si>
  <si>
    <t>(2)</t>
  </si>
  <si>
    <t>(3)</t>
  </si>
  <si>
    <t>(4)</t>
  </si>
  <si>
    <t>(5)</t>
  </si>
  <si>
    <t>(6)</t>
  </si>
  <si>
    <t>(7)</t>
  </si>
  <si>
    <t>(8)</t>
  </si>
  <si>
    <t>(9)</t>
  </si>
  <si>
    <t>(10)</t>
  </si>
  <si>
    <t>(11)</t>
  </si>
  <si>
    <t>(12)</t>
  </si>
  <si>
    <t>(13)</t>
  </si>
  <si>
    <t>(14)</t>
  </si>
  <si>
    <t>(15)</t>
  </si>
  <si>
    <t>CARRERA ADMINISTRATIVA</t>
  </si>
  <si>
    <t>F-4  (Voc. Sup.)</t>
  </si>
  <si>
    <t xml:space="preserve">F-3 </t>
  </si>
  <si>
    <t>Otros(CAS)</t>
  </si>
  <si>
    <t>SPF</t>
  </si>
  <si>
    <t>CAS - Agua segura</t>
  </si>
  <si>
    <t xml:space="preserve">STA </t>
  </si>
  <si>
    <t xml:space="preserve">STB </t>
  </si>
  <si>
    <t>SAF</t>
  </si>
  <si>
    <t>01 TECNICOS</t>
  </si>
  <si>
    <t>02 AUXILIARES</t>
  </si>
  <si>
    <t xml:space="preserve">PROYECTOS DE INVERSION </t>
  </si>
  <si>
    <t>PROFESIONAL</t>
  </si>
  <si>
    <t>TECNICO</t>
  </si>
  <si>
    <t>AUXILIAR</t>
  </si>
  <si>
    <t>TOTAL PLIEGO MVCS A TODA FUENTE</t>
  </si>
  <si>
    <t>DECRETO LEGISLATIVO Nº  276 Y 728</t>
  </si>
  <si>
    <t>D4</t>
  </si>
  <si>
    <t>D3</t>
  </si>
  <si>
    <t>D2</t>
  </si>
  <si>
    <t>D1</t>
  </si>
  <si>
    <t>J3</t>
  </si>
  <si>
    <t>J2</t>
  </si>
  <si>
    <t>J1</t>
  </si>
  <si>
    <t>E4</t>
  </si>
  <si>
    <t>E3</t>
  </si>
  <si>
    <t>E2</t>
  </si>
  <si>
    <t>E1</t>
  </si>
  <si>
    <t>T5</t>
  </si>
  <si>
    <t>T4</t>
  </si>
  <si>
    <t>T3</t>
  </si>
  <si>
    <t>T2</t>
  </si>
  <si>
    <t>T1</t>
  </si>
  <si>
    <t>STA DL N° 276</t>
  </si>
  <si>
    <t>STB DL N° 276</t>
  </si>
  <si>
    <t>A2</t>
  </si>
  <si>
    <t xml:space="preserve">CONSOLIDADO A TODA FUENTE- SENCICO </t>
  </si>
  <si>
    <t>DECRETO LEGISLATIVO Nº 728</t>
  </si>
  <si>
    <t xml:space="preserve"> Decreto Legislativo Nº 728</t>
  </si>
  <si>
    <t>CONSOLIDADO A TODA FUENTE-SBN (*)</t>
  </si>
  <si>
    <t>CONSOLIDADO A TODA FUENTE- OTASS (*)</t>
  </si>
  <si>
    <t>CARRERA JUDICIAL</t>
  </si>
  <si>
    <t>……</t>
  </si>
  <si>
    <t>LEY UNIVERSITARIA</t>
  </si>
  <si>
    <t>LEY DEL SERVICIO DIPLOMATICO</t>
  </si>
  <si>
    <t>CONSOLIDADO A TODA FUENTE-COFOPRI (*)</t>
  </si>
  <si>
    <t xml:space="preserve">(1) PEA: </t>
  </si>
  <si>
    <t>SE CONSIGNARA EL NUMERO TOTAL DE PERSONAL ACTIVO ( NOMBRADO Y CONTRATADO) SEGÚN EL PRESUPUESTO ANILITOCO DE PERSONAL (PAP) APROBADO</t>
  </si>
  <si>
    <t xml:space="preserve">(2) REMUNERACION: </t>
  </si>
  <si>
    <t xml:space="preserve">SE CONSIGNARA LA REMUNERACION MENSUAL PROMEDIO DE UN SERVIDOR EN CADA NIVEL DE LA CARRERA PUBLICA SEGUN CORRESPONDA </t>
  </si>
  <si>
    <t xml:space="preserve">(3) CAFAE: </t>
  </si>
  <si>
    <t xml:space="preserve">SE CONSIGNARA EL  INCENTIVO LABORAL  MENSUAL PROMEDIO QUE POR DISPOSICION EXPRESA SE LE OTORGUE A UN SERVIDOR EN CADA NIVEL SEGUN CORRESPONDA </t>
  </si>
  <si>
    <t xml:space="preserve">(4) AETA: </t>
  </si>
  <si>
    <t xml:space="preserve">SOLO APLICABLE AL SECTOR SALUD. SE CONSIGNARA LA ASIGNACION EXTRAORDINARIA POR TRABAJO ASISTENCIAL  MENSUAL PROMEDIO DE UN SERVIDOR EN CADA NIVEL </t>
  </si>
  <si>
    <t xml:space="preserve">SEGUN CORRESPONDA </t>
  </si>
  <si>
    <t xml:space="preserve">(5) OTROS BENEFICIOS - ASIGNACION MENSUAL </t>
  </si>
  <si>
    <r>
      <rPr>
        <b/>
        <sz val="9"/>
        <rFont val="Arial"/>
      </rPr>
      <t xml:space="preserve">LAS COLUMNAS COMO SEAN NECESARIAS, </t>
    </r>
    <r>
      <rPr>
        <sz val="9"/>
        <rFont val="Arial"/>
      </rPr>
      <t xml:space="preserve">SE CONSIGNARA LOS OTROS BENEFICIOS - ASIGNACIONES MENSUALES PERIODICOS  DE UN SERVIDOR EN CADA NIVEL SEGÚN CORRESPONDA NO CONSIGNADO EN LOS </t>
    </r>
  </si>
  <si>
    <t xml:space="preserve">RUBROS ANTERIORES . EN HOJA INDEPENDIENTES SE DETALLARA CADA CONCEPTO Y MONTO, ASI COMO LA DISPOSICION EXPRESA QUE LOS AUTORICE Y LA PERIODICIDAD CON QUE </t>
  </si>
  <si>
    <t xml:space="preserve">SE OTORGA . DEBERA DETALLAR POR CADA CONCEPTO ASI COMO LA DISPOSICION EXPRESA QUE LOS AUTORICE Y LA PERIODICIDAD CON QUE SE OTORGA (MENSUAL, BIMENSUAL, </t>
  </si>
  <si>
    <t>TRIMESTRAL , CUATRIMENSUAL)</t>
  </si>
  <si>
    <t>(10) SUB TOTAL</t>
  </si>
  <si>
    <t>SUMATORIA DE LAS COLUMNAS (2), (3), (4), (5), (6), (7), (8), (9)</t>
  </si>
  <si>
    <t>(11) AGUINALDOS, GRAFICACIONES Y ESCOLARIDAD</t>
  </si>
  <si>
    <t>MONTO ANUAL</t>
  </si>
  <si>
    <t>(12) OTROS BENEFICIOS - ASIGNACION ANUAL</t>
  </si>
  <si>
    <r>
      <rPr>
        <b/>
        <sz val="9"/>
        <rFont val="Arial"/>
      </rPr>
      <t xml:space="preserve">LAS COLUMNAS COMO SEAN NECESARIAS, </t>
    </r>
    <r>
      <rPr>
        <sz val="9"/>
        <rFont val="Arial"/>
      </rPr>
      <t xml:space="preserve">SE CONSIGNARA LOS OTROS BENEFICIOS - ASIGNACIONES PERIODICOS O NO PERIODICAS DE UN SERVIDOR EN CADA NIVEL SEGÚN CORRESPONDA NO CONSIGNADO EN LOS </t>
    </r>
  </si>
  <si>
    <t>TRIMESTRAL , CUATRIMENSUAL  O SIN PERIODICIDAD)</t>
  </si>
  <si>
    <t>(13) SUB TOTAL OTROS BENEFICIOS</t>
  </si>
  <si>
    <t>SUMATORIA DE LAS COLUMNAS (11) Y (12)</t>
  </si>
  <si>
    <t>(14) TOTAL INGRESOS ANUAL POR PERSONA</t>
  </si>
  <si>
    <t xml:space="preserve">MULTIMPLACIÓN DE LA COLUMNA (10) POR 12 (MESES) Y AL RESULTADO SE SUMA LA COLUMNA (13) </t>
  </si>
  <si>
    <t>(15) TOTAL ANUAL PEA</t>
  </si>
  <si>
    <t>MULTIPLICACIÓN DEL A COMUNTA (1) POR LA COLUMNA (14)</t>
  </si>
  <si>
    <t>FORMATO 12: ASIGNACIÓN DE BIENES Y SERVICIOS - COMPARATIVO PRESUPUESTO 2019, 2020 Y PROYECTO 2021</t>
  </si>
  <si>
    <t>RUBROS</t>
  </si>
  <si>
    <t>PPTO 2019 
(PIA)</t>
  </si>
  <si>
    <t>PPTO 2019 (PIM)</t>
  </si>
  <si>
    <t>PPTO 2020 
(PIA)</t>
  </si>
  <si>
    <t>PPTO 2020
(PIM 30 JUNIO)</t>
  </si>
  <si>
    <t>PPTO 2021 (PROYECTO)</t>
  </si>
  <si>
    <t>Diferencia PIA (2020-2019)</t>
  </si>
  <si>
    <t>Variación % (2020-2019)</t>
  </si>
  <si>
    <t>Diferencia PIA (2021-2020)</t>
  </si>
  <si>
    <t>Variación % (2021-2020)</t>
  </si>
  <si>
    <t>ALIMENTOS DE PERSONAS</t>
  </si>
  <si>
    <t>ALQUILERES DE MUEBLES E INMUEBLES</t>
  </si>
  <si>
    <t>BIENES DE CONSUMO</t>
  </si>
  <si>
    <t>BIENES DISTRIBUCION GRATUITA</t>
  </si>
  <si>
    <t>COMBUSTIBLE Y LUBRICANTES</t>
  </si>
  <si>
    <t>COMBUSTIBLE, CARBURANTES, LUBRICANTES Y AFINES</t>
  </si>
  <si>
    <t>COMPRA DE OTROS BIENES</t>
  </si>
  <si>
    <t>CONTRATACION CON EMPRESAS DE SERVICIOS</t>
  </si>
  <si>
    <t>CONTRATO ADMINISTRATIVO DE SERVICIOS</t>
  </si>
  <si>
    <t>ENSERES</t>
  </si>
  <si>
    <t>MATERIALES Y UTILES</t>
  </si>
  <si>
    <t>MATERIALES Y UTILES DE ENSEÑANZA</t>
  </si>
  <si>
    <t>OTROS (VESTUARIOS Y TEXTILES)</t>
  </si>
  <si>
    <t>OTROS SERVICIOS DE TERCEROS Y LOCADORES</t>
  </si>
  <si>
    <t>PASAJES Y GASTOS DE TRANSPORTE</t>
  </si>
  <si>
    <t>PROPINAS</t>
  </si>
  <si>
    <t>REPUESTOS Y ACCESORIOS</t>
  </si>
  <si>
    <t>SEGUROS</t>
  </si>
  <si>
    <t xml:space="preserve">SERVICIO DE CONSULTORIA </t>
  </si>
  <si>
    <t>SERVICIO DE MANTENIMIENTO, ACONDICIONAMIENTO Y REPARA</t>
  </si>
  <si>
    <t>SERVICIOS ADMINISTRATIVOS, FINANCIEROS Y DE SEGUROS</t>
  </si>
  <si>
    <t>SERVICIOS BASICOS, COMUNICACIONES, PUBLICIDAD Y DIFUSION</t>
  </si>
  <si>
    <t>SERVICIOS DE LIMPIEZA, SEGURIDAD Y VIGILANCIA</t>
  </si>
  <si>
    <t>SERVICIOS NO PERSONALES</t>
  </si>
  <si>
    <t>SERVICIOS PROFESIONALES Y TECNICOS</t>
  </si>
  <si>
    <t>SUMINISTROS MEDICOS</t>
  </si>
  <si>
    <t>SUMINISTROS PARA MANTENIMIENTO Y REPARACION</t>
  </si>
  <si>
    <t>SUMINISTROS PARA USO AGROPECUARIO, FORESTAL Y VETERIN</t>
  </si>
  <si>
    <t>TARIFAS DE SERVICIOS GENERALES</t>
  </si>
  <si>
    <t>VIAJES</t>
  </si>
  <si>
    <t>VIATICOS Y ASIGNACIONES</t>
  </si>
  <si>
    <t>TOTAL    (*)</t>
  </si>
  <si>
    <t>(PIA) = Presupuesto Institucional de Apertura</t>
  </si>
  <si>
    <t>(*) DEBE COINCIDIR CON LOS MONTOS ASIGNADOS EN LA GENERICA 3. BIENES Y SERVICIOS CONSIDERADAS EN EL PRESUPUESTO 2019 - 2020 - 2021</t>
  </si>
  <si>
    <t>(**) Recursos Públicos / Recursos Ordinarios / Recursos Directamente Recaudados / Donaciones  y  Transferencias / Operaciones Oficiales de Crédito/ Recursos Determinados</t>
  </si>
  <si>
    <t>FORMATO 13: CONTRATOS DE OBRAS SUSCRITOS EN LOS AÑOS 2019 Y 2020</t>
  </si>
  <si>
    <t>PROYECTO</t>
  </si>
  <si>
    <t>CODIGO SNIP</t>
  </si>
  <si>
    <t>TIPO DE PROCESO DE SELECCIÓN</t>
  </si>
  <si>
    <t>MODALIDAD</t>
  </si>
  <si>
    <t>NUMERO DEL PROCESO</t>
  </si>
  <si>
    <t>MONTO PRESUPUESTADO (*)</t>
  </si>
  <si>
    <t>FECHA DE SUSCRIPCION DEL CONTRATO</t>
  </si>
  <si>
    <t>CONTRATISTA (RUC y Denominacion)</t>
  </si>
  <si>
    <t>PLAZO DE EJEUCION DE OBRAS</t>
  </si>
  <si>
    <t>FECHA DE VENCIMIENTO DEL PLAZO</t>
  </si>
  <si>
    <t>AMPLIACION DE PLAZO</t>
  </si>
  <si>
    <t>FECHA DE VENCIMIENTO DE PLAZO</t>
  </si>
  <si>
    <t>FECHA DE ENTREGA</t>
  </si>
  <si>
    <t>FECHA DE CONFORMIDAD DE OBRA</t>
  </si>
  <si>
    <t>MEJORAMIENTO Y AMPLIACION DEL SISTEMA DE AGUA POTABLE Y ALCANTARILLADO DE LA LOCALIDAD DE ASILLO , DISTRITO DE ASILLO - AZANGARO - PUNO</t>
  </si>
  <si>
    <t>LP</t>
  </si>
  <si>
    <t>SIN MODALIDAD</t>
  </si>
  <si>
    <t>2-2019-VIVIENDA/PNSU</t>
  </si>
  <si>
    <t>22.08.2019</t>
  </si>
  <si>
    <t>CONSORCIO INDUSTRIAL (integrado por las empresas SERVICIOS DE INGENIERÍA MINERA Y FERRETERÍA DE LA INDUSTRIA MINERA con RUC N° 20227233321 y SAN AGUSTIN E.I.R.L CONTRATISTAS GENERALES con RUC N° 20205328662)</t>
  </si>
  <si>
    <t>MEJORAMIENTO DEL SISTEMA DE EVACUACIÓN, TRATAMIENTO Y DISPOSICIÓN FINAL DE LAS AGUAS SERVIDAS DE LAS CIUDADES DE SULLANA Y BELLAVISTA, PROVINCIA DE SULLANA - PIURA</t>
  </si>
  <si>
    <t>1-2019-VIVIENDA/PNSU</t>
  </si>
  <si>
    <t>06.11.2019</t>
  </si>
  <si>
    <t xml:space="preserve">CONSORCIO SULLABELLA(integrado por las empresas JAGUI S.A.C - 20511317038.; CONSTRUCTORA MPM SA 20100995108; y, RIPCONCIV CONSTRUCCIONES CIVILES CIA LTDA SUCURSAL DEL PERU - 20602703119)  </t>
  </si>
  <si>
    <t>MEJORAMIENTO, AMPLIACION DE LOS SISTEMAS DE AGUA POTABLE Y ALCANTARILLADO EN LA LOCALIDAD DE CHINCHERO, DISTRITO DE CHINCHERO - URUBAMBA - CUSCO</t>
  </si>
  <si>
    <t>4-2018-VIVIENDA/PNSU</t>
  </si>
  <si>
    <t>29.01.2019</t>
  </si>
  <si>
    <t>FM CONTRATISTAS GENERALES S.R.L. - 20261295246</t>
  </si>
  <si>
    <t>12 INSTALACION DEL SERVICIO DE AGUA POTABLE Y SANEAMIENTO EN EL CASERIO VIRGEN DEL CARMEN , DISTRITO DE IRAZOLA - PADRE ABAD - UCAYALI</t>
  </si>
  <si>
    <t>LPN</t>
  </si>
  <si>
    <t>004-2019-VMCS/PNSR/PIASAR</t>
  </si>
  <si>
    <t>CONSORCIO ABAD   RUC: 20605289836</t>
  </si>
  <si>
    <t>2327241: MEJORAMIENTO Y AMPLIACION DEL SERVICIO DE AGUA POTABLE Y SANEAMIENTO BASICO EN EL CASERIO DE MOLULO, DISTRITO DE HUARMACA - HUANCABAMBA - PIURA</t>
  </si>
  <si>
    <t>LP-SM-8-2019-PNSR-1</t>
  </si>
  <si>
    <t>20504218130 - CONSTRUCTORA G+G S.A.C.</t>
  </si>
  <si>
    <t>2301611: INSTALACION DEL SERVICIO DE AGUA POTABLE Y SANEAMIENTO EN EL CASERIO DE MINAS DE TRIGAL, DISTRITO DE HUARMACA, HUANCABAMBA - PIURA</t>
  </si>
  <si>
    <t>2196734: AMPLIACION Y MEJORAMIENTO DE LOS SISTEMAS DE AGUA POTABLE Y SANEAMIENTO DEL CASERIO CORAZON DE JESUS, DISTRITO DE HUABAL - JAEN - CAJAMARCA</t>
  </si>
  <si>
    <t>LP-SM-20-2019-PNSR-1</t>
  </si>
  <si>
    <t xml:space="preserve">CONSROCIO AGAL AMAZONICO:
20502496035  -  NEGOCIACIONES Y REPRESENTACIONES MOLPAR'K E.I.R.L. 
20514430552  -  AGUA ALCANTARILLADO Y OBRAS SOCIEDAD ANONIMA CERRADA - AGALOBRAS S.A.C. 
</t>
  </si>
  <si>
    <t>2198268: AMPLIACION Y MEJORAMIENTO DE LOS SISTEMAS DE AGUA POTABLE Y SANEAMIENTO DEL CASERIO CHALLUAYACU, DISTRITO DE CUMBA - UTCUBAMBA - AMAZONAS</t>
  </si>
  <si>
    <t>LP-26-2019-PNSR</t>
  </si>
  <si>
    <t xml:space="preserve">CONSORCIO AGAL AMAZONICO:
20514430552  -  AGUA ALCANTARILLADO Y OBRAS SOCIEDAD ANONIMA CERRADA - AGALOBRAS S.A.C. 
20502496035  -  NEGOCIACIONES Y REPRESENTACIONES MOLPAR K E.I.R.L 
</t>
  </si>
  <si>
    <t>2196738: MEJORAMIENTO Y AMPLIACION DEL SERVICIO DE AGUA POTABLE Y SANEAMIENTO EN EL CASERIO DE SANTA ROSA, DISTRITO DE HUARMACA - HUANCABAMBA - PIURA</t>
  </si>
  <si>
    <t>LP-SM-25-2019-PNSR-1</t>
  </si>
  <si>
    <t>CONSORCIO - CONSORCIO DEL NORTE
1. 20300690999 - CONSTRUCTORA CABO VERDE S.A. COVERSA
2. 20160636573 - NHP INGENIERIA TECNICA S.R.L.</t>
  </si>
  <si>
    <t>2196729: AMPLIACION Y MEJORAMIENTO DE LOS SISTEMAS DE AGUA POTABLE Y SANEAMIENTO DEL CENTRO POBLADO LA VIRGINIA, DISTRITO DE JAEN, PROVINCIA DE JAEN - CAJAMARCA</t>
  </si>
  <si>
    <t>LP-31-2019-PNSR (1)</t>
  </si>
  <si>
    <t xml:space="preserve">CONSORCIO SELVA:
20160636573  -  NHP INGENIERIA TECNICA S.A.C. 
20300690999  -  CONSTRUCTORA CABO VERDE S.A. COVERSA 
</t>
  </si>
  <si>
    <t>9 MEJORAMIENTO Y AMPLIACION DEL SISTEMA DE AGUA POTABLE Y SANEAMIENTO BASICO EN EL CENTRO POBLADO SAN PABLO , DISTRITO DE TACABAMBA - CHOTA - CAJAMARCA</t>
  </si>
  <si>
    <t>LPI</t>
  </si>
  <si>
    <t>003-2019-VMCS/PNSR/PIASAR - LOTE N° 1</t>
  </si>
  <si>
    <t>CONSORCIO SANTA MARÍA     RUC: 20514436593</t>
  </si>
  <si>
    <t>2195747: MEJORAMIENTO Y AMPLIACION DEL SERVICIO DE AGUA POTABLE Y SANEAMIENTO BASICO EN EL CENTRO POBLADO RINCONADA, DISTRITO DE SANTO TOMAS - CUTERVO - CAJAMARCA</t>
  </si>
  <si>
    <t>LP-SM-21-2019-PNSR-1</t>
  </si>
  <si>
    <t xml:space="preserve">20496159811 - CELENDINOS S.R.L.   </t>
  </si>
  <si>
    <t>2308363: MEJORAMIENTO Y AMPLIACION DEL SERVICIO DE AGUA POTABLE Y SANEAMIENTO EN EL CENTRO POBLADO MENOR SAN JOSE, DISTRITO DE YARINACOCHA - CORONEL PORTILLO - UCAYALI</t>
  </si>
  <si>
    <t>LP-29-2019-PNSR (1)</t>
  </si>
  <si>
    <t xml:space="preserve">20600641426 - CORPORACION CR INGS S.A.C. - CCRISAC   </t>
  </si>
  <si>
    <t>2199709: INSTALACION DEL SERVICIO DE AGUA POTABLE Y DISPOSICION SANITARIA DE EXCRETAS EN EL CENTRO POBLADO DE PUERTO PERU, DISTRITO DE YURIMAGUAS - ALTO AMAZONAS - LORETO</t>
  </si>
  <si>
    <t>LP-SM-18-2018-PNSR-1</t>
  </si>
  <si>
    <t>CONSORCIO FENIX                 
20521005182-GEA ASOCIADOS SOCIEDAD ANONIMA CERRADA                                      
20207951316-PROMOTORA DE LA CONSTRUCCION S.R.L.</t>
  </si>
  <si>
    <t>2200343: MEJORAMIENTO Y AMPLIACION DEL SERVICIO DE AGUA POTABLE Y SANEAMIENTO EN EL CENTRO POBLADO SANTA ROSA DE MASISEA, DISTRITO DE MASISEA, PROVINCIA DE CORONEL PORTILLO, UCAYALI</t>
  </si>
  <si>
    <t>LP-27-2019-PNSR (1)</t>
  </si>
  <si>
    <t xml:space="preserve">CONSORCIO ELAAN:
20393271044  -  NEGOCIACIONES E INVERSIONES ELAAN EIRL 
20393809192  -  CONSTRUCTORA J &amp; N E.I.R.L. 
</t>
  </si>
  <si>
    <t>AMPLIACION Y MEJORAMIENTO DEL SISTEMA DE AGUA POTABLE Y ALCANTARILLADO SANITARIO DE LOS BARRIOS URBANOS: PATRON SANTIAGO, EL SALVADOR, LOS ALAMOS, WICHAYPAMPA, SEÑOR DE HUANCA Y SAN MARCOS DEL DISTRITO DE CHALLHUAHUACHO, PROVINCIA DE COTABAMBAS, DEPARTAMENTO DE APURIMAC</t>
  </si>
  <si>
    <t>2-2018-VIVIENDA/PNSU</t>
  </si>
  <si>
    <t>17.01.2019</t>
  </si>
  <si>
    <t>CONSORCIO INTEGRACIÓN (integrado por  CONSTRUCTORA SAN JUAN S.R.L - 20103639426., CONSTRUCOES ENGENHARIA E PAVIMENTACAO ENPAVI LTDA SUCURSAL DEL PERU - 20603476400 y CONSTRUCTORA G.C. S.A.C - 20502322711.)</t>
  </si>
  <si>
    <t>2235583: MEJORAMIENTO Y AMPLIACION DEL SERVICIO DE AGUA POTABLE Y DISPOSICION SANITARIA DE EXCRETAS EN LA COMUNIDAD NATIVA DE BOCA CHEMBO, DISTRITO DE RIO TAMBO, PROVINCIA DE SATIPO, DEPARTAMENTO DE JUNIN</t>
  </si>
  <si>
    <t>LP-SM-17-2019-PNSR-1</t>
  </si>
  <si>
    <t>CONSORCIO - CONSORCIO ELAAN
20393809192 - CONSTRUCTORA J &amp; N E.I.R.L.
20393271044 - NEGOCIACIONES E INVERSIONES ELAAN EIRL</t>
  </si>
  <si>
    <t>2202909: MEJORAMIENTO Y AMPLIACION DEL SERVICIO DE AGUA POTABLE Y DISPOSICION SANITARIA DE EXCRETAS EN LA COMUNIDAD NATIVA DE PUERTO OCOPA, DISTRITO DE RIO TAMBO, PROVINCIA DE SATIPO, DEPARTAMENTO DE JUNIN</t>
  </si>
  <si>
    <t>LP-SM-10-2019-PNSR-1</t>
  </si>
  <si>
    <t>11 AMPLIACIÓN Y MEJORAMIENTO DEL SERVICIO DE AGUA POTABLE Y SANEAMIENTO BÁSICO DEL CENTRO POBLADO NUEVA ESPERANZA, DISTRITO DE SORITOR - MOYOBAMBA - SAN MARTIN</t>
  </si>
  <si>
    <t>003-2019-VMCS/PNSR/PIASAR</t>
  </si>
  <si>
    <t>CONSORCIO SORITOR                                        RUC: 20605194959</t>
  </si>
  <si>
    <t>3 AMPLIACION Y MEJORAMIENTO DEL SERVICIO DE AGUA POTABLE Y SANEAMIENTO EN EL CENTRO POBLADO SEASME, DISTRITO DE NIEVA , PROVINCIA DE CONDORCANQUI - AMAZONAS</t>
  </si>
  <si>
    <t>001-2019-VMCS/PNSR/PIASAR</t>
  </si>
  <si>
    <t>CONSORCIO EJECUTOR CONDORCANQUI                    RUC: 20604751854</t>
  </si>
  <si>
    <t>2266082: MEJORAMIENTO Y AMPLIACION DEL SERVICIO DE AGUA POTABLE E INSTALACION DEL SERVICIO DE SANEAMIENTO EN EL CENTRO POBLADO SHAMPUYACU, DISTRITO DE AWAJUN - RIOJA - SAN MARTIN</t>
  </si>
  <si>
    <t>AS</t>
  </si>
  <si>
    <t>AS-57-2019-PNSR (1)</t>
  </si>
  <si>
    <t xml:space="preserve">CONSORCIO CONSTRUCTOR F&amp;S:
20570527593  -  "NEGOCIOS &amp; CONSTRUCCIONES SELVA ORIENTE S.R.L" 
20487809463  -  FESANA CONTRATISTAS &amp; SERVICIOS GENERALES S.R.L. 
</t>
  </si>
  <si>
    <t>2251094: MEJORAMIENTO Y AMPLIACION DEL SERVICIO DE AGUA POTABLE Y DISPOSICION DE EXCRETAS DE LA LOCALIDAD PANJUY, DISTRITO DE TABALOSOS - LAMAS - SAN MARTIN</t>
  </si>
  <si>
    <t>LP-SM-9-2019-PNSR-1</t>
  </si>
  <si>
    <t xml:space="preserve">CONSORCIO SELVA:
20160636573  -  NHP INGENIERIA TECNICA S.R.L. 
20300690999  -  CONSTRUCTORA CABO VERDE S.A. COVERSA 
</t>
  </si>
  <si>
    <t>2265210: MEJORAMIENTO Y AMPLIACION DEL SERVICIO DE AGUA POTABLE E INSTALACION DE LOS SERVICIOS DE ALCANTARILLADO, PLANTA DE TRATAMIENTO Y DISPOSICION SANITARIA DE EXCRETAS EN EL CENTRO POBLADO PORTILLO BAJO, DISTRITO DE RIO NEGRO ¿ SATIPO ¿ JUNIN</t>
  </si>
  <si>
    <t>LP-SM-11-2019-PNSR-1</t>
  </si>
  <si>
    <t>20600641426 - CORPORACION CR INGS S.A.C. - CCRISAC</t>
  </si>
  <si>
    <t>2 INSTALACION DE LOS SISTEMAS DE AGUA POTABLE Y SANEAMIENTO PARA EL CENTRO POBLADO DE ATAHUALPA , DISTRITO DE MANSERICHE - DATEM DEL MARANON - LORETO</t>
  </si>
  <si>
    <t>CONSORCIO SATURNO                                                 RUC: 20534171910</t>
  </si>
  <si>
    <t>1 INSTALACION DE LOS SISTEMAS DE AGUA POTABLE Y SANEAMIENTO PARA EL CENTRO POBLADO DE SACHAPAPA , DISTRITO DE MANSERICHE - DATEM DEL MARANON - LORETO</t>
  </si>
  <si>
    <t>2235548: AMPLIACION Y MEJORAMIENTO DEL SISTEMA DE AGUA POTABLE Y DE SANEAMIENTO BASICO EN LA LOCALIDAD DE CHOCOBAMBA, DISTRITO DE HUACRACHUCO, PROVINCIA DE MARANON - HUANUCO</t>
  </si>
  <si>
    <t>LP-SM-6-2019-PNSR-1</t>
  </si>
  <si>
    <t>CONSORCIO SAN FERNANDO
20481966672 - INMOBILIARIA Y CONSTRUCTORA SAN FERNANDO SAC
20481030146 - COVIDA S.R.L.</t>
  </si>
  <si>
    <t>4 INSTALACIÓN DE LOS SERVICIOS DE AGUA POTABLE Y SANEAMIENTO BÁSICO DE LA LOCALIDAD PAMPA DE LOS SILVA, DISTRITO DE LA MATANZA , PROVINCIA DE MORROPON, DEPARTAMENTO DE PIURA</t>
  </si>
  <si>
    <t>002-2019-VMCS/PNSR/PIASAR</t>
  </si>
  <si>
    <t>CONSORCIO PAMPA DE LOS SILVA     RUC: 20525491677</t>
  </si>
  <si>
    <t>2235263: MEJORAMIENTO Y AMPLIACION DEL SERVICIO DE AGUA POTABLE E INSTALACION DE DISPOSICION SANITARIA DE EXCRETAS EN EL CENTRO POBLADO DE PUCUSANI DISTRITO DE PERENE, PROVINCIA CHANCHAMAYO, DEPARTAMENTO JUNIN</t>
  </si>
  <si>
    <t>LP-SM-13-2019-PNSR-1</t>
  </si>
  <si>
    <t>10 AMPLIACION Y REHABILITACION DEL SERVICIO DE AGUA POTABLE E INSTALACION DEL SANEAMIENTO BASICO EN EL CENTRO POBLADO DE BAJO CHALAMARCA, DISTRITO DE CHALAMARCA - CHOTA - CAJAMARCA</t>
  </si>
  <si>
    <t>CONSORCIO SANTA MARÍA    RUC: 20514436593</t>
  </si>
  <si>
    <t>8 MEJORAMIENTO Y AMPLIACIÓN DEL SERVICIO DE AGUA POTABLE EN LA LOCALIDAD DE SAN MARTIN, DISTRITO DE LA LIBERTAD DE PALLAN – CELENDÍN – CAJAMARCA”</t>
  </si>
  <si>
    <t xml:space="preserve">003-2019-VMCS/PNSR/PIASAR - LOTE N°2
</t>
  </si>
  <si>
    <t>CONSORCIO SAN MIGUEL                          RUC: 20514436593</t>
  </si>
  <si>
    <t>2235534: AMPLIACION Y MEJORAMIENTO DEL SERVICIO DE AGUA POTABLE E INSTALACION DEL SANEAMIENTO EN LA LOCALIDAD DE UNION BELLAVISTA DE CAMSE, DISTRITO DE CUTERVO, PROVINCIA DE CUTERVO - CAJAMARCA</t>
  </si>
  <si>
    <t>LP-SM-5-2019-PNSR-1</t>
  </si>
  <si>
    <t xml:space="preserve">CONSORCIO DEL NORTE:
20160636573  -  NHP INGENIERIA TECNICA S.R.L. 
20300690999  -  CONSTRUCTORA CABO VERDE S.A. COVERSA 
</t>
  </si>
  <si>
    <t>2253727: AMPLIACION Y MEJORAMIENTO DEL SERVICIO DE AGUA POTABLE Y SANEAMIENTO DEL CENTRO POBLADO DE SANTA CRUZ, DISTRITO DE AGALLPAMPA - OTUZCO - LA LIBERTAD</t>
  </si>
  <si>
    <t>LP-SM-7-2019-PNSR-1</t>
  </si>
  <si>
    <t xml:space="preserve">20481030146 - COVIDA S.R.L.  </t>
  </si>
  <si>
    <t>2305052: AMPLIACION Y MEJORAMIENTO DEL SERVICIO DE AGUA POTABLE Y SANEAMIENTO DEL CENTRO POBLADO DE ESPINAL, DISTRITO DE SAYAPULLO - GRAN CHIMU - LA LIBERTAD</t>
  </si>
  <si>
    <t>2283000: MEJORAMIENTO Y AMPLIACION DEL SERVICIO DE AGUA POTABLE E INSTALACION DEL SANEAMIENTO EN LA LOCALIDAD DE MAMARURIBAMBA BAJO, DISTRITO DE COCHABAMBA - CHOTA - CAJAMARCA</t>
  </si>
  <si>
    <t>LP-SM-19-2019-PNSR-1</t>
  </si>
  <si>
    <t>CONSORCIO - CONSORCIO MAMARURIBAMBA
20448439942 - CONSTRUCTORA HINOJOSA PINTO E.I.R.L.
20491656761 - FEDECO CONTRATISTAS GENERALES SOCIEDAD ANÓNIMA CERRADA</t>
  </si>
  <si>
    <t>2283990: MEJORAMIENTO Y AMPLIACION DEL SERVICIO DE AGUA POTABLE E INSTALACION DEL SANEAMIENTO EN LA LOCALIDAD DE OLMOS, DISTRITO DE LAJAS - CHOTA - CAJAMARCA</t>
  </si>
  <si>
    <t>LP-SM-12-2019-PNSR-1</t>
  </si>
  <si>
    <t xml:space="preserve">CONSORCIO DEL NORTE:
20300690999  -  CONSTRUCTORA CABO VERDE S.A. COVERSA 
20160636573  -  NHP INGENIERIA TECNICA S.R.L. 
20505987561  -  INVERSIONES PRAIA SAC </t>
  </si>
  <si>
    <t>15 MEJORAMIENTO Y AMPLIACION DEL SERVICIO DE AGUA POTABLE E INSTALACION DEL SANEAMIENTO EN LA LOCALIDAD DE ALTO CANAFISTO, DISTRITO DE CHOTA, PROVINCIA DE CHOTA - CAJAMARCA</t>
  </si>
  <si>
    <t>LPL</t>
  </si>
  <si>
    <t>001-2019/VMCS/PNSR/PIASAR</t>
  </si>
  <si>
    <t>CONSORCIO CALMALCA                             RUC: 20605535373</t>
  </si>
  <si>
    <t>13 MEJORAMIENTO Y AMPLIACION DEL SERVICIO DE AGUA POTABLE E INSTALACION DEL SANEAMIENTO EN LA LOCALIDAD DE CADMALCA ALTO, DISTRITO DE LAJAS - CHOTA - CAJAMARCA</t>
  </si>
  <si>
    <t>14 MEJORAMIENTO Y AMPLIACION DEL SERVICIO DE AGUA POTABLE E INSTALACION DEL SANEAMIENTO EN LA LOCALIDAD DE CADMALCA BAJO , DISTRITO DE LAJAS - CHOTA - CAJAMARCA</t>
  </si>
  <si>
    <t>2262794: MEJORAMIENTO Y AMPLIACION DEL SERVICIO DE AGUA POTABLE E INSTALACION DEL SANEAMIENTO EN LA LOCALIDAD DE NEGROPAMPA BAJO, DISTRITO DE CHOTA, PROVINCIA DE CHOTA - CAJAMARCA</t>
  </si>
  <si>
    <t>LP-SM-18-2019-PNSR-1</t>
  </si>
  <si>
    <t>CONSORCIO - CONSORCIO DEL NORTE
20505987561 - INVERSIONES PRAIA SAC
20300690999 - CONSTRUCTORA CABO VERDE S.A. COVERSA
20160636573 - NHP INGENIERIA TECNICA S.R.L.</t>
  </si>
  <si>
    <t>2235709: MEJORAMIENTO Y AMPLIACION DEL SERVICIO DE AGUA POTABLE E INSTALACION DEL SANEAMIENTO EN LA LOCALIDAD DE CHURUCANCHA EL MOLINO, DISTRITO DE LAJAS - CHOTA - CAJAMARCA</t>
  </si>
  <si>
    <t>LP-SM-15-2019-PNSR-1</t>
  </si>
  <si>
    <t>20515427385 - HGD CONTRATISTAS S.A.C</t>
  </si>
  <si>
    <t>6 INSTALACION DEL SERVICIO DE AGUA POTABLE Y DISPOSICION DE EXCRETAS DEL CENTRO POBLADO DE TUPAC AMARU II , DISTRITO DE SAN JOSE - AZANGARO - PUNO</t>
  </si>
  <si>
    <t>CONSORCIO SAN BERNARDO                                       RUC: 20534171910</t>
  </si>
  <si>
    <t>5 MEJORAMIENTO Y AMPLIACIÓN DEL SERVICIO DE AGUA POTABLE E INSTALACIÓN DEL SERVICIO DE DISPOSICIÓN SANITARIA DE EXCRETAS DEL CENTRO POBLADO DE CARACARÁ, DISTRITO DE NICASIO- LAMPA- PUNO</t>
  </si>
  <si>
    <t>MEJORAMIENTO Y AMPLIACION DEL SERVICIO DE AGUA POTABLE E INSTALACION DE LA DISPOSICION SANITARIA DE EXCRETAS Y DE AGUAS GRISES EN LA COMUNIDAD NATIVA DE ALTO SHIMUTAS, DISTRITO DE IMAZA, PROVINCIA DE BAGUA, DEPARTAMENTO DE AMAZONAS</t>
  </si>
  <si>
    <t>CD</t>
  </si>
  <si>
    <t>Contratación Directa 01-2019</t>
  </si>
  <si>
    <t xml:space="preserve">Consorcio Aguas Sijiak &amp; Yanat RUC N° 20604750181      RUC N° 20393285690 ALMIRSA CONTRATISTAS GENERALES S.R.L.  
RUC N°  20393404532 CONSTRUCTORA Y CONSULTORES NAR E.I.R.L.)         </t>
  </si>
  <si>
    <t>INSTALACION DE LOS SERVICIOS DE AGUA POTABLE, DISPOSICION SANITARIA DE EXCRETAS Y DE AGUAS GRISES EN LA COMUNIDAD NATIVA DE KUSU KUNCHIN, DISTRITO DE IMAZA, PROVINCIA DE BAGUA, DEPARTAMENTO DE AMAZONAS</t>
  </si>
  <si>
    <t>Contratación Directa 02-2019</t>
  </si>
  <si>
    <t>INSTALACION DE LOS SERVICIOS DE AGUA POTABLE, DISPOSICION SANITARIA DE EXCRETAS Y DE AGUAS GRISES EN LA COMUNIDAD NATIVA DE SUKUTIN, DISTRITO DE IMAZA, PROVINCIA DE BAGUA, DEPARTAMENTO DE AMAZONAS</t>
  </si>
  <si>
    <t>Contratación Directa 03-2.19</t>
  </si>
  <si>
    <t xml:space="preserve">Consorcio Aguas Sijiak &amp; Yanat RUC N° 20604750181      RUC N° 20393285690 ALMIRSA CONTRATISTAS GENERALES S.R.L.  
RUC N°  20393404532CONSTRUCTORA Y CONSULTORES NAR E.I.R.L.)         </t>
  </si>
  <si>
    <t>2266591: MEJORAMIENTO Y AMPLIACION DEL SERVICIO DE AGUA POTABLE E INSTALACION DEL SANEAMIENTO EN LA LOCALIDAD DE CHUNIGA, DISTRITO DE LA LIBERTAD DE PALLAN - CELENDIN - CAJAMARCA</t>
  </si>
  <si>
    <t>LP-SM-22-2019-PNSR-1</t>
  </si>
  <si>
    <t xml:space="preserve">20602267491 - INGECOL SUCURSAL DE PERU   </t>
  </si>
  <si>
    <t>7 MEJORAMIENTO Y AMPLIACION DEL SERVICIO DE AGUA POTABLE E INSTALACION DEL SANEAMIENTO EN LA LOCALIDAD DE HUANGASHANGA ALTA , DISTRITO DE HUASMIN - CELENDIN - CAJAMARCA</t>
  </si>
  <si>
    <t>2270997: MEJORAMIENTO Y AMPLIACION DE LOS SERVICIOS DE AGUA POTABLE Y SANEAMIENTO DEL CENTRO POBLADO DE PUMACHANCA, DISTRITO DE OLLACHEA - CARABAYA - PUNO</t>
  </si>
  <si>
    <t>LP-SM-14-2019-PNSR-1</t>
  </si>
  <si>
    <t>20448439942 - CONSTRUCTORA HINOJOSA PINTO E.I.R.L.</t>
  </si>
  <si>
    <t>2293521: MEJORAMIENTO Y AMPLIACION DE LOS SERVICIOS DE AGUA POTABLE Y SANEAMIENTO DEL CENTRO POBLADO DE AMOYO, DISTRITO DE SANDIA, PROVINCIA DE SANDIA - PUNO</t>
  </si>
  <si>
    <t>LP-SM-1-2019-PNSR-1</t>
  </si>
  <si>
    <t>20447926645 - LOGISTICA DE BIENES Y SERVICIOS TUTUPACA SOCIEDAD ANONIMA CERRADA</t>
  </si>
  <si>
    <t>2276132: MEJORAMIENTO Y AMPLIACION DE LOS SERVICIOS DE AGUA POTABLE Y SANEAMIENTO DEL CENTRO POBLADO AYO, DISTRITO DE SANDIA, PROVINCIA DE SANDIA - PUNO</t>
  </si>
  <si>
    <t>LP-SM-3-2019-PNSR-1</t>
  </si>
  <si>
    <t>20144691173 - CONSTRUCTORA VANESSA ORIETTA SRLTDA</t>
  </si>
  <si>
    <t>2283136: MEJORAMIENTO Y AMPLIACION DE LOS SERVICIOS DE AGUA POTABLE Y SANEAMIENTO DEL CENTRO POBLADO SUARA, DISTRITO DE SANDIA, PROVINCIA DE SANDIA - PUNO</t>
  </si>
  <si>
    <t>LP-SM-2-2019-PNSR-1</t>
  </si>
  <si>
    <t>CONSORCIO APOLO
20511535612 - COMERCIALIZADORA S &amp; E PERÚ S.A.C.
20523201949 - VMJ CONTRATISTAS GENERALES S.A.C. - VMJ-CONGESAC
20556625761 - CORPORACION CUPHER SAC</t>
  </si>
  <si>
    <t>INSTALACION, MEJORAMIENTO Y AMPLIACION DEL SERVICIO DE AGUA POTABLE Y SANEAMIENTO EN LOS CENTRO POBLADOS DE RICARDO PALMA, VISTA ALEGRE, TÚPAC AMARU, SAN MIGUEL, CORDILLERA DEL CÓNDOR, EL CEDRO Y LIBERTAD DE PACUYACU, DISTRITO DE NUEVA CAJAMARCA, PROVINCIA DE RIOJA, DEPARTAMENTO DE SAN MARTÍN (4)</t>
  </si>
  <si>
    <t>LPI 003-2019</t>
  </si>
  <si>
    <t>CONSORCIO COSANAR RUC N° 20605030310                           RUC N° 20396681651 CHC INGENIEROS S.A. 
RUC N° 20556939196 GRUPO COVASA S.A. de CV SUCURSAL PERÚ                                                                                                                   RUC N° 20601872332 CONSTRUCTORA FERRETERA ALTO MAYO S.A.C.</t>
  </si>
  <si>
    <t>2263854: MEJORAMIENTO Y AMPLIACION DE LOS SERVICIOS DE AGUA POTABLE Y DISPOSICION SANITARIA DE EXCRETAS DE LA LOCALIDAD DE QUEUNA GRANDE, DISTRITO DE HUANCARANI - PAUCARTAMBO - CUSCO</t>
  </si>
  <si>
    <t>LP-SM-4-2019-PNSR-1</t>
  </si>
  <si>
    <t>EMPRESA CONSTRUCTORA GRA.P.H. S.R.LTDA.</t>
  </si>
  <si>
    <t>INSTALACION, MEJORAMIENTO Y AMPLIACIÓN DEL SERVICIO DE AGUA POTABLE Y SANEAMIENTO EN LOS CENTROS POBLADOS  DE MIRAFLORES, PALESTINA, LA FLORIDA Y CAMPO AMOR, DISTRITO DE NUEVA CAJAMARCA, PROVINCIA DE RIOJA, DEPARTAMENTO DE SAN MARTÍN (3)</t>
  </si>
  <si>
    <t>CONSORCIO UNIDO RIOJA  RUC N° 20605037411                                               RUC N° 20205328662 SAN AGUSTIN E.I.R.L. CONTRATISTAS GENERALES                                                      RUC N° 20253179555 SERVICIOS DE INGENIERIA MINERA Y FERRETERIA DE LA INDUSTRIA MINERA E.I.R.L.                                                                      RUC N° 20488020791 JJV DIDIER REPRESENTACIONES E.I.R.L.                                                                                                               RUC N° 20545512662 ZASCMEN INGENIEROS S.A.C.</t>
  </si>
  <si>
    <t>2265193: MEJORAMIENTO Y AMPLIACION DE LOS SERVICIOS DE AGUA POTABLE Y DISPOSICION SANITARIA DE EXCRETAS DEL CASERIO DE LLUICHOCOLPAN, DISTRITO DE LLUMPA - MARISCAL LUZURIAGA - ANCASH</t>
  </si>
  <si>
    <t>LP-SM-17-2018-PNSR-2</t>
  </si>
  <si>
    <t xml:space="preserve">20534142227 - SERVIAL PERU SAC </t>
  </si>
  <si>
    <t>2332509: MEJORAMIENTO Y AMPLIACION DEL SERVICIO DE AGUA POTABLE Y SANEAMIENTO EN LA CC.NN JOSE OLAYA DISTRITO DE TROMPETEROS, PROVINCIA DE LORETO, REGION DE LORETO</t>
  </si>
  <si>
    <t>LP-SM-15-2018-PNSR-1</t>
  </si>
  <si>
    <t>20494682703 - CH INGENIEROS S.A.C.</t>
  </si>
  <si>
    <t>INSTALACION DEL SERVICIO DE AGUA POTABLE Y SANEAMIENTO EN EL CENTRO POBLADO DE QUISTOCOCHA , DISTRITO DE SAN JUAN BAUTISTA - MAYNAS - LORETO</t>
  </si>
  <si>
    <t>LPN 005-2019</t>
  </si>
  <si>
    <t xml:space="preserve">CONSORCIO AGUAS QUISTOCOCHA RUC N° 20605547541        
RUC N° 20393285690 ALMIRSA CONTRATISTAS GENERALES S.R.L.  
RUC N° 20393404532 CONSTRUCTORA Y CONSULTORES NAR E.I.R.L.                       
RUC N° 20375458307 CONSTRUCCIONES EQQUS S.A.                                                            </t>
  </si>
  <si>
    <t>INSTALACION DEL SERVICIO DE AGUA POTABLE Y SANEAMIENTO EN EL CENTRO POBLADO DE CRUZ DEL SUR , DISTRITO DE SAN JUAN BAUTISTA - MAYNAS - LORETO</t>
  </si>
  <si>
    <t>LPN 006-2019</t>
  </si>
  <si>
    <t xml:space="preserve">CONSORCIO CONINSA  RUC N° 20605870873                           
RUC N° 20396681651 CHC INGENIEROS S.A. 
RUC N° 20556939196 GRUPO COVASA S.A. de CV SUCURSAL PERÚ         
RUC N° 20531722451 CONSTRUCTORA C &amp; C S.A.C.)                                                                </t>
  </si>
  <si>
    <t>INSTALACION DEL SERVICIO DE AGUA POTABLE Y SANEAMIENTO EN EL CENTRO POBLADO DE VARILLAL , DISTRITO DE SAN JUAN BAUTISTA - MAYNAS - LORETO</t>
  </si>
  <si>
    <t>LPN 003-2019</t>
  </si>
  <si>
    <t>INSTALACION DEL SERVICIO DE AGUA POTABLE Y SANEAMIENTO EN EL CENTRO POBLADO DE 13 DE FEBRERO , DISTRITO DE SAN JUAN BAUTISTA - MAYNAS - LORETO</t>
  </si>
  <si>
    <t>LPN 004-2019</t>
  </si>
  <si>
    <t xml:space="preserve">CONSORCIO HIDRAULICO DEL NORTE  RUC N° 20605558471      
RUC N° 20488071603 KIBE CONSTRUCCIONES GENERALES S.A.C.  
RUC N° 20535663751 CONSTRUCTORA L &amp; M EJECUTORES DE OBRAS S.A.C.                                                     </t>
  </si>
  <si>
    <t>INSTALACION DEL SERVICIO DE AGUA POTABLE Y SANEAMIENTO EN EL CENTRO POBLADO DE SAN JOAQUIN DE OMAGUA, DISTRITO DE NAUTA , PROVINCIA DE LORETO - LORETO</t>
  </si>
  <si>
    <t>LPN 002-2019</t>
  </si>
  <si>
    <t>CONSORCIO CONSTRUCTOR LORETO RUC N° 20605870750           
RUC N° 20396681651 CHC INGENIEROS S.A. 
RUC N° 20556939196 GRUPO COVASA S.A. de CV SUCURSAL PERÚ 
RUC N° 20567123562 P &amp; P CONSULTORIAS Y OBRAS S.A.C.</t>
  </si>
  <si>
    <t>INSTALACION DEL SERVICIO DE AGUA POTABLE Y SANEAMIENTO EN LA COMUNIDAD NATIVA DE SAN JUAN DE PURITANIA, DISTRITO DE NAUTA , PROVINCIA DE LORETO - LORETO</t>
  </si>
  <si>
    <t>LPN 001-2019</t>
  </si>
  <si>
    <t xml:space="preserve">CONSTRUCTORA Y CONSULTORES NAR E.I.R.L.     
RUC N° 20393404532                                                        </t>
  </si>
  <si>
    <t>INSTALACION DEL SERVICIO DE AGUA POTABLE Y SANEAMIENTO EN EL CENTRO POBLADO DE PALIZADA, DISTRITO DE NAUTA , PROVINCIA DE LORETO - LORETO</t>
  </si>
  <si>
    <t>LPN 02-2019</t>
  </si>
  <si>
    <t xml:space="preserve">CONSORCIO CONSTRUCTOR LORETO RUC N° 20605870750           
RUC N°  CHC INGENIEROS S.A. 
RUC N°  GRUPO COVASA S.A. de CV SUCURSAL PERÚ 
RUC N°  P &amp; P CONSULTORIAS Y OBRAS S.AC.)                                                              </t>
  </si>
  <si>
    <t>INSTALACION DEL SERVICIO DE AGUA POTABLE Y SANEAMIENTO EN EL CENTRO POBLADO DE NUEVA YORK, DISTRITO DE NAUTA , PROVINCIA DE LORETO - LORETO</t>
  </si>
  <si>
    <t xml:space="preserve">CONSORCIO AGUAS NUEVA YORK  RUC - 20605557792                                                                   
RUC N° 20393285690 ALMIRSA CONTRATISTAS GENERALES S.R.L.  
RUC N°  20393404532 CONSTRUCTORA Y CONSULTORES NAR E.I.R.L.)                                                                                                                                         </t>
  </si>
  <si>
    <t>ESTUDIOS DE PRE INVERSIÓN -MEJORAMIENTO Y AMPLIACION DE LOS SERVICIOS DE AGUA POTABLE Y ALCANTARILLADO EN LOS SECTORES 140,141,142,143,144, 145,146, 155, 156, 157, Y 169 (ESQUEMA ALTOS DE HUAMPANÍ) EN LOS DISTRITOS DE LURIGANCHO Y CHACLACAYO DE LA PROVINCIA DE LIMA - DEPARTAMENTO DE LIMA</t>
  </si>
  <si>
    <t>CP</t>
  </si>
  <si>
    <t>005-2019-PASLC</t>
  </si>
  <si>
    <t>CONSORCIO AGUA SEGURA 10079403402</t>
  </si>
  <si>
    <t>ESTUDIOS DE PRE INVERSIÓN - MEJORAMIENTO Y AMPLIACION DE LOS SERVICIOS DE AGUA POTABLE Y ALCANTARILLADO EN LOS SECTORES AMPLIACIÓN 308, 309, Y 310 (ESQUEMA JOSÉ CARLOS MARITÉGUI - VILLA MARÍA DEL TRIUNFO) DEL DISTRITO DE VILLA MARIA DEL TRIUNFO - PROVINCIA DE LIMA - DEPARTAMENTO DE LIMA</t>
  </si>
  <si>
    <t>003-2019-PASLC</t>
  </si>
  <si>
    <t>CONSORCIO SANTA ROSA 22  20605027190</t>
  </si>
  <si>
    <t>ESTUDIOS  DE PRE INVERSIÓN - SERVICIO DE CONSULTORÍA PARA LA ELABORACIÓN DE LA FICHA TÉCNICA ESTÁNDAR DEL PROYECTO AMPLIACION DE LOS SERVICIOS DE AGUA POTABLE Y ALCANTARILLADO EN LAS NUEVAS HABILITACIONES DEL ESQUEMA HORACIO ZEVALLOS, PARIACHI Y ANEXOS DEL DISTRITO DE ATE, PROVINCIA DE LIMA, DEPARTAMENTO DE LIMA, CON CÓDIGO ÚNICO 2396197</t>
  </si>
  <si>
    <t>012-2019-PASLC</t>
  </si>
  <si>
    <t>CONSORCIO REMA INGENIERIA 20466932303</t>
  </si>
  <si>
    <t>ESTUDIOS DE PRE INVERSIÓN -MEJORAMIENTO Y AMPLIACION DE LOS SERVICIOS DE AGUA POTABLE Y ALCANTARILLADO EN LOS SECTORES 176, 177 Y 178 DEL DISTRITO DE ATE - PROVINCIA DE LIMA - DEPARTAMENTO DE LIMA</t>
  </si>
  <si>
    <t>004-2019-PASLC</t>
  </si>
  <si>
    <t>CONSORCIO AGUA SEGURA RUC: 20600862953 20600862953</t>
  </si>
  <si>
    <t>ESTUDIOS DE PRE INVERSIÓN - AMPLIACION DE LOS SERVICIOS DE AGUA POTABLE Y ALCANTARILLADO PARA NUEVAS HABILITACIONES EN EL ESQUEMA SANTA ROSA Y ANCON EN LOS DISTRITOS DE SANTA ROSA Y ANCON DE LA PROVINCIA DE LIMA - DEPARTAMENTO DE LIMA</t>
  </si>
  <si>
    <t>002-2019-PASLC</t>
  </si>
  <si>
    <t>CONSORCIO SANTA ROSA 11  20604953139</t>
  </si>
  <si>
    <t>ESTUDIOS  DE PRE INVERSIÓN - AMPLIACIÓN DE LOS SERVICIOS DE AGUA POTABLE Y ALCANTARILLADO DEL ESQUEMA QUEBRADA DE MANCHAY 4TA. ETAPA DEL DISTRITO DE PACHACAMAC - PROVINCIA DE LIMA - DEPARTAMENTO DE LIMA</t>
  </si>
  <si>
    <t>001-2019-PASLC</t>
  </si>
  <si>
    <t>CONSORCIO MANCHAY   10081070062</t>
  </si>
  <si>
    <t>ESTUDIOS DE PRE INVERSIÓN - CONSULTORÍA PARA LA ELABORACIÓN DE LA FICHA TÉCNICA ESTANDAR DEL PROYECTO: AMPLIACIÓN DE LOS SERVICIOS DE AGUA POTABLE Y ALCANTARILLADO PARA LAS NUEVAS HABILITACIONES DEL ESQUEMA ÑAÑA DEL DISTRITO DE LURIGANCHO, PROVINCIA DE LIMA, DEPARTAMENTO DE LIMA CON CÓDIGO ÚNICO 2395169</t>
  </si>
  <si>
    <t>015-2019-PASLC</t>
  </si>
  <si>
    <t>CONSORCIO CONSULTORES  ESQUEMA  ÑAÑA 20605663428</t>
  </si>
  <si>
    <t>CONTRATACION DE LA EJECUCION DE LA OBRA "CONSTRUCCION DE LA INFRAESTRUCTURA DEL CENTRO DE CAPACITACION SENCICO ZONAL PUNO - CUI Nª 2131774"</t>
  </si>
  <si>
    <t>LLAVE EN MANO</t>
  </si>
  <si>
    <t>01-2019-SENCICO</t>
  </si>
  <si>
    <t>20124794847
CODIMSUR SRL</t>
  </si>
  <si>
    <t>ENERO 2021</t>
  </si>
  <si>
    <t>SI</t>
  </si>
  <si>
    <t>MARZO 2021</t>
  </si>
  <si>
    <t>INSTALACION DE LOS SISTEMAS DE AGUA POTABLE Y ALCANTARILLADO PARA LA ASOCIACION PRO VIVIENDA PROFAM PERU DISTRITO SANTA ROSA</t>
  </si>
  <si>
    <t>010-2019-PASLC</t>
  </si>
  <si>
    <t>CONSORCIO SAN BLAS 1007940340</t>
  </si>
  <si>
    <t>EJECUCION DE OBRA “MEJORAMIENTO DEL ENTORNO URBANO DE LA AV. EL SOL, TRAMO COMPRENDIDO ENTRE LA AV. PACHACUTEC Y LA ANTIGUA PANAMERICANA SUR, DISTRITO DE VILLA EL SALVADOR" CODIGO UNIFICADO N° 2380895</t>
  </si>
  <si>
    <t>LP-SM-2-2019-VIVIENDA-OGA-UE-1</t>
  </si>
  <si>
    <t>CONSORCIO BOLOGNESI
20602965253 - JMK EQUIPOS S.A.C.
20547097069 - M &amp; S PROYECTS S.A.C.</t>
  </si>
  <si>
    <t>NO</t>
  </si>
  <si>
    <t>MEJORAMIENTO Y AMPLIACION DE LOS SISTEMAS DE AGUA POTABLE Y ALCANTARILLADO EN LOS DISTRITOS DE ATE Y SANTA ANITA DE LA PROVINCIA DE LIMA - DEPARTAMENTO DE LIMA</t>
  </si>
  <si>
    <t>007-2019-PASLC</t>
  </si>
  <si>
    <t>TEC CUATRO SA - SUCURSAL PERU 20552233787</t>
  </si>
  <si>
    <t>MEJORAMIENTO Y AMPLIACION DE LOS SISTEMAS DE AGUA POTABLE Y ALCANTARILLADO DE LOS SECTORES 361, 362, 363, 364, 365, 384, 385, 386, 387 Y 388 DISTRITO DE PUENTE PIEDRA - PROVINCIA DE LIMA - DEPARTAMENTO DE LIMA</t>
  </si>
  <si>
    <t>009-2019-PASLC</t>
  </si>
  <si>
    <t>CONSORCIO AGUAS DE LIMA 20538546489</t>
  </si>
  <si>
    <t>EJECUCION DE OBRA “MEJORAMIENTO DE LA INFRAESTRUCTURA VIAL, PEATONAL Y HABILITACION DE AREAS VERDES EN LA AV. JOSE CARLOS MARIATEGUI, SECTOR JCM 1 ETAPA, ZONA 1 - JOSE CARLOS MARIATEGUI, CENTRO POBLADO DE VMT - DISTRITO DE VILLA MARIA DEL TRIUNFO-PROVINCIA DE LIMA - REGION LIMA - CODIGO UNIFICADO 2400516”</t>
  </si>
  <si>
    <t>LP-SM-3-2019-VIVIENDA-OGA-UE-1</t>
  </si>
  <si>
    <t>CONSORCIO HAR :
20524722888 - INVERSIONES HAR SUAREZ S.A.C.
20101655041 - AGREDA GALLARDAY &amp; JARA S.A.C. CONTRATISTAS GENERALES A.G. &amp; J. S.A.C.</t>
  </si>
  <si>
    <t xml:space="preserve">90 días </t>
  </si>
  <si>
    <t>EJECUCION DE OBRA MEJORAMIENTO DE LA INFRAESTRUCTURA VIAL, PEATONAL Y HABILITACIÓN DE ÁREAS VERDES EN LAS AVENIDAS DEL P.J. JOSÉ CARLOS MARIÁTEGUI (SECTOR JCM 1 ETAPA, SECTOR 30 DE AGOSTO, SECTOR VALLECITO BAJO), ZONA 1 – JOSÉ CARLOS MARIATEGUI – DISTRITO DE VILLA MARIA DEL TRIUNFO - PROVINCIA DE LIMA - REGIÓN LIMA – CODIGO UNIFICADO N° 2400819</t>
  </si>
  <si>
    <t>LP-SM-4-2019-VIVIENDA-OGA-UE-1</t>
  </si>
  <si>
    <t>20507687084-DESARROLLO INNOVACION Y TECNOLOGIA DE SERVICIOS SAC - DITSER SAC</t>
  </si>
  <si>
    <t>INSTALACION DEL SISTEMA DE AGUA POTABLE Y ALCANTARILLADO PARA LA A.V SANTA ROSA II ETAPA, A.V EL BOSQUE, A.V LAS CASUARINAS, A.V HEROES DE SAN JUAN Y C.V CIUDAD DE DIOS</t>
  </si>
  <si>
    <t>EL HORIZONTE SRL 20365809179</t>
  </si>
  <si>
    <t>ELOY JUSTO ESPINOZA SALGADO 10225104366</t>
  </si>
  <si>
    <t>EJECUCION DE OBRA “MEJORAMIENTO DE LA INFRAESTRUCTURA VIAL EN EL PERIMETRO DE LA VIDENA, EN LAS AVENIDAS CANADÁ, DEL AIRE, SAN LUIS Y AVIACIÓN -DISTRITO DE SAN LUIS - PROVINCIA DE LIMA - DEPARTAMENTO DE LIMA – CODIGO UNIFICADO N° 2407756”</t>
  </si>
  <si>
    <t>LP-SM-1-2019-VIVIENDA-OGA-UE-1</t>
  </si>
  <si>
    <t>CONSORCIO VIAL VIDENA 
20553792119 - PROMOTORA DE PROYECTOS SAN MIGUEL S.A.C.
20517520587 - ZVE INGENIERIA Y CONSTRUCCION E.I.R.L.
10287153321 - VENEGAS ESPINOZA ZOCIMO</t>
  </si>
  <si>
    <t>SI, por 06 días</t>
  </si>
  <si>
    <t xml:space="preserve"> RENOVACIÓN DE LÍNEA DE IMPULSIÓN, ABASTECIMIENTO DE AGUA, COLECTOR SECUNDARIO Y EMISARIO; EN EL(LA) AREA DE INFLUENCIA DE LA EPSE EMAPA CAÑETE S.A DISTRITO DE SAN VICENTE DE CAÑETE, PROVINCIA CAÑETE, DEPARTAMENTO LIMA</t>
  </si>
  <si>
    <t>PEC</t>
  </si>
  <si>
    <t>12-2019-VIVIENDA/PNSU</t>
  </si>
  <si>
    <t>05.06.2019</t>
  </si>
  <si>
    <t>CONSORCIO CAÑETE
(integrado por Consulting &amp; Service Edsur S.A.C. con RUC N° 20481249172, Colonia – Ingenieros S.A.C. con RUC N° 20529650982, Ferretería JR S.R.L. con RUC N° 20496146591 y Romero Consultor E.I.R.L. con RUC N° 20526237235)</t>
  </si>
  <si>
    <t>Contrato resuelto</t>
  </si>
  <si>
    <t>REPARACIÓN DE LAGUNA DE TRATAMIENTO DE AGUAS RESIDUALES; EN EL(LA) EMAPA CAÑETE DISTRITO DE QUILMANA, PROVINCIA CAÑETE, DEPARTAMENTO LIMA</t>
  </si>
  <si>
    <t>22-2018-VIVIENDA/PNSU</t>
  </si>
  <si>
    <t>08.04.2019</t>
  </si>
  <si>
    <t>CONSORCIO 22 (integrado por las empresas JAGUI S.A.C - 20511317038.; CORPORACIÓN CHUPHER S.A.C - 20556625761.; y, NESTOR ALCIDES ESQUIVEL ESCOBAR - 10100049916</t>
  </si>
  <si>
    <t>oct.2020</t>
  </si>
  <si>
    <t>RENOVACIÓN DE CAPTACIÓN SUPERFICIAL DE AGUA, LÍNEA DE CONDUCCIÓN Y COLECTOR SECUNDARIO; CONSTRUCCIÓN DE CERCO; EN EL(LA) MUNICIPALIDAD DISTRITAL DE SALAS EN LA LOCALIDAD SALAS, DISTRITO DE SALAS, PROVINCIA LAMBAYEQUE, DEPARTAMENTO LAMBAYEQUE</t>
  </si>
  <si>
    <t>06.02.2019</t>
  </si>
  <si>
    <t xml:space="preserve">CONSORCIO 4 (integrado por las empresas JAGUI S.A.C - 20511317038.; CORPORACIÓN CHUPHER S.A.C - 20556625761.; y, NESTOR ALCIDES ESQUIVEL ESCOBAR - 10100049916)  </t>
  </si>
  <si>
    <t>RENOVACION DE CAPTACION DE AGUA DE MANANTIAL Y LINEA DE CONDUCCION; EN EL(LA) MUNICIPALIDAD DISTRITAL DE YAUTAN, DISTRITO DE YAUTAN, PROVINCIA CASMA, DEPARTAMENTO ANCASH</t>
  </si>
  <si>
    <t>40-2019-VIVIENDA/PNSU</t>
  </si>
  <si>
    <t>12.11.2019</t>
  </si>
  <si>
    <t>CONSORCIO H&amp;B construserv  (integrado por CONTINENTAL CONSTRUCTORA Y SERVICIOS GENERALES SAC-20445349322; FERNANDO JOSE SOLIS MAGUIÑA - 31673233 y H&amp;B CONSTRUSERV SAC - 20603228775  )</t>
  </si>
  <si>
    <t>REPARACIÓN DE RESERVORIOS, CONEXIÓN DOMICILIARIA DE AGUA POTABLE Y LAGUNA DE TRATAMIENTO DE AGUAS RESIDUALES; RENOVACIÓN DE ESTACIÓN DE BOMBEO; EN EL(LA) SISTEMA DE AGUA POTABLE Y ALCANTARILLADO EN LA LOCALIDAD CAPOTE, DISTRITO DE PICSI, PROVINCIA CHICLAYO, DEPARTAMENTO LAMBAYEQUE</t>
  </si>
  <si>
    <t>08.01.2019</t>
  </si>
  <si>
    <t>CONSORCIO LIMA NORTE - 20504218130</t>
  </si>
  <si>
    <t>REPARACIÓN DE POZO, ABASTECIMIENTO DE AGUA, CONEXIÓN DOMICILIARIA DE AGUA POTABLE, ESTACIÓN DE BOMBEO Y LAGUNA DE TRATAMIENTO DE AGUAS RESIDUALES; EN EL(LA) DE LOS SERVICIOS DE AGUA POTABLE Y ALCANTARILLADO DISTRITO DE JAYANCA, PROVINCIA LAMBAYEQUE, DEPARTAMENTO LAMBAYEQUE</t>
  </si>
  <si>
    <t>5-2018-VIVIENDA/PNSU</t>
  </si>
  <si>
    <t>16.01.2020</t>
  </si>
  <si>
    <t>CONSORCIO 5 (integrado por Jagui S.A.C  - 20511317038., Corporación Cupher S.A.C. - 20556625761  y Esquivel Escobar Nestor Alcides - 10100049916).</t>
  </si>
  <si>
    <t>CONSTRUCCIÓN DE PROTECCIÓN DE BARRERA; REPARACIÓN DE COLECTOR SECUNDARIO; EN EL(LA) SISTEMA DE ALCANTARILLADO DISTRITO DE SANTA EULALIA, PROVINCIA HUAROCHIRI, DEPARTAMENTO LIMA</t>
  </si>
  <si>
    <t>38-2019-VIVIENDA/PNSU</t>
  </si>
  <si>
    <t>07.11.2019</t>
  </si>
  <si>
    <t>CONSORCIO SANTA EULALIA (integrado por JJr Durand SAC - 20349311608 y VIAMEF SAC - 20515476327 )</t>
  </si>
  <si>
    <t>REPARACIÓN DE ESTACIÓN DE BOMBEO Y COLECTOR SECUNDARIO; EN EL(LA) LOS SERVICIOS DE ALCANTARILLADO EN LA LOCALIDAD CIUDAD DE DIOS, DISTRITO DE SAN JOSE, PROVINCIA LAMBAYEQUE, DEPARTAMENTO LAMBAYEQUE</t>
  </si>
  <si>
    <t>21-2019-VIVIENDA/PNSU</t>
  </si>
  <si>
    <t>27.06.2019</t>
  </si>
  <si>
    <t>CONSORCIO SAN JOSE (integrado por JJr Durand SAC - 20349311608 y Mercedes Gerarda Torres Lopez - 10255137366)</t>
  </si>
  <si>
    <t xml:space="preserve"> RENOVACIÓN DE ESTACIÓN DE BOMBEO; EN EL (LA) SISTEMA DE AGUA POTABLE EN LA LOCALIDAD DE PACASMAYO, DISTRITO DE PACASMAYO, PROVINCIA PACASMAYO DEPARTAMENTO LA LIBERTAD</t>
  </si>
  <si>
    <t>2 -2019-VIVIENDA/PNSU</t>
  </si>
  <si>
    <t>28.05.2019</t>
  </si>
  <si>
    <t>CONSORCIO SANTA ROSA (Giss Construction E.I.R.L -20571203988., Copabanti Contratista Generales E.I.R.L. 20523535308 y el Sr. Miguel Enrique Bazan Orellana-10200447331)</t>
  </si>
  <si>
    <t>RENOVACIÓN DE LAGUNA DE TRATAMIENTO DE AGUAS RESIDUALES; EN EL(LA) SERVICIOS DE PLANTAS DE TRATAMIENTO DE AGUAS RESIDUALES EN LA LOCALIDAD NUEVO POZO DE LOS RAMOS, DISTRITO DE CURA MORI, PROVINCIA PIURA, DEPARTAMENTO PIURA</t>
  </si>
  <si>
    <t>3-2018-VIVIENDA/PNSU</t>
  </si>
  <si>
    <t xml:space="preserve">CONSORCIO 3 (integrado por las empresas JAGUI S.A.C - 20511317038.; CORPORACIÓN CHUPHER S.A.C - 20556625761.; y, NESTOR ALCIDES ESQUIVEL ESCOBAR - 10100049916)  </t>
  </si>
  <si>
    <t>feb.2020</t>
  </si>
  <si>
    <t>REPARACIÓN DE LAGUNA DE TRATAMIENTO DE AGUAS RESIDUALES, ESTACIÓN DE BOMBEO Y COLECTOR SECUNDARIO; EN EL(LA) SISTEMA DE ALCANTARILLADO EN LA LOCALIDAD PEDREGAL GRANDE, DISTRITO DE CATACAOS, PROVINCIA PIURA, DEPARTAMENTO PIURA</t>
  </si>
  <si>
    <t>11-2018-VIVIENDA/PNSU</t>
  </si>
  <si>
    <t>24.06.2019</t>
  </si>
  <si>
    <t>CONSORCIO BUENAVENTURA
(integrado por Constructora G+G SAC - 20504218130, HM INGENIEROS CONSULTORES-20543698912)</t>
  </si>
  <si>
    <t>ene.2021</t>
  </si>
  <si>
    <t xml:space="preserve"> REPARACIÓN DE SEDIMENTADOR; EN EL(LA) SISTEMA DE AGUA POTABLE EN LA LOCALIDAD BARRANCA, DISTRITO DE BARRANCA, PROVINCIA BARRANCA, DEPARTAMENTO LIMA</t>
  </si>
  <si>
    <t>37-2019-VIVIENDA/PNSU</t>
  </si>
  <si>
    <t>CONSORCIO BARRANCA (integrado por JJr Durand SAC - 20349311608 y Mercedes Gerarda Torres Lopez - 10255137366)</t>
  </si>
  <si>
    <t>REPARACIÓN DE COLECTOR PRIMARIO Y COLECTOR SECUNDARIO; EN EL(LA) SISTEMA DE ALCANTARILLADO EN LA LOCALIDAD TRUJILLO, DISTRITO DE TRUJILLO, PROVINCIA TRUJILLO, DEPARTAMENTO LA LIBERTAD</t>
  </si>
  <si>
    <t>41-2019-VIVIENDA/PNSU</t>
  </si>
  <si>
    <t>19.11.2019</t>
  </si>
  <si>
    <t>CONSORCIO CAJAMARCA (integrado por JH MACC EIRL - 204958581947, MAQUINARIA Y CONSTRUCCIÓN DE LOS ANDES EIRL - 2049588895; M Y A CONTRATISTAS GENERALES SRL 20496165200; TERESA DOMITILA VILLANUEVA COTRINA 26626364 y JORGE HERNANDO MENDOZA MALPICA 70800106)</t>
  </si>
  <si>
    <t>REPARACIÓN DE BUZONES, CONEXIÓN DOMICILIARIA DE AGUA POTABLE Y CONEXIÓN DOMICILIARIA DE ALCANTARILLADO; EN EL(LA) EPS SEDACHIMBOTE DISTRITO DE CHIMBOTE, PROVINCIA SANTA, DEPARTAMENTO ANCASH</t>
  </si>
  <si>
    <t>3-2019-VIVIENDA/PNSU</t>
  </si>
  <si>
    <t>CONSORCIO SANTA
(integrado por GSC Ingenieros Contratistas Generales S.A.C. con RUC N° 20482532374 y Black Star S.A.C. con RUC N° 20540013129)</t>
  </si>
  <si>
    <t>REPARACIÓN DE CAPTACIÓN SUPERFICIAL DE AGUA Y LÍNEA DE CONDUCCIÓN; CONSTRUCCIÓN DE GAVIÓN; EN EL(LA) SISTEMA DE AGUA POTABLE EN LA LOCALIDAD CHURIN, DISTRITO DE PACHANGARA, PROVINCIA OYON, DEPARTAMENTO LIMA</t>
  </si>
  <si>
    <t>5-2019-VIVIENDA/PNSU</t>
  </si>
  <si>
    <t>12.06.2019</t>
  </si>
  <si>
    <t>CONSORCIO LEO
(integrado por Tahimont Ingenieros SAC - 20537849682, Promotora de la Construccion SRL- 20207951316 y Esquivel Escobar Alcides-10100049916)</t>
  </si>
  <si>
    <t>nov.2020</t>
  </si>
  <si>
    <t xml:space="preserve">RECONSTRUCCIÓN Y REHABILITACIÓN DE INFRAESTRUCTURA VIAL EN LOS TRAMOS 1-364, 1-365, 
1-369 Y 1-372 DEL DISTRITO DE PAITA – PAITA - PIURA
</t>
  </si>
  <si>
    <t>CONCURSO OFERTA</t>
  </si>
  <si>
    <t>PEC-PROC-1-2020-VIVIENDA-OGA-UE-1</t>
  </si>
  <si>
    <t>31.08.2020</t>
  </si>
  <si>
    <t>VIAL INGENIERIA :
20488147600 - CONSTRUCCIONES ALARDI S.A.C.
10166550373 - UGAZ MEDINA DIEGO ANTONIO
10267226933 - QUIROZ AYASTA JULIO CESAR
20600835638 - COORPORACION ZAPATA INGENIEROS S.A.C.</t>
  </si>
  <si>
    <t>REHABILITACIÓN DEL COLECTOR GRAU, DISTRITO DE CORRALES - TUMBES - TUMBES</t>
  </si>
  <si>
    <t>17-2019-VIVIENDA/PNSU</t>
  </si>
  <si>
    <t>10.07.2019</t>
  </si>
  <si>
    <t xml:space="preserve">CONSORCIO CORRALES (integrado por las empresas Group Marno S.A.C. con RUC N° 20601964474, Colonia-Ingenieros S.A.C. con RUC N° 20529650982 y Romero Consultor E.I.R.L. con RUC N° 20526237235) </t>
  </si>
  <si>
    <t xml:space="preserve">RECONSTRUCCIÓN Y REHABILITACIÓN DE INFRAESTRUCTURA VIAL DE LAS ZONA DEL DISTRITO DE TUMBES-TUMBES-TUMBES </t>
  </si>
  <si>
    <t>004-2019-VIVIENDA-OGA-UE.001 ITEM 3</t>
  </si>
  <si>
    <t>21.02.2020</t>
  </si>
  <si>
    <t>CONSORCIO LA MERCED :
20488351398 - VIMCE S.R.L.
10406531118 - BLAS VALVERDE ROBER ALFREDO</t>
  </si>
  <si>
    <t>004-2019-VIVIENDA-OGA-UE.001 ITEM 1</t>
  </si>
  <si>
    <t>23.09.2020</t>
  </si>
  <si>
    <t>20606441291-CONSORCIO SOL DETUMBES</t>
  </si>
  <si>
    <t>004-2019-VIVIENDA-OGA-UE.001 ITEM 2</t>
  </si>
  <si>
    <t>20606421266-CONSORCIO JRCS AYV II</t>
  </si>
  <si>
    <t>REEMPLAZO DE GEOMEMBRANA E IMPLEMENTACION DE ZANJA DE PROTECCIÓN EN LA LOCALIDAD DE SOJO Y REPOSICIÓN DE BUZÓN Y TUBERÍA DE ALCANTARILLADO EN LA LOCALIDAD DE JIBITO, DISTRITO DE MIGUEL CHECA - PROVINCIA DE SULLANA - PIURA</t>
  </si>
  <si>
    <t>34-2019-VIVIENDA/PNSU</t>
  </si>
  <si>
    <t>29.11.2019</t>
  </si>
  <si>
    <t>CONSORCIO LIMA NORTE  (integrado por  CONSTRUCTORA SAN JUAN S.R.L - 20103639426 y RICHARD KRIS QUISPE ZARATE 10454278033 )</t>
  </si>
  <si>
    <t>REHABILITACIÓN DE DOS TRAMOS DEL COLECTOR DE LA AV. FERNANDO BELAUNDE TERRY, FRENTE MZ 27 Y DEL COLECTOR DE LA AV. AVIACIÓN UBICADO ENTRE EL PASAJE BARTOLOME Y LA CALLE PEDRO RUIZ GALLO, DISTRITO DE TUMBES, PROVINCIA DE TUMBES, REGIÓN TUMBES</t>
  </si>
  <si>
    <t>53-2019-VIVIENDA/PNSU</t>
  </si>
  <si>
    <t>28.11.2019</t>
  </si>
  <si>
    <t>CONSORCIO ANDAHUAUYLAS (integrado por INVERSIONES ECOANDE SRL - 20527152616 y EDGAR SANCHEZ HUAMAN - 10410736280)</t>
  </si>
  <si>
    <t>REHABILITACIÓN DEL COLECTOR Y CONEXIONES DOMICILIARIAS EN LA AV. JOSE SANTOS ATAHUALPA Y LA CALLE PROLONGACIÓN BUENOS AIRES EN EL DISTRITO CERRO COLORADO, PROVINCIA DE AREQUIPA, DEPARTAMENTO DE AREQUIPA.</t>
  </si>
  <si>
    <t>52-2019-VIVIENDA/PNSU</t>
  </si>
  <si>
    <t>27.11.2019</t>
  </si>
  <si>
    <t>CONSORCIO AREQUIPA (integrado por JJr Durand SAC - 20349311608 y Mercedes Gerarda Torres Lopez - 10255137366)</t>
  </si>
  <si>
    <t>2448223: RENOVACION DE CAPTACION SUBTERRANEA DE AGUA Y RESERVORIO; REPARACION DE LINEA DE ADUCCION; EN EL(LA) SISTEMA DE AGUA POTABLE EN LA LOCALIDAD JANCAPAMPA, DISTRITO DE POMABAMBA, PROVINCIA POMABAMBA, DEPARTAMENTO ANCASH</t>
  </si>
  <si>
    <t>DIRECTA-PROC-25-2019-PNSR-1</t>
  </si>
  <si>
    <t xml:space="preserve">CONSORCIO FULL TRADE :
20480372914 - FULL TRADE EIRL
20394882489 - PARADIZO S.R.L.
</t>
  </si>
  <si>
    <t>2448358: REPARACION DE CAPTACION SUBTERRANEA DE AGUA, RESERVORIO Y RED DE DISTRIBUCION; EN EL(LA) SISTEMA DE AGUA POTABLE EN LA LOCALIDAD SHIULLA, DISTRITO DE POMABAMBA, PROVINCIA POMABAMBA, DEPARTAMENTO ANCASH</t>
  </si>
  <si>
    <t>2448398: RENOVACION DE CAPTACION SUBTERRANEA DE AGUA, LINEA DE CONDUCCION Y RED DE DISTRIBUCION; REPARACION DE RESERVORIO; EN EL(LA) SISTEMA DE AGUA POTABLE EN LA LOCALIDAD TOCO GRANDE, DISTRITO DE ILABAYA, PROVINCIA JORGE BASADRE, DEPARTAMENTO TACNA</t>
  </si>
  <si>
    <t>DIRECTA-PROC-24-2019-PNSR-1</t>
  </si>
  <si>
    <t>20506003351 - MEJESA S.R.L.</t>
  </si>
  <si>
    <t>30//12/2019</t>
  </si>
  <si>
    <t>2448473: REPARACION DE CAPTACION SUBTERRANEA DE AGUA, RESERVORIO Y RED DE DISTRIBUCION; EN EL(LA) SISTEMA DE AGUA POTABLE EN LA LOCALIDAD CARHUAJ, DISTRITO DE POMABAMBA, PROVINCIA POMABAMBA, DEPARTAMENTO ANCASH</t>
  </si>
  <si>
    <t xml:space="preserve">CONSORCIO FULL TRADE :
20480372914 - FULL TRADE EIRL
20394882489 - PARADIZO S.R.L.
</t>
  </si>
  <si>
    <t>2448539: RENOVACION DE CAPTACION SUBTERRANEA DE AGUA, LINEA DE CONDUCCION Y EMISOR; REPARACION DE CAPTACION SUBTERRANEA DE AGUA, RESERVORIO, LINEA DE ADUCCION Y PTAR; EN EL(LA) SISTEMA DE AGUA POTABLE, ALCANTARILLADO Y PTAR EN LA LOCALIDAD BOROGUEÑA, DISTRITO DE ILABAYA, PROVINCIA JORGE BASADRE, DEPARTAMENTO TACNA</t>
  </si>
  <si>
    <t>2448564: RENOVACION DE CAPTACION SUPERFICIAL DE AGUA, LINEA DE CONDUCCION Y RED DE DISTRIBUCION; REPARACION DE RESERVORIO; EN EL(LA) SISTEMA DE AGUA POTABLE EN LA LOCALIDAD CHULULUNI, DISTRITO DE ILABAYA, PROVINCIA JORGE BASADRE, DEPARTAMENTO TACNA</t>
  </si>
  <si>
    <t>2448659: REPARACION DE CAPTACION SUPERFICIAL DE AGUA, RESERVORIO Y PTAR; RENOVACION DE LINEA DE CONDUCCION; EN EL(LA) SISTEMA DE AGUA POTABLE Y PTAR EN LA LOCALIDAD HIGUERANI, DISTRITO DE ILABAYA, PROVINCIA JORGE BASADRE, DEPARTAMENTO TACNA</t>
  </si>
  <si>
    <t>2448661: REPARACION DE CAPTACION SUBTERRANEA DE AGUA, PTAP Y RESERVORIO; RENOVACION DE LINEA DE CONDUCCION Y LINEA DE ADUCCION; EN EL(LA) SISTEMA DE AGUA POTABLE EN LA LOCALIDAD POQUERA, DISTRITO DE ILABAYA, PROVINCIA JORGE BASADRE, DEPARTAMENTO TACNA</t>
  </si>
  <si>
    <t>2448674: REPARACION DE CAPTACION SUBTERRANEA DE AGUA Y RESERVORIO; RENOVACION DE LINEA DE CONDUCCION, LINEA DE ADUCCION, COLECTOR SECUNDARIO Y PTAR; EN EL(LA) SISTEMA DE AGUA POTABLE, ALCANTARILLADO Y PTAR EN LA LOCALIDAD TICAPAMPA, DISTRITO DE ILABAYA, PROVINCIA JORGE BASADRE, DEPARTAMENTO TACNA</t>
  </si>
  <si>
    <t>2448794: REPARACION DE CAPTACION SUBTERRANEA DE AGUA, RESERVORIO Y LINEA DE ADUCCION; RENOVACION DE CAPTACION SUBTERRANEA DE AGUA Y LINEA DE CONDUCCION; EN EL(LA) SISTEMA DE AGUA POTABLE EN LA LOCALIDAD ANDRES CASTILLO (AYAJAMANAN), DISTRITO DE POMABAMBA, PROVINCIA POMABAMBA, DEPARTAMENTO ANCASH</t>
  </si>
  <si>
    <t>2448801: REPARACION DE CAPTACION SUBTERRANEA DE AGUA, LINEA DE CONDUCCION Y RESERVORIO; RENOVACION DE CAPTACION SUBTERRANEA DE AGUA, LINEA DE CONDUCCION Y LINEA DE ADUCCION; EN EL(LA) SISTEMA DE AGUA POTABLE EN LA LOCALIDAD TAYAPUCRO, DISTRITO DE POMABAMBA, PROVINCIA POMABAMBA, DEPARTAMENTO ANCASH</t>
  </si>
  <si>
    <t>RENOVACION DE LAGUNA DE TRATAMIENTO DE AGUAS RESIDUALES; ADQUISICION DE SISTEMA DE PRETRATAMIENTO; EN EL(LA) EN LA PLANTA DE TRATAMIENTO DE AGUAS RESIDUALES EN LA LOCALIDAD CHILLA, DISTRITO DE JULIACA, PROVINCIA SAN ROMAN, DEPARTAMENTO PUNO</t>
  </si>
  <si>
    <t>2-2020-VIVIENDA/PNSU</t>
  </si>
  <si>
    <t>24.01.2020</t>
  </si>
  <si>
    <t>JAST S.R.L. - 20133176404</t>
  </si>
  <si>
    <t>REPARACION DE LÍNEA DE IMPULSIÓN; EN EL(LA) SERVICIO DE AGUA POTABLE, DISTRITO DE REQUENA, PROVINCIA REQUENA, DEPARTAMENTO LORETO</t>
  </si>
  <si>
    <t>13-2019-VIVIENDA/PNSU</t>
  </si>
  <si>
    <t>15.11.2019</t>
  </si>
  <si>
    <t>ONCH SERVICIOS Y SUMINISTROS INDUSTRIALES S.A.C. - 20424887553</t>
  </si>
  <si>
    <t>REPARACION DE RESERVORIO; ADQUISICION DE PTAP; EN EL(LA) SERVICIO DE AGUA POTABLE, DISTRITO DE COATA, PROVINCIA PUNO, DEPARTAMENTO PUNO</t>
  </si>
  <si>
    <t>19-2020-VIVIENDA/PNSU</t>
  </si>
  <si>
    <t>18.09.2020</t>
  </si>
  <si>
    <t>CONSORCIO MERINO (integrado por CONTRATISTAS GENERALES &amp; MINERIA L Y R SAC - 20448245668   y HV CONTRATISTAS GENERALES SAC 20448245668)</t>
  </si>
  <si>
    <t>2448580: REPARACION DE CAPTACION SUBTERRANEA DE AGUA Y RESERVORIO; RENOVACION DE LINEA DE CONDUCCION Y LINEA DE ADUCCION; EN EL(LA) SISTEMA DE AGUA POTABLE EN LA LOCALIDAD CHULIBAYA, DISTRITO DE ILABAYA, PROVINCIA JORGE BASADRE, DEPARTAMENTO TACNA</t>
  </si>
  <si>
    <t xml:space="preserve">2448580
</t>
  </si>
  <si>
    <t>(*) Una línea por cada año fiscal, consignado en monto presupuestado por cada año presupuestal</t>
  </si>
  <si>
    <t>FORMATO 14: PRINCIPALES ADQUISICIONES DE BIENES Y SERVICIOS - PRESUPUESTO 2019, 2020 Y PROYECTO 2021</t>
  </si>
  <si>
    <t>ADQUISICIÓN</t>
  </si>
  <si>
    <t>MONTO</t>
  </si>
  <si>
    <t>ESTADO DEL PROCESO</t>
  </si>
  <si>
    <t>OBSERVACIONES</t>
  </si>
  <si>
    <t>SUMINISTRO DE COMBUSTIBLE POR 3 AÑOS</t>
  </si>
  <si>
    <t>SIE</t>
  </si>
  <si>
    <t>001-2017-SENCICO</t>
  </si>
  <si>
    <t>GLG INVERSIONES SAC
20522173933</t>
  </si>
  <si>
    <t>EN EJECUCION</t>
  </si>
  <si>
    <t>SERVICIO DE LIMPIEZA ZONA ORIENTE (IQUITOS, MADRE DE DIOS, PUCALPA Y MOYOBAMBA)</t>
  </si>
  <si>
    <t>004-2016-SENCICO</t>
  </si>
  <si>
    <t>L&amp;F SERVICE SRL   
20318506575</t>
  </si>
  <si>
    <t>SERVICIO DE AGENCIAMIENTO DE PASAJES</t>
  </si>
  <si>
    <t>CP (*)</t>
  </si>
  <si>
    <t>CPN 123-2017</t>
  </si>
  <si>
    <t>BONNA TOURS SAC - 20123101538</t>
  </si>
  <si>
    <t>SERVICIO DE VIGILANCIA PARA LA UGP</t>
  </si>
  <si>
    <t>CPN 022-2017</t>
  </si>
  <si>
    <t>SUPER SECURITY SISTEM SAC</t>
  </si>
  <si>
    <t>FINALIZADO</t>
  </si>
  <si>
    <t>SERVICIO DE SEGURIDAD Y VIGILANCIA ZONA NORTE (CHICLAYO, TRUJILLO, PIURA Y CAJAMARCA)</t>
  </si>
  <si>
    <t>003-2018-SENCICO</t>
  </si>
  <si>
    <t>CONSORCIO MORGAN DEL ORIENTE SAC -  ARSENAL SECURITY SAC 
20493327268 - 20603339356</t>
  </si>
  <si>
    <t>SERVICIO DE SEGURIDAD Y VIGILANCIA ZONA NORTE (IQUITOS, PUCALLPA, MADRE DE DIOS Y MOYOBAMBA)</t>
  </si>
  <si>
    <t>SERVICIO DE ALOJAMIENTO DE SERVIDOR DEDICADO PARA EL PROGRAMA NACIONAL DE SANEAMIENTO RURAL</t>
  </si>
  <si>
    <t>AS-SM-2-2018-PNSR-3</t>
  </si>
  <si>
    <t>20428698569 - AMERICATEL DEL PERU S.A.</t>
  </si>
  <si>
    <t>CONTRATACIÓN DEL SERVICIO DE SEGURIDAD Y VIGILANCIA PARA EL PROGRAMA NACIONAL DE SANEAMIENTO RURAL</t>
  </si>
  <si>
    <t>CP-SM-3-2018-PNSR-1</t>
  </si>
  <si>
    <t>20205078615 - ALFIL SECURITY S.A.C.</t>
  </si>
  <si>
    <t>SERVICIO DE TELEFONIA FIJA INTEGRAL PARA LA SEDE CENTRAL ITEM N° 01 "SEDE CENTRAL"</t>
  </si>
  <si>
    <t>15-2018-SENCICO</t>
  </si>
  <si>
    <t>TELEFONICA DEL PERU SAA
20100017491</t>
  </si>
  <si>
    <t>ADQUISICION DE COMBUSTIBLE DIESEL B5-S50 PARA EL SUMINISTRO DE MAQUINARIAS Y VEHICULOS PARA ATENCION DE EMERGENCIA EN EL MARCO DS 129-2018-PCM</t>
  </si>
  <si>
    <t>DIRECTA-PROC-1-2019-VIVIENDA-OGA-UE-1</t>
  </si>
  <si>
    <t>20600999878 - PETROSERVICENTRO MIGAEL E.I.R.L.</t>
  </si>
  <si>
    <t>SERVICIO DE MANTENIMIENTO PREVENTIVO DE ASCENSORES DE LA NUEVA SEDE INSTITUCIONAL DEL MVCS</t>
  </si>
  <si>
    <t>DIRECTA-PROC-2-2019-VIVIENDA-OGA-UE-1</t>
  </si>
  <si>
    <t>20100057523 - ASCENSORES S A</t>
  </si>
  <si>
    <t>ADQUISICIÓN DE COMBUSTIBLE DIESEL B5- S50, PARA EL SUMINISTRO DE MÁQUINAS, VEHÍCULOS Y EQUIPOS QUE ATENDERÁN LA INTERVENCIÓN POR DECLARATORIA DE ESTADO DE EMERGENCIA, EN LOS DISTRITOS DE LURIGANCHO Y CHACLACAYO EN EL DEPARTAMENTO DE LIMA, POR PELIGRO INMINENTE ANTE EL PERÍODO DE LLUVIAS 2018-2019, EN EL MARCO DEL D.S. N° 124-2018-PCM</t>
  </si>
  <si>
    <t>DIRECTA-PROC-10-2019-VIVIENDA-OGA-UE-1</t>
  </si>
  <si>
    <t>20535614548 - OPERADORES DE ESTACIONES S.A.C.</t>
  </si>
  <si>
    <t>SERVICIO DE LIMPIEZA, JARDINERIA Y FUMIGACION. ITEM 4: ICA</t>
  </si>
  <si>
    <t>04-2018-SENCICO</t>
  </si>
  <si>
    <t>JJSUR SRL
20534394463</t>
  </si>
  <si>
    <t>SERVICIO DE LIMPIEZA, JARDINERIA Y FUMIGACION. ITEM 6: PIURA</t>
  </si>
  <si>
    <t>SERVICIOS GENERALES SMP- FOMBIEPOL SCRL
20428865058</t>
  </si>
  <si>
    <t>SERVICIO DE LIMPIEZA, JARDINERIA Y FUMIGACION. ITEM 5: CHICLAYO</t>
  </si>
  <si>
    <t>SERVICIO DE LIMPIEZA, JARDINERIA Y FUMIGACION. ITEM 8: CAJAMARCA</t>
  </si>
  <si>
    <t>GRUPO SANFER CLEAN S.A.C
20601590906</t>
  </si>
  <si>
    <t>SERVICIO DE LIMPIEZA, JARDINERIA Y FUMIGACION. ITEM 7: TRUJILLO</t>
  </si>
  <si>
    <t xml:space="preserve">CONSORCIO GRUPO SANFER CLEAN S.A.C. - FERMAZA CLEAN S.A.C. (20601590906 - 20522921662)    </t>
  </si>
  <si>
    <t xml:space="preserve"> SERVICIO DE LIMPIEZA, JARDINERIA Y FUMIGACION. ITEM 1:SEDE CENTRAL </t>
  </si>
  <si>
    <t>SERVICIO DE TRANSPORTE DE CARGA Y DESCARGA DE SETENTA Y OCHO (78) MÓDULOS TEMPORALES DE VIVIENDA DESDE EL ALMACÉN UBICADO EN EL DISTRITO DE HUANCHACO DE LA PROVINCIA DE TRUJILLO DEL DEPARTAMENTO DE LA LIBERTAD HACIA EL CENTRO POBLADO DE MIRAVE DEL DISTRITO DE ILABAYA DE LA PROVINCIA DE JORGE BASADRE, DEPARTAMENTO DE TACNA</t>
  </si>
  <si>
    <t>DIRECTA-PROC-16-2019-VIVIENDA-OGA-UE-1</t>
  </si>
  <si>
    <t>20522545741.-GRUPO PANAMUNDO SAC</t>
  </si>
  <si>
    <t>2 SERVICIO DE PUBLICACION DE AVISO EN DIARIOS A NIVEL NACIONAL Y LOCAL PARA LOS PROCESOS DE OBRAS, CONSULTORIA FIRMAS, CONSULTORIA INDIVIDUALES</t>
  </si>
  <si>
    <t xml:space="preserve">002-2019 -PNSR-PIASAR </t>
  </si>
  <si>
    <t>MULTIAVISA SOCIEDAD ANONIMA CERRADA 
RUC: 20340084692</t>
  </si>
  <si>
    <t>ADQUISICION DE COMBUSTIBLE PARA LA MAQUINARIA, VEHICULOS Y EQUIPOS DEL PNC-MAQUINARIAS DEL MVCS EN LA CIUDAD DE LA LIBERTAD</t>
  </si>
  <si>
    <t>AS-SM-2-2019-VIVENDA-OGA-UE 001</t>
  </si>
  <si>
    <t>20275873480- SERVICENTRO RAMIREZ SAC</t>
  </si>
  <si>
    <t>SERVICIO DE TELEFONÍA MÓVIL PARA EL PERSONAL DEL PROGRAMA NACIONAL DE SANEAMIENTO RURAL - PNSR</t>
  </si>
  <si>
    <t>AS-SM-1-2019-PNSR-1</t>
  </si>
  <si>
    <t>AMÉRICA MÓVIL PERÚ S.A.C. - 20467534026</t>
  </si>
  <si>
    <t>1 SERVICIO DE AGENCIAMIENTO DE PASAJES AÉREOS A NIVEL NACIONAL PARA LA UGP PIASAR.</t>
  </si>
  <si>
    <t xml:space="preserve">003-2019 -PNSR-PIASAR </t>
  </si>
  <si>
    <t>CUARZO TRAVEL S.R.LTDA 
RUC: 20388307677</t>
  </si>
  <si>
    <t>ALQUILER DE OFICINAS PARA EL OTASS.</t>
  </si>
  <si>
    <t>DIRECTA-PROC-3-2019-OTASS-1</t>
  </si>
  <si>
    <t>MORENO FLORES ALINA ISABEL - 10064469121</t>
  </si>
  <si>
    <t>RIZO PATRON BASURCO ANTENOR SANTIAGO - 10065445625</t>
  </si>
  <si>
    <t>GALVEZ DIAZ ULISES - 10266921301</t>
  </si>
  <si>
    <t>SUGUIMITZU MIURA HUMBERTO - 10087620013</t>
  </si>
  <si>
    <t>3 SERVICIOS DE INSTALACIONES ELECTRICAS, PUNTOS DE RED Y LUMINARIAS DEL PROYECTO DE IMPLEMENTACION DE LOS AMBIENTES Y OFICINAS DE LA UGP PIASAR (PISO 7)-  SEGUN COTIZACION N° 00128035</t>
  </si>
  <si>
    <t xml:space="preserve">006-2019 -PNSR-PIASAR </t>
  </si>
  <si>
    <t>LIMPIAMAX DEL PERU SAC 
RUC: 20515722204</t>
  </si>
  <si>
    <t xml:space="preserve"> SERVICIO DE TELEFONIA FIJA PARA EL MVCS</t>
  </si>
  <si>
    <t>CP-SM-1-2019-VIVIENDA-OGA-UE-</t>
  </si>
  <si>
    <t>204675340326-AMERICA MOVIL PERU SAC</t>
  </si>
  <si>
    <t>SERVICIO DE SEGURIDAD Y VIGILANCIA PARA EL LOCAL DEL CENTRO DE ATENCIÓN AL CIUDADANO EN LA REGIÓN SAN MARTIN</t>
  </si>
  <si>
    <t>AS-SM-6-2019-VIVENDA-OGA-UE 001</t>
  </si>
  <si>
    <t>20572221408-MONTESIEMPRE SEGURIDAD Y SERVICIOS GENERALES SAC</t>
  </si>
  <si>
    <t>SERVICIO DE SEGUROS PATRIMONIALES Y PERSONALES PARA EL MINISTERIO DE VIVIENDA, CONSTRUCCION Y SANEAMIENTO</t>
  </si>
  <si>
    <t>CP-SM-2-2019-VIVIENDA-OGA-UE-1</t>
  </si>
  <si>
    <t>20100210909-LA POSITIVA SEGUROS Y REASEGUROS SA</t>
  </si>
  <si>
    <t xml:space="preserve">ADQUISICION DE UNIFORME INSTITUCIONAL DE VERANO PARA EL PERSONAL FEMENINO Y MASCULINO DEL MINISTERIO DE VIVIENDA, CONSTRUCCION Y SANEAMIENTO ITM1-UNIFORME FEMENINO
</t>
  </si>
  <si>
    <t>AS-SM-5-2019-VIVENDA-OGA-UE 001</t>
  </si>
  <si>
    <t>20100306337-INDUSTRIAS GORAK SA</t>
  </si>
  <si>
    <t>SUPERVISION DE OBRA DE INSTALACION DE REDES SECUNDARIAS Y CONEXIONES DOMICILIARIAS DE AGUA POTABLE Y ALCANTARILLADO EN PARTE DE LOS SECTORES ESTE Y OESTE DEL PROGRAMA DE VIVIENDA RESIDENCIAL SANTA ROSA DE VILLA DEL ESQUEMA LAS LOMAS DE CARABAYLLO</t>
  </si>
  <si>
    <t>20392462105 - KAZUKI CONSULTORIA Y CONSTRUCCION S.A.C</t>
  </si>
  <si>
    <t>SERVICIO DE CORREO ELECTRÓNICO Y HERRAMIENTA DE COLABORACIÓN EN LA NUBE PARA EL OTASS.</t>
  </si>
  <si>
    <t>AS-SM-1-2019-OTASS-3</t>
  </si>
  <si>
    <t>ORION PERU S.A.C - 20517719154</t>
  </si>
  <si>
    <t>SEERVICIO DE MANTENIMIENTO PREVENTIVO PARA 11 CAMIONES HIDROJETS EN EL MARCO DE LA ESTRATEGIA DE DESCOLMATACIÓNDE COLECTORES.</t>
  </si>
  <si>
    <t>DIRECTA-PROC-1-2019-OTASS-1</t>
  </si>
  <si>
    <t>8 ADQUISICION DE MOBILIARIO PARA LA ADECUACION E IMPLEMENTACION DE LAS OFICINAS DEL PIASAR</t>
  </si>
  <si>
    <t>015-2019-VMCS/PNSR/PIASAR</t>
  </si>
  <si>
    <t>INDUSTRIAS ORIHUELA E.I.R.L.                               
RUC: 20384122991</t>
  </si>
  <si>
    <t>AMPLIACION DE LOS SERVICIOS DE AGUA POTABLE Y ALCANTARILLADO PARA NUEVAS HABILITACIONES EN EL ESQUEMA SANTA ROSA Y ANCON EN LOS DISTRITOS DE SANTA ROSA Y ANCON DE LA PROVINCIA DE LIMA - DEPARTAMENTO DE LIMA</t>
  </si>
  <si>
    <t>CONSORCIO SANTA ROSA 11 :
20600851897 - SEINAR CONSULTORES S.A.C.
10081070062 - ZAVALA LAGOS VICTOR HUGO</t>
  </si>
  <si>
    <t>INSTALACION DE REDES SECUNDARIAS Y CONEXIONES DOMICILIARIAS DE GUA POABLE Y ALCANTARILLADO EN PARTE DE LOS SECTORES ESTE Y OESTE DEL PROGRAMA DE VIVIENDA RESIDENCIAL SANTA RSA DE VILLA DEL ESQUEMA LAS LOMAS DE CARABAYLLO, DISTRITO DE CARABAYLLO</t>
  </si>
  <si>
    <t>CONSORCIO ACUARIO :
20523201949 - VMJ CONTRATISTAS GENERALES S.A.C. - VMJ-CONGESAC
20556625761 - CORPORACION CUPHER SAC</t>
  </si>
  <si>
    <t>MEJORAMIENTO Y AMPLIACION DE LOS SERVICIOS DE AGUA POTABLE Y ALCANTARILLADO EN LOS SECTORES 176, 177 Y 178 DEL DISTRITO DE ATE - PROVINCIA DE LIMA - DEPARTAMENTO DE LIMA</t>
  </si>
  <si>
    <t>CONSORCIO AGUA SEGURA :
20600862953 - INVERSIONES INTEGRALES EN AGUA 21 SOCIEDAD COMERCIAL DE RESPONSABILIDAD LIMITADA - INAGUA 21 S.R.L.
10100049916 - ESQUIVEL ESCOBAR NESTOR ALCIDES</t>
  </si>
  <si>
    <t>CONTRATACIÓN DE SERVICIO DE TELEFONIA MOVIL CELULAR</t>
  </si>
  <si>
    <t>006-2019-SENCICO</t>
  </si>
  <si>
    <t>ENTEL PERU SA
20106897914</t>
  </si>
  <si>
    <t>SERVICIO DE CONSULTORIA PARA LA ELABORACIÓN DEL ESTUDIO DEFINITIVO - EXPEDIENTE TÉCNICO DEL PROYECTO "MEJORAMIENTO Y AMPLIACIÓN DE LOS SISTEMAS DE AGUA POTABLE Y ALCANTARILLADO EN LOS DISTRITOS DE ATE Y SANTA ANITA DE LA PROVINCIA DE LIMA, DEPARTAMENTO DE LIMA</t>
  </si>
  <si>
    <t>20552233787 - TEC-CUATRO S.A. - SUCURSAL PERU</t>
  </si>
  <si>
    <t>MEJORAMIENTO Y AMPLIACION DE LOS SERVICIOS DE AGUA POTABLE Y ALCANTARILLADO EN LOS SECTORES AMPLIACIÓN 308, 309, Y 310 (ESQUEMA JOSÉ CARLOS MARITÉGUI - VILLA MARÍA DEL TRIUNFO) DEL DISTRITO DE VILLA MARIA DEL TRIUNFO - PROVINCIA DE LIMA - DEPARTAMENTO DE LIMA</t>
  </si>
  <si>
    <t>CONSORCIO SANTA ROSA 22 :
10081070062 - ZAVALA LAGOS VICTOR HUGO
20600851897 - SEINAR CONSULTORES S.A.C.
20515105345 - MARDAN CONSULTORES CONTRATISTAS GENERALES SOCIEDAD COMERCIAL DE RESPONSABILIDAD LIMITADA</t>
  </si>
  <si>
    <t>MEJORAMIENTO Y AMPLIACION DE LOS SERVICIOS DE AGUA POTABLE Y ALCANTARILLADO EN LOS SECTORES 140,141,142,143,144, 145,146, 155, 156, 157, Y 169 (ESQUEMA ALTOS DE HUAMPANÍ) EN LOS DISTRITOS DE LURIGANCHO Y CHACLACAYO DE LA PROVINCIA DE LIMA - DEPARTAMENTO DE LIMA</t>
  </si>
  <si>
    <t>CONSORCIO AGUA SEGURA :
10079403402 - SALINAS DE CORDOVA JORGE HERNAN
20554669477 - JRLG CONSULTORIA Y CONSTRUCCION S.A.C</t>
  </si>
  <si>
    <t>CONTRATO RESUELTO</t>
  </si>
  <si>
    <t>SERVICIO DE ALQUILER DE OFICINAS ADMINISTRATIVAS PARA EL ORGANISMO TÉCNICO DE LA ADMINISTRACIÓN DE LOS SERVICIOS DE SANEAMIENTO ¿ OTASS</t>
  </si>
  <si>
    <t>DIRECTA-PROC-4-2019-OTASS-1</t>
  </si>
  <si>
    <t>AMERICA MOVIL PERU S.A.C - 20467534026</t>
  </si>
  <si>
    <t>SERVICIO DE TELEFONÍA MÓVIL PARA EL ORGANISMO TÉCNICO DE LA ADMINISTRACIÓN DE LOS SERVICIOS DE SANEAMIENTO-OTASS</t>
  </si>
  <si>
    <t>AS-SM-4-2019-OTASS-1</t>
  </si>
  <si>
    <t>AMERICA MOVIL PERU S.A.C. - 20467534026</t>
  </si>
  <si>
    <t>SERVICIO DE LIMPIEZA Y MANTENIMIENTO DE LAS DIFERENTES OFICINAS DEL TÉCNICO DE LA ADMINSTRACIÓN DE LOS SERVICIOS DE SANEAMIENTO - OTASS.</t>
  </si>
  <si>
    <t>CP-SM-1-2019-OTASS-1</t>
  </si>
  <si>
    <t>GRUPO SANFER CLEAN S.A.C. - SANFER CLEAN S.A.C.- 20601590906</t>
  </si>
  <si>
    <t>ELABORACIÓN DEL ESTUDIO DEFINITIVO - EXPEDIENTE TÉCNICO DEL PROYECTO ¿MEJORAMIENTO Y AMPLIACION DE LOS SISTEMAS DE AGUA POTABLE Y ALCANTARILLADO DE LOS SECTORES 361, 362, 363, 364, 365, 384, 385, 386, 387 Y 388 DISTRITO DE PUENTE PIEDRA - PROVINCIA D</t>
  </si>
  <si>
    <t>CONSORCIO AGUAS DE LIMA :
10079403402 - SALINAS DE CORDOVA JORGE HERNAN
20538546489 - GEXA INGENIEROS SOCIEDAD ANONIMA CERRADA</t>
  </si>
  <si>
    <t>CONSORCIO SAN BLAS :
10079403402 - SALINAS DE CORDOVA JORGE HERNAN
20538546489 - GEXA INGENIEROS SOCIEDAD ANONIMA CERRADA
10081070062 - ZAVALA LAGOS VICTOR HUGO</t>
  </si>
  <si>
    <t>AMPLIACIÓN DE LOS SERVICIOS DE AGUA POTABLE Y ALCANTARILLADO DEL ESQUEMA QUEBRADA DE MANCHAY 4TA. ETAPA DEL DISTRITO DE PACHACAMAC - PROVINCIA DE LIMA - DEPARTAMENTO DE LIMA</t>
  </si>
  <si>
    <t>CONSORCIO MANCHAY :
20600851897 - SEINAR CONSULTORES S.A.C.
10081070062 - ZAVALA LAGOS VICTOR HUGO</t>
  </si>
  <si>
    <t>ELABORACIÓN DEL ESTUDIO DEFINITIVO-EXPEDIENTE TÉCNICO DEL PROYECTO INSTALACIÓN DE REDES COMPLEMENTARIAS DE AGUA POTABLE Y ALCANTARILLADO PARA HABILITACIONES REMANENTES DEL PROY. DE MEJORAMIENTO SANITARIO DE LAS ÁREAS MARGINALES DE LIMA, LOTE 7 Y 10 - DISTRITO DE PUENTE PIEDRA, CÓDIGO ÚNICO N°2306770</t>
  </si>
  <si>
    <t>011-2019-PASLC</t>
  </si>
  <si>
    <t>CONSORCIO NORTE :
20543698912 - HM INGENIEROS CONSULTORES S.A.
10060786581 - REYES MORAN OSCAR IGNACIO</t>
  </si>
  <si>
    <t>SERVICIO DE MENSAJERIA A NIVEL LOCAL Y NACIONAL</t>
  </si>
  <si>
    <t>04-2019-SENCICO</t>
  </si>
  <si>
    <t>LOGISTI-K CARGO SAC
20544901941</t>
  </si>
  <si>
    <t xml:space="preserve"> o por consumo del monto contratado</t>
  </si>
  <si>
    <t>SERVICIO DE SEGURIDAD Y VIGILANCIA PARA LAS DIFERENTES OFICINAS DEL ORGANISMO TÉCNICO DE LA ADMINSTRACIÓN DE LOS SERVICIOS DE SANEAMIENTO - OTASS.</t>
  </si>
  <si>
    <t>CP-SM-2-2019-OTASS-1</t>
  </si>
  <si>
    <t>CORPORACION ALEJANDRA S.A.C. - 20556554995</t>
  </si>
  <si>
    <t>CONTRATACIÓN DEL SERVICIO DE MANTENIMIENTO PREVENTIVO PARA 25 CAMIONES DONGFENG MODELO DFL 1250 6 X 4.</t>
  </si>
  <si>
    <t>DIRECTA-PROC-6-2019-OTASS-1</t>
  </si>
  <si>
    <t>GRUPO SYPSA S.A.C. - 20466261255</t>
  </si>
  <si>
    <t>AMPLIACION Y MEJORAMIENTO DE LOS SISTEMAS DE AGUA POTABLE Y ALCANTARILLADO DEL ESQUEMA CENTROS POBLADOS RURALES DE LA MARGEN DERECHA E IZQUIERDA DEL VALLE Y SECTORES 432, 433, 434 Y 451 - DISTRITO DE PACHACAMAC - PROVINCIA DE LIMA - DEPARTAMENTO DE LIMA</t>
  </si>
  <si>
    <t>006-2019-PASLC</t>
  </si>
  <si>
    <t>SERVICIO DE CONSULTORÍA PARA LA ELABORACIÓN DE LA FICHA TÉCNICA ESTÁNDAR DEL PROYECTO AMPLIACION DE LOS SERVICIOS DE AGUA POTABLE Y ALCANTARILLADO EN LAS NUEVAS HABILITACIONES DEL ESQUEMA HORACIO ZEVALLOS, PARIACHI Y ANEXOS DEL DISTRITO DE ATE, PROVINCIA DE LIMA, DEPARTAMENTO DE LIMA, CON CÓDIGO ÚNICO 2396197</t>
  </si>
  <si>
    <t>CONSORCIO REMA INGENIERIA :
20466932303 - TECAMB S.A.C.
20535536482 - EC INGENIERIA SOCIEDAD ANONIMA CERRADA - EC INGENIERIA S.A.C.</t>
  </si>
  <si>
    <t>CONTRATACIÓN DEL SERVICIO DE MUESTREO Y ANÁLISIS DE LOS EFLUENTES DE LAS AGUAS RESIDUALES DE LOS USUARIOS NO DOMÉSTICOS PARA FISCALIZACIÓN DE LOS VMA CON LABORATORIOS ACREDITADOS EN LAS EPS EN RÉGIMEN DE APOYO TRANSITORIO (RAT) Y LA U.E. AGUA TUMBES</t>
  </si>
  <si>
    <t>CP-SM-6-2019-OTASS-1</t>
  </si>
  <si>
    <t>R-LAB S.A.C. - 20600453221</t>
  </si>
  <si>
    <t>CONTRATACIÓN DEL SERVICIO DE AUSCULTACIÓN Y DETECCIÓN DE FUGAS NO VISIBLES EN EPS EN RAT Y LA UNIDAD EJECUTORA SERVICIOS DE SANEAMIENTO TUMBES</t>
  </si>
  <si>
    <t>AS-SM-7-2019-OTASS-1</t>
  </si>
  <si>
    <t>AGALOBRAS S.A.C. 20514430552</t>
  </si>
  <si>
    <t>SERVICIO DE MANTENIMIENTO PREVENTIVO PARA 25 CAMIONES HIDROJETS DE LA ESTRATEGIA DE DESCOLMATACIÓN DE REDES DE ALCANTARILLADO (MANTENIMIENTO 1,200 Y 1,500 HORAS)</t>
  </si>
  <si>
    <t>DIRECTA-PROC-2-2019-OTASS-1</t>
  </si>
  <si>
    <t>SERVICIOS GENERALES DE TELECOMUNICACIONES EIRL - 20354826799</t>
  </si>
  <si>
    <t>CONTRATACION DEL SERVICIO DE INSTALACION DE DOSCIENTOS VEINTICINCO (225) MODULOS TEMPORALES DE VIVIENDA EN EL DISTRITO DE UBINAS, PROVINCIA DE GENERAL SANCHEZ CERRO DEL DEPARTAMENTO DE MOQUEGUA DECLARADA EN ESTADO DE EMERGENCIA A TRAVES DEL D.S. N° 156-2019-PCM</t>
  </si>
  <si>
    <t>DIRECTA-PROC-39-2019-VIVIENDA-OGA-UE-1</t>
  </si>
  <si>
    <t>20602616615-CORPORACION H&amp;B DEL PERU EIRL
20573320779-AFING CONTRATISTAS GENERALES AC</t>
  </si>
  <si>
    <t>9 ADQUISICION DE EQUIPOS INFORMATICOS PARA LA SEDES REGIONALES Y SEDE CENTRAL DE LA UGP PIASAR</t>
  </si>
  <si>
    <t>021-2019-VMCS/PNSR/PIASAR</t>
  </si>
  <si>
    <t>PROTECLINE SERVICIOS GENERALES E.I.R.L.                             
 RUC: 20602615431</t>
  </si>
  <si>
    <t>SERVICIO DE SEGURIDAD Y VIGILANCIA PARA LAS INSTALACIONES DEL CENTRO DE CONVENCIONES 27 DE ENERO (LCC)</t>
  </si>
  <si>
    <t>CP-SM-3-2019-VIVIENDA-OGA-UE-1</t>
  </si>
  <si>
    <t>2054646801-GRUPO GURKAS SAC</t>
  </si>
  <si>
    <t>CONTRATACION DEL SERVICIO DE TRANSPORTE, CARGA Y DESCARGA DE DOSCIENTOS VEINTICINCO (225) MODULOS TEMPORALES DE VIVIENDA DESDE EL PARQUE ECOLOGICO DEL DISTRITO DE SECHURA, PROVINCIA DE SECHURA DEL DEPARTAMENTO DE PIURA HACIA EL TERRENO DENOMINADO SIRAHUAY, DEL DISTRITO DE UBINAS, PROVINCIA GENERAL SÁNCHEZ CERRO DEL DEPARTAMENTO DE MOQUEGUA DECLARADA EN ESTADO DE EMERGENCIA DS 128-2019-PCM Y DS 156-2019-PCM</t>
  </si>
  <si>
    <t>DIRECTA-PROC-37-2019-VIVIENDA-OGA-UE-1</t>
  </si>
  <si>
    <t>20524879191 - J &amp; J TRANSPORTES Y SOLUCIONES INTEGRALES S.A.C</t>
  </si>
  <si>
    <t xml:space="preserve">SERVICIO DE LIMPIEZA INTEGRAL PARA LAS SEDES, COMPLEJOS BIOTECNOLOGICOS Y NUCLEO DE LA PRODUCCION DEL MVCS
</t>
  </si>
  <si>
    <t>CP-SM-4-2019-VIVIENDA-OGA-UE-1</t>
  </si>
  <si>
    <t>20523973089-R&amp;C LIMPIEZA TOTAL SAC</t>
  </si>
  <si>
    <t>ADQUISICIÓN DE BOLSAS DE TELA PARA CAMPAÑAS EN LAS ENTIDADES PRESTADORAS BAJO RÉGIMEN DEL OTASS</t>
  </si>
  <si>
    <t>AS-SM-10-2019-OTASS-1</t>
  </si>
  <si>
    <t>CORPORACION WINNER QH S.A.C. - 20602436242</t>
  </si>
  <si>
    <t>SERVICIO DE SOPORTE Y MANTENIMIENTO PREVENTIVO DE SERVIDORES Y EQUIPOS DE COMUNICACIONES</t>
  </si>
  <si>
    <t>AS-SM-16-2019-OTASS-1</t>
  </si>
  <si>
    <t>CLOUD INFRASTRUCTURE AND TELECOM PERU SOCIEDAD ANONIMA CERRADA - CLOUD IT PERU S.A.C. - 20602691617</t>
  </si>
  <si>
    <t>SERVICIO DE TRANSPORTE, CARGA, Y DESCARGA DE DOSCIENTOS NOVENTA (290) MÓDULOS TEMPORALES DE VIVIENDA DESDE EL ALMACÉN UBICADO EN EL DISTRITO DE HUANCHACO DE LA PROVINCIA DE TRUJILLO DEL DEPARTAMENTO DE LA LIBERTAD HACIA EL CENTRO POBLADO DE MIRAVE</t>
  </si>
  <si>
    <t>DIRECTA-PROC-05-2019-VIVIENDA-OGA-UE-1</t>
  </si>
  <si>
    <t>20525183778-SERVICIOS GENERALES GALAGA SAC</t>
  </si>
  <si>
    <t>EJECUCIÓN DE LA OBRA: AMPLIACIÓN DE LOS SISTEMAS DE AGUA POTABLE Y ALCANTARILLADO DE LA QUEBRADA DE MANCHAY, 3ERA ETAPA, DISTRITO DE PACHACAMAC, PROVINCIA DE LIMA, REGIÓN LIMA, CON CODIGO 2302266</t>
  </si>
  <si>
    <t>CONSORCIO AGUAS DE MANCHAY :
20602703119 - RIPCONCIV CONSTRUCCIONES CIVILES CIA LTDA SUCURSAL DEL PERU
20100995108 - CONSTRUCTORA M P M S A</t>
  </si>
  <si>
    <t>SERVICIO DE SEGURIDAD Y VIGILANCIA PARA LA SEDE CENTRAL SAN BORJA, CENTRO DE FORMACIÓN LOS OLIVOS Y CENTRO DE FORMACIÓN CHORRILLOS</t>
  </si>
  <si>
    <t>02-2019-SENCICO</t>
  </si>
  <si>
    <t>CONSORCIO EVA`Z: EVA`Z SECURITY SAC Y CONSORCIO PARMEZ SAC
20568928696 - 20487097293</t>
  </si>
  <si>
    <t>CONTRATACIÓN DEL SERVICIO DE LIMPIEZA PARA LAS INSTALACIONES DEL CENTRO DE CONVENCIONES 27 DE ENERO CIUDAD DE LIMA (LCC).</t>
  </si>
  <si>
    <t>DIRECTA-PROC-40-2019-VIVIENDA-OGA-UE-1</t>
  </si>
  <si>
    <t>20603377347-INNOVA INTEGRAL SAC</t>
  </si>
  <si>
    <t>SUPERVISIÓN DE LA OBRA: AMPLIACIÓN DE LOS SISTEMAS DE AGUA POTABLE Y ALCANTARILLADO DE LA QUEBRADA DE MANCHAY, 3ERA ETAPA, DISTRITO DE PACHACAMAC, PROVINCIA DE LIMA, REGIÓN DE LIMA, CON CODIGO UNICP 2302266</t>
  </si>
  <si>
    <t>013-2019-PASLC</t>
  </si>
  <si>
    <t>20100878489 - CORPORACION PERUANA DE INGENIERIA SOCIEDAD ANONIMA - CORPEI S.A.</t>
  </si>
  <si>
    <t>SEGUROS PARA EL PROGRAMA NACIONAL DE SANEAMIENTO RURAL</t>
  </si>
  <si>
    <t>AS-SM-2-2019-PNSR-3</t>
  </si>
  <si>
    <t>20202380621 - MAPFRE PERU COMPAÑIA DE SEGUROS Y REASEGUROS S.A.</t>
  </si>
  <si>
    <t>SERVICIO DE SEGURIDAD Y VIGILANCIA PARA LA UNIDAD OPERATIVA HUANCAVELICA Y GERENCIA ZONAL HUANCAYO</t>
  </si>
  <si>
    <t>AMERICANA EMPRESA DE SERVICIOS GENERALES S.R.L.
20359742615</t>
  </si>
  <si>
    <t>SUPERVISIÓN DE OBRA: ¿AMPLIACIÓN Y MEJORAMIENTO DE LOS SISTEMAS DE AGUA POTABLE Y ALCANTARILLADO PARA LAS HABILITACIONES REZAGADAS EN EL VALLE AMAUTA 4 ¿ DISTRITO DE ATE VITARTE, PROVINCIA DE LIMA, REGIÓN LIMA¿.</t>
  </si>
  <si>
    <t>10225104366 - ESPINOZA SALGADO ELOY JUSTO</t>
  </si>
  <si>
    <t>SERVICIO DE SEGURIDAD Y VIGILANCIA PARA LA UNIDAD OPERATIVO AYACUCHO</t>
  </si>
  <si>
    <t>SERMAX PERU S.R.L.
20494887267</t>
  </si>
  <si>
    <t>CONTRATACIÓN DE MENSAJERÍA NIVEL LOCAL Y NACIONAL PARA EL PNSR</t>
  </si>
  <si>
    <t>AS-SM-55-2019-PNSR-1</t>
  </si>
  <si>
    <t>20524448050 - APOYO Y SERVICIOS PROFESIONALES S.A.C.</t>
  </si>
  <si>
    <t>CP-SM-3-2019-PNSR-1</t>
  </si>
  <si>
    <t>20375937884 - VIGILANCIA UNIVERSAL S.A.C</t>
  </si>
  <si>
    <t>13 ADQUISICION DE EQUIPOS DE COMPUTO PARA LA UGP PIASAR</t>
  </si>
  <si>
    <t>0000124-2019</t>
  </si>
  <si>
    <t>PROTECLINE SERVICIOS GENERALES E.I.R.L.                              
RUC: 20602615431</t>
  </si>
  <si>
    <t>AMPLIACION DE LOS SISTEMAS DE AGUA POTABLE Y ALCANTARILLADO DEL SECTOR PARAÍSO ALTO - SECTOR 308 II ETAPA - DISTRITO DE VILLA MARÍA DEL TRIUNFO DISTRITO DE VILLA MARIA DEL TRIUNFO - PROVINCIA DE LIMA - DEPARTAMENTO DE LIMA</t>
  </si>
  <si>
    <t>008-2019-PASLC</t>
  </si>
  <si>
    <t>CONSORCIO AGUAS DE PARAISO :
10079403402 - SALINAS DE CORDOVA JORGE HERNAN
20554669477 - JRLG CONSULTORIA Y CONSTRUCCION S.A.C</t>
  </si>
  <si>
    <t>RESUELTO</t>
  </si>
  <si>
    <t>EJECUCION DE OBRA AMPLIACION Y MEJORAMIENTO DE LOS SISTEMAS DE AGUA POTABLE Y ALCANTARILLADO PARA LAS HABILITACIONES REZAGADAS EN EL VALLE AMAUTA 4, DISTRITO DE ATE VITARTE</t>
  </si>
  <si>
    <t>CONSORCIO VALLE AMAUTA 4 :
20383676411 - K &amp; G CONTRATISTAS GENERALES S.A.
20502155637 - CONSTRUCTORA COSTA ANDINA S.A.C</t>
  </si>
  <si>
    <t>SERVICIO DE INSTALACIÓN DE CUARENTA Y SIETE (47) MODULOS TEMPORALES DE VIVIENDA EN EL DISTRITO DE POMABAMBA, DEPARTAMENTO DE ANCASH</t>
  </si>
  <si>
    <t>DIRECTA-PROC-44-2019-VIVIENDA/OGA.UE-1</t>
  </si>
  <si>
    <t>20600596463-INSERCOR SAC</t>
  </si>
  <si>
    <t>ADQUISICION DE IMPRESORAS PARA LA UGP</t>
  </si>
  <si>
    <t>CP N 061-2019</t>
  </si>
  <si>
    <t>SUNIX TECHNOLOGY SAC - 20601747864</t>
  </si>
  <si>
    <t>ADQUISICIÓN EQUIPOS DE CÓMPUTO PORTÁTIL PARA LA UGP</t>
  </si>
  <si>
    <t>CP N 089-2019</t>
  </si>
  <si>
    <t>CLOUD INFRASTRUCTURE TELECOM PERU SA - 20602691617</t>
  </si>
  <si>
    <t>SERVICIO DE ALQUILER DE OFICINAS ADMINISTRATIVAS PARA EL OTASS</t>
  </si>
  <si>
    <t>DIRECTA-PROC-5-2019-OTASS-1</t>
  </si>
  <si>
    <t>LANAO SALVATIERRA MICHEL ALEXIS - 10076369939</t>
  </si>
  <si>
    <t>ADQUISICIÓN DE EQUIPOS DE PROTECCIÓN PERSONAL PARA LA ESTRATEGIA DE DESCOLMATACION DE REDES DE ALCANTARILLADO (2DA. ETAPA)</t>
  </si>
  <si>
    <t>AS-SM-5-2019-OTASS-1</t>
  </si>
  <si>
    <t>CONSULTORÍA PARA LA ELABORACIÓN DE LA FICHA TÉCNICA ESTANDAR DEL PROYECTO: AMPLIACIÓN DE LOS SERVICIOS DE AGUA POTABLE Y ALCANTARILLADO PARA LAS NUEVAS HABILITACIONES DEL ESQUEMA ÑAÑA DEL DISTRITO DE LURIGANCHO, PROVINCIA DE LIMA, DEPARTAMENTO DE LIMA CON CÓDIGO ÚNICO 2395169</t>
  </si>
  <si>
    <t>CONSORCIO CONSULTOR ESQUEMA ÑAÑA :
10074170337 - SALGUERO SUSANNE IVAN GASTON
20554669477 - JRLG CONSULTORIA Y CONSTRUCCION S.A.C</t>
  </si>
  <si>
    <t>CP N 001-2020</t>
  </si>
  <si>
    <t>SANTANA MEZA DARIO ALBERTO</t>
  </si>
  <si>
    <t>SUPERVISIÓN DE LA OBRA INSTALACIÓN DEL SISTEMA DE AGUA POTABLE Y ALCANTARILLADO PARA LA ASOCIACIÓN DE VIVIENDA SANTA ROSA II ETAPA, ASOCIACIÓN DE VIVIENDA EL BOSQUE, ASOCIACIÓN DE VIVIENDA LAS CASUARINAS, ASOCIACIÓN DE VIVIENDA HÉROES DE SAN JUAN, COOPERATIVA DE VIVIENDA CIUDAD DE DIOS DISTRITO DE SAN JUAN DE MIRAFLORES</t>
  </si>
  <si>
    <t>ALQUILER LOCAL PARA ALBERGAR CAUTELAR PRESERVAR MAQUINARIAS VEHICULOS, EQUIPAMIENTOS, ALMACEN AREA ADMINISTRATIVA DEL PNC - MAQUINARIA EN PIURA</t>
  </si>
  <si>
    <t>PROCEDIMIENTO</t>
  </si>
  <si>
    <t>DIRECTA-PROC-45-2019-VIVIENDA/OGA.UE-1</t>
  </si>
  <si>
    <t>10028177351- KETTY RUIZ CRUZ</t>
  </si>
  <si>
    <t>SERVICIO DE INSTALACIÓN DE SURTIDOR DE AGUA POTABLE PARA CAMIONES CISTERNA</t>
  </si>
  <si>
    <t>AS-SM-11-2019-OTASS-2</t>
  </si>
  <si>
    <t>TABOADA PAZ SAMMY JOSEPH - 10470033075</t>
  </si>
  <si>
    <t>SERVICIO DE LIMPIEZA PARA LAS OFICINAS Y LAS DISTINTAS DEPENDENCIAS DEL PROGRAMA NACIONAL DE SANEAMIENTO URBANO 2020, 2021 Y 2022</t>
  </si>
  <si>
    <t>14-2019-VIVIENDA/PNSU</t>
  </si>
  <si>
    <t>GRUPO DILCORPS SERVICIOS INTEGRALES DE LIMPIEZA S.A.C. - 20602781659</t>
  </si>
  <si>
    <t>SERVICIO DE SEGURIDAD Y VIGILANCIA PARA LA GZ ICA Y UO PISCO</t>
  </si>
  <si>
    <t>SUDAMERICANA VIGILANCIA Y SERVICIOS ESPECIALIZADOS SAC
20512715568</t>
  </si>
  <si>
    <t>ADQUISICION DE BIDONES DE AGUA POR 20 LITROS</t>
  </si>
  <si>
    <t>AS-SM-054-2019-VIVENDA-OGA-UE 001</t>
  </si>
  <si>
    <t>20542590344-EMPRESA 1000 JOBS SAC</t>
  </si>
  <si>
    <t>AQUISICIÓN DE COMBUSTIBLE DIESEL B5 S50 PARA EL SUMINISTRO DE MAQUINARIA, VEHIICULOS Y /O EQUIPOS DE LA UBO LIMA-PNC MAQUINARIAS</t>
  </si>
  <si>
    <t>SIE-009-2019-VIVIENDA-OGA-UE001</t>
  </si>
  <si>
    <t>20508607106 - GASOCENTRO NORTE SOCIEDAD ANONIMA CERRADA</t>
  </si>
  <si>
    <t>ALQUILER DE EQUIPOS MULTIFUNCIONALES PARA LAS SEDES DE LIMA Y CALLAO DEL PROGRAMA NACIONAL DE SANEAMIENTO URBANO</t>
  </si>
  <si>
    <t>11-2020-VIVIENDA/PNSU</t>
  </si>
  <si>
    <t>DATACONT S.A.C - 20100131359</t>
  </si>
  <si>
    <t>ADQUISICIÓN DE COMBUSTIBLE DIESEL B5 S50 PARA EL SUMINISTRO DE MAQUINARIAS, VEHÍCULOS Y/O EQUIPOS QUE ATENDERÁN LAS INTERVENCIONES POR DECLARATORIA DE ESTADO DE EMERGENCIA, EN LA QUEBRADA HUAYCOLORO POR PELIGRO INMINENTE ANTE INUNDACIONES POR DESBORDES, EN EL MARCO DEL D.S. N° 190-2019-PCM</t>
  </si>
  <si>
    <t>DIRECTA-PROC-2-2020-VIVIENDA-OGA-UE-</t>
  </si>
  <si>
    <t>20602629709-ESTACION DE SERVICIOS EL GODO SAC</t>
  </si>
  <si>
    <t>ADQUISICIÓN DE SOFTWARE AVANZADO DE DISEÑO ASISTIDO POR COMPUTADORA YSOFTWAREA DE DOCUMENTACÓN Y DISEÑO DE INFRAESTRUCTURA.</t>
  </si>
  <si>
    <t>AS-SM-17-2019-OTASS-1</t>
  </si>
  <si>
    <t>PROFILE CONSULTING GROUP SOCIEDAD ANONIMA CERRADA - PROFILE CONSULTING GROUP S.A.C. - 20264180971</t>
  </si>
  <si>
    <t>SERVICIO DE LIMPIEZA ZONA SUR (AREQUIPA, CUSCO, PUNO Y TACNA)</t>
  </si>
  <si>
    <t>16-2019-SENCICO</t>
  </si>
  <si>
    <t>CONSORCIO: CONSORCIO SERMANSA SAC &amp; SERMANSA SAC
20559288510 - 20455067465</t>
  </si>
  <si>
    <t>EJECUCION DE LA OBRA INSTALACION DEL SISTEMA DE AGUA POTABLE Y ALCANTARILLADO PARA LA ASOCIACION DE VIVIENDA SANTA ROSA II ETAPA, ASOCIACION DE VIVIENDA EL BOSQUE, ASOCIACION DE VIVIENDA LAS CASUARINAS, ASOCIACION DE VIVIENDA HEROES DE SAN JUAN, COOPERATIVA DE VIVIENDA CIUDAD DE DIOS, DISTRITO DE SAN JUAN DE MIRAFLORES</t>
  </si>
  <si>
    <t>20365809179 - EL HORIZONTE S.R.L.</t>
  </si>
  <si>
    <t>SEGURIDAD Y VIGILANCIA PARA LAS DISTINTAS OFICINAS DEL PNSU – PERIODO 2020-2021</t>
  </si>
  <si>
    <t>GRUPO VAMER SECURITY S.A.C - 20537116774</t>
  </si>
  <si>
    <t>CONTRATACIÓN DEL SERVICIO DE MANTENIMIENTO PREVENTIVO PARA 25 EQUIPOS HIDROJETS AQUATECH MODELO B10-1450</t>
  </si>
  <si>
    <t>AS-SM-18-2019-OTASS-1</t>
  </si>
  <si>
    <t>G  TOWERS  GROUP  PERU  S.A.C. - 20601641322</t>
  </si>
  <si>
    <t>SERVICIO DE SEGURIDAD Y VIGILANCIA PARA LAS DIVERSAS OFICINAS DEL ORGANISMO TECNICO DE LA ADMINISTRACION DE LOS SERVICIOS DE SANEAMIENTO -OTASS</t>
  </si>
  <si>
    <t>AS-SM-1-2020-OTASS-1</t>
  </si>
  <si>
    <t>A.V.I SEGURIDAD PRIVADA S.A.C. - 20535783650</t>
  </si>
  <si>
    <t>ADQUISICION DE COMBUSTIBLE DIESEL B5 S-50 PARA EL SUMINISTRO DE MAQUINARIAS, VEHICULOS Y/O EQUIPOS QUE ATENDERÁN LAS INTERVENCIONES POR DECLARATORIA DE ESTADO DE MERGENCIA, EN EL DISTRITO DE HUARAZ POR PELIGRO INMINENTE ANTE EL PERIODO DE LLUVIAS 2019-2020, EN EL MARCO DEL DS N° 201-2019-PCM</t>
  </si>
  <si>
    <t>DIRECTA-PROC-5-2020-VIVIENDA-OGA-UE-1</t>
  </si>
  <si>
    <t>20449344261-VALEX S.R.L</t>
  </si>
  <si>
    <t>ADQUISICION DE COMBUSTIBLE DIESEL B5 PARA EL SUMINISTRO DE MAQUINARIAS, VEHICULOS Y/O EQUIPOS QUE ATENDERÁN LAS INTERVENCIONES POR DECLARATORIA DE ESTADO DE EMERGENCIA, EN EL DISTRITO DE VEINTISEIS DE OCTUBRE, PROVINCIA DE PIURA, POR PELIGRO INMINENTE ANTE EL PERIODO DE LLUVIAS 2019 - 2020, EN EL MARCO DEL DS N° 201-2019-PCM</t>
  </si>
  <si>
    <t>DIRECTA-PROC-4-2020-VIVIENDA-OGA-UE-1</t>
  </si>
  <si>
    <t>20526276486-ESTACION DE SERVICIOS Y GASOCENTRO MIRAFLORES SARL</t>
  </si>
  <si>
    <t>ADQUISICIÓN DE COMBUSTIBLE PARA LA FLOTA VEHICULAR OPERATIVA DEL PROGRAMA NACIONAL DE SANEAMIENTO URBANO</t>
  </si>
  <si>
    <t>OPERADORES DE ESTACIONES S.A.C. - 20535614548</t>
  </si>
  <si>
    <t>SERVICIO DE SEGURO DE VIDA LEY PARA EL PERSONAL DEL DECRETO LEGISLATIVO N° 728 DEL PNSU</t>
  </si>
  <si>
    <t>MENOR A 8 UIT</t>
  </si>
  <si>
    <t>PROTECTA S.A. COMPAÑIA DE SEGUROS - 20517207331</t>
  </si>
  <si>
    <t>ADQUISICIÓN DE GUANTES COMO PRODUCTO DE PREVENCIÓN CONTRA EL COVID 19</t>
  </si>
  <si>
    <t>DIRECTA-PROC-1-2020-OTASS-1</t>
  </si>
  <si>
    <t>CORPORACION CASTILLO SOCIEDAD ANONIMA-CORPCAS - 20453886892</t>
  </si>
  <si>
    <t>SERVICIO DE SEGURIDAD Y VIGILANCIA ZONA SUR</t>
  </si>
  <si>
    <t>005-2019-SENCICO</t>
  </si>
  <si>
    <t>PROTECCION Y RESGUARDO SA - PROTSSA S.A
20100717124</t>
  </si>
  <si>
    <t>EN EJECUCIÓN</t>
  </si>
  <si>
    <t>CONTRATACIÓN DEL SERVICIO DE PROGRAMA  DE SEGUROS 2020-2021 PARA EL PROGRAMA NACIONAL DE SANEAMIENTO URBANO-PNSU</t>
  </si>
  <si>
    <t>001-2020-VIVIENDA/PNSU</t>
  </si>
  <si>
    <t>MAPFRE PERU COMPAÑÍA DE SEGUROS Y REASEGUROS S.A. - 20202380621</t>
  </si>
  <si>
    <t>CONTRATACIÓN DEL SERVICIO DE TRANSPORTE, CARGA Y DESCARGA DE VEINTICINCO (25) MÓDULOS TEMPORALES DE VIVIENDA DESDE EL ALMACÉN UBICADO EN EL SECTOR EL TRÓPICO, DISTRITO DE HUÁNUCO, PROVINCIA DE TRUJILLO DEL DEPARTAMENTO DE LA LIBERTAD HACIA EL DEPARTAMENTO DE LORETO</t>
  </si>
  <si>
    <t>DIRECTA-PROC-15-2020-VIVIENDA-OGA-UE-1</t>
  </si>
  <si>
    <t>20505389582-SANTA ANA LOGISTICA SAC</t>
  </si>
  <si>
    <t>ADQUISICIÓN DE COMBUSTIBLE DIESEL B5 S50 PARA EL SUMINISTRO DE MAQUINARIAS, VEHÍCULOS Y/O EQUIPOS QUE ATENDERÁN LAS INTERVENCIONES POR DECLARATORIA DE ESTADO DE EMERGENCIA, EN VARIOS DISTRITOS DE LAS PROVINCIAS DE CAMANA, AREQUIPA Y CASTILLA DEL DEPARTAMENTO DE AREQUIPA, POR PELIGRO ANTE EL PERIODO DE LLUVIAS 2019-2020, EN EL MARCO DEL DS N° 010-2020-PCM</t>
  </si>
  <si>
    <t>DIRECTA-PROC-11-2020-VIVIENDA-OGA-UE-1</t>
  </si>
  <si>
    <t>20370508659-GRIFO J.H.P E.I.R.LTDA</t>
  </si>
  <si>
    <t>SERVICIO DE INTERVENCIÓN DE VIVIENDAS COLAPSADAS E INHABILITABLES QUE PONEN EN RIESGO INMINENTE LA VIDA Y SALUD DE LAS PERSONAS EN LA ZONA DECLARADA EN EMERGENCIA EN VILLA EL SALVADOR, POR IMPACTO DE DAÑOS ANTE OCURRENCIA DE GRAN INCENDIO</t>
  </si>
  <si>
    <t>DIRECTA-PROC-6-2020-VIVIENDA-OGA-UE-1</t>
  </si>
  <si>
    <t>20407873565-CONSTRUCTORA Y CONSULTORA ANDINO SSRL</t>
  </si>
  <si>
    <t>CONTRATACION DEL SERVICIO DE TRANSPORTE, CARGA Y DESCARGAR DE VEINTICINCO (25) MÓDULOS TEMPORALES DE VIVIENDA DESDE EL ALMACEN UBICADO EN EL SECTOR EL TROPICO, DISTRITO HUANCHACO, PROVINCIA DE TRUJILLO DEL DEPARTAMENTO DE LA LIBERTAD HACIA EL DISTRITO DE ALTO DE LA ALIANZA, PROVINCIA DE TACNA DEL DEPARTAMENTO DE TACNA</t>
  </si>
  <si>
    <t>DIRECTA-PROC-10-2020-VIVIENDA/OGA.UE-1</t>
  </si>
  <si>
    <t>20524879191-J&amp;J TRANSPORTES Y SOLUCIONES INTEGRALES SAC</t>
  </si>
  <si>
    <t>CONTRATACIÓN DEL SERVICIO DE INSTALACIÓN DE TREINTA (30) MÓDULOS TEMPORALES DE VIVIENDA EN EL DISTRITO DE VILCANCHOS, PROVINCIA VICTOR FAJARDO DEL DEPARTAMENTO DE AYACUCHO</t>
  </si>
  <si>
    <t>DIRECTA-PROC-9-2020-VIVIENDA/OGA.UE-1</t>
  </si>
  <si>
    <t>ADQUISICIÓN DE PRUEBA SEROLÓGICA RAPIDA PARA EL DIAGNOSTICO INVITRO PARA LA DETECCION CUALITATIVA DE ANTICUERPOS IGG E IGM PARA SARS-COV- PARA  LAS EPS EN RAT, NO RAT Y UE TUMBES COMO MEDIDA DE PREVENCIÓN Y LUCHA CONTRA EL COVID 19</t>
  </si>
  <si>
    <t>DIRECTA-PROC-4-2020-OTASS-1</t>
  </si>
  <si>
    <t>EQUIPOS MEDICOS DEL PERU  S.A.C. - 20544867408</t>
  </si>
  <si>
    <t>ADQUISICIÓN DE COMBUSTIBLE DIESEL B5 S50 PARA EL SUMINISTRO DE MAQUINARIAS, VEHÍCULOS Y/O EQUIPOS QUE ATENDERÁN LAS INTERVENCIONES POR DECLARATORIA DE ESTADO DE EMERGENCIA, EN VARIOS DISTRITOS DE LA PROVINCIA DE TACNA, DEPARTAMENTO DE TACNA, POR PELIGRO INMINENTE ANTE EL PERIODO DE LLUVIAS 2019-2020, EN EL MARCO DEL DS N° 012-2020-PCM</t>
  </si>
  <si>
    <t>DIRECTA-PROC-14-2020-VIVIENDA-OGA-UE-1</t>
  </si>
  <si>
    <t>20119207640-ESTACION DE ENERGIAS EL CENTENARIO SAC</t>
  </si>
  <si>
    <t>SERVICIO DE SEGURIDAD Y VIGILANCIA PARA LAS SEDES INSTITUCIONALES Y LOCALES DEL MINISTERIO DE VIVIENDA, CONSTRUCCIÓN Y SANEAMIENTO- ÍTEM N° 03: LA VICTORIA- CHICLAYO</t>
  </si>
  <si>
    <t>AS-SM-8-2020-VIVIENDA-OGA-UE-001</t>
  </si>
  <si>
    <t>20545644577-MPD SOLUCIONES Y TECNOLOGIA SAC</t>
  </si>
  <si>
    <t>DERIVADA DEL CP 06-2019-VIVIENDA-OGA-UE 001</t>
  </si>
  <si>
    <t>SERVICIO DE SEGURIDAD Y VIGILANCIA PARA LAS SEDES INSTITUCIONALES Y LOCALES DEL MINISTERIO DE VIVIENDA, CONSTRUCCIÓN Y SANEAMIENTO- ÍTEM N° 02: PACHACUTEC ICA</t>
  </si>
  <si>
    <t>20534478306-PKS SECURITY SAC</t>
  </si>
  <si>
    <t>SERVICIO DE SEGURIDAD Y VIGILANCIA PARA LAS SEDES INSTITUCIONALES Y LOCALES DEL MINISTERIO DE VIVIENDA, CONSTRUCCIÓN Y SANEAMIENTO ITEM N° 01</t>
  </si>
  <si>
    <t>20262727859-MABE SERVICES SRL</t>
  </si>
  <si>
    <t>CONTRATACIÒN DEL SERVICIO DE LIMPIEZA PARA LA SEDE CENTRAL Y PERIFERICOS DEL MVCS</t>
  </si>
  <si>
    <t>DIRECTA-PROC-12-2020-VIVIENDA-OGA-UE-1</t>
  </si>
  <si>
    <t>SERVICIO DE TELEFONÍA FIJA PARA LA SEDE PRINCIPAL DEL PROGRAMA NACIONAL DE SANEAMIENTO URBANO</t>
  </si>
  <si>
    <t>OPTICAL TECHNOLOGIES S.A.C. - 20552504641</t>
  </si>
  <si>
    <t xml:space="preserve">ADQUISICION DE UNIFORME INSTITUCIONAL DE VERANO PARA EL PERSONAL FEMENINO Y MASCULINO DEL MINISTERIO DE VIVIENDA, CONSTRUCCION Y SANEAMIENTO ITM 2 UNIFORME MASCULINO
</t>
  </si>
  <si>
    <t>CONTRATACIÓN DEL SERV. DE UNA EMP. EN SALUD OCUPACIONAL PARA LA TOMA DE 1000 MUESTRAS, PROCESAMIENTO, ENTREGA DE RESULTADOS Y REPORTE ANTE LA AUTORIDAD SANITARIA DE LA PRUEBA SEROLÓGICA O PRUEBA RÁPIDA COVID 19, A LOS SERVIDORES DEL MINISTERIO DE VIVIENDA, CONSTRUCCIÓN Y SANEAMIENTO, EN EL MARCO DE LO ESTABLECIDO EN EL DECRETO LEGISLATIVO N° 1505</t>
  </si>
  <si>
    <t>DIRECTA-PROC-20-2020-VIVIENDA/OGA.UE-1</t>
  </si>
  <si>
    <t>20552711603-W&amp;H INVESTMENT SAC</t>
  </si>
  <si>
    <t>CONTRATACIÓN DEL SERVICIO DE TRASLADO PARA EL PERSONAL DEL MINISTERIO DE VIVIENDA, CONSTRUCCIÓN Y SANEAMIENTO, EN EL MARCO DE LO ESTABLECIDO EN EL DECRETO LEGISLATIVO N° 1505 DECRETO LEGISLATIVO QUE ESTABLECE MEDIDAS TEMPORALES EXCEPCIONALES EN MATERIA DE GESTIÓN DE RECURSOS HUMANOS EN EL SECTOR PÚBLICO ANTE LA EMERGENCIA SANITARIA OCASIONADA POR EL COVID-19</t>
  </si>
  <si>
    <t>DIRECTA-PROC-19-2020-VIVIENDA/OGA.UE-1</t>
  </si>
  <si>
    <t>20516609193- EMPRESA DE TRANSPORTES BALDEON HUARI SRL</t>
  </si>
  <si>
    <t>ADQUISICIÓN DE MASCARILLAS COMO PRODUCTO DE PREVENCIÓN CONTRA EL COVID 19</t>
  </si>
  <si>
    <t>DIRECTA-PROC-3-2020-OTASS-1</t>
  </si>
  <si>
    <t>DROCSA E.I.R.L. - 20338022850</t>
  </si>
  <si>
    <t>CONTRATACIÓN DEL SERVICIO DE MANTENIMIENTO PREVENTIVO PARA 17 CAMIONES CISTERNAS, PARA LA ESTRATEGIA DE ASISTENCIA PARA EL ABASTECIMIENTO DE AGUA POTABLE POR CAMION CISTERNA A ZONAS CRITICAS DEL AMBITO DE LAS ZONAS RAT Y LA UNIDAD EJECUTORA AGUA TUMBES</t>
  </si>
  <si>
    <t>DIRECTA-PROC-2-2020-OTASS-1</t>
  </si>
  <si>
    <t>TRACTO CAMIONES USA S.A.C. - 20293774308</t>
  </si>
  <si>
    <t>ADQUISICION DE LICENCIAS DE SOFTWARE OFIMATICA PARA EL MINISTERIO DE VIVIENDA, CONSTRUCCIÓN Y SANEAMIENTO</t>
  </si>
  <si>
    <t>AS-SM-7-2020-VIVIENDA-OGA-UE-001</t>
  </si>
  <si>
    <t>20600007174-CONTROLES EMPRESARIALES PERU SAC</t>
  </si>
  <si>
    <t>SERVICIO DE INTERNET DEDICADO Y LAN -TO - LAN (L2L) PARA LAS 3 SEDES DEL PNSU</t>
  </si>
  <si>
    <t>7-2020-VIVIENDA/PNSU</t>
  </si>
  <si>
    <t>GTD PERÚ S.A. - 20421780472</t>
  </si>
  <si>
    <t>SERVICIO DE MENSAJERÍA A NIVEL LOCAL Y NACIONAL PARA EL PROGRAMA NACIONAL DE SANEAMIENTO URBANO</t>
  </si>
  <si>
    <t>11-2019-VIVIENDA/PNSU</t>
  </si>
  <si>
    <t>P &amp; M COURIER EXPRESS S.A.C. - 20601701503</t>
  </si>
  <si>
    <t>ADQUISICIÓN DE UN SISTEMA DE REFRIGERACIÓN AUTO CONTENIDO PARA EL DATA CENTER DEL OTASS</t>
  </si>
  <si>
    <t>AS-SM-2-2020-OTASS-1</t>
  </si>
  <si>
    <t>CLOUD INFRASTRUCTURE AND TELECOM PERU SOCIEDAD ANONIMA CERRADA - CLOUD IT PERU S.A.C.  - 20602691617</t>
  </si>
  <si>
    <t>SERVICIO DE CONSULTORÍA PARA EL DISEÑO HIDRÀULICO DE PLANTAS DE TRATAMIENTO DE AGUA POTABLE (PTAP) DE EPS EPSEL Y EPS SEDALORETO</t>
  </si>
  <si>
    <t>AS-SM-4-2020-OTASS-1</t>
  </si>
  <si>
    <t>MALDONADO YACTAYO VICTOR ANTONIO - 10066043954</t>
  </si>
  <si>
    <t>ADQUISICIÓN SUMINISTRO DE COMBUSTIBLE PETRÓLEO DIÉSEL B5 S-50</t>
  </si>
  <si>
    <t>001-2020-SENCICO</t>
  </si>
  <si>
    <t>SERVICIO DE PÓLIZAS DE SEGUROS PARA LOS BIENES Y PERSONAL DEL MINISTERIO DE VIVIENDA CONSTRUCCIÓ Y SANEAMIENTO</t>
  </si>
  <si>
    <t>CP-SM-2-2020-VIVIENDA-OGA-UE-1</t>
  </si>
  <si>
    <t>20202380621-MAPFRE PERU COMPAÑÍA DE SEGUROS Y REASEGUROS S.A</t>
  </si>
  <si>
    <t>15 ADQUISICIÓN DE INDUMENTARIA PARA EL PERSONAL DEL PROGRAMA INTEGRAL DE AGUA Y SANEAMIENTO RURAL - PIASAR</t>
  </si>
  <si>
    <t>002-2020-VMCS/PNSR/PIASAR</t>
  </si>
  <si>
    <t>CORPORACION MARSACH SAC
RUC: 20510192371</t>
  </si>
  <si>
    <t>SERVICIO DE ARRENDAMIENTO DE LOCAL PARA EL FUNCIONAMIENTO DE LA DIRECCIÓN GENERAL DE POLÍTICAS Y REGULACIÓN EN CONSTRUCCIÓN Y SANEAMIENTO</t>
  </si>
  <si>
    <t>DIRECTA-PROC-24-2020-VIVIENDA-OGA-UE-1</t>
  </si>
  <si>
    <t>20518682777-INMOBILIARIA R&amp;G SAC</t>
  </si>
  <si>
    <t>CONTRATACIÓN DEL SERVICIO DE LIMPIEZA PARA LA SEDE CENTRAL Y PERIFERICOS DEL MVCS.</t>
  </si>
  <si>
    <t>CP-SM-1-2020-VIVIENDA-OGA-UE-1</t>
  </si>
  <si>
    <t>20545888522 - VIALVA SERVICIOS COMPLEMENTARIOS S.R.L.</t>
  </si>
  <si>
    <t>SERVICIO DE SOPORTE Y MANTENIMIENTO  PREVENTIVO - CORRECTIVO DE SERVIDORES</t>
  </si>
  <si>
    <t>006-2018-COFOPRI</t>
  </si>
  <si>
    <t>20498848428   CENTRO NACIONAL DE SERVICIOS S.A.C</t>
  </si>
  <si>
    <t>SERVICIO DE ELABORACIÓN Y COLOCACIÓN DE LETREROS</t>
  </si>
  <si>
    <t xml:space="preserve">AS </t>
  </si>
  <si>
    <t>CLASICO</t>
  </si>
  <si>
    <t>AS N° 06-2019/SBN</t>
  </si>
  <si>
    <t>CREATIVE SOLUCIONES E.I.R.L. RUC N° 20554107479</t>
  </si>
  <si>
    <t>SUMINISTRO DE GASOHOL 90 PLUS  PARA LA SEDE LIMA</t>
  </si>
  <si>
    <t>001-2020-COFOPRI</t>
  </si>
  <si>
    <t>20535614548  OPERADORES DE ESTACIONES S.A.C.</t>
  </si>
  <si>
    <t>SUMINISTRO DE DIESEL B5 PARA LA OFICINA ZONAL DE LA LIBERTAD</t>
  </si>
  <si>
    <t>008-2019-COFOPRI</t>
  </si>
  <si>
    <t>20354793416   GRIFO AMIGO S.A</t>
  </si>
  <si>
    <t>ALQUILER DE LOCAL PARA EL FUNCIONAMIENTO DE LA OFICINA DE PROCURADURIA PUBLICA DE LA SBN, PISO 9</t>
  </si>
  <si>
    <t>AS N° 002-2016/SBN</t>
  </si>
  <si>
    <t>CARPE DIEM S.A. RUC N° 20207766250</t>
  </si>
  <si>
    <t>SUMINISTRO DE DIESEL B5 PARA LA OFICINA ZONAL DE AYACUCHO</t>
  </si>
  <si>
    <t>006-2019-COFOPRI</t>
  </si>
  <si>
    <t>20452262399   SERVICENTRO PLAZA SAC</t>
  </si>
  <si>
    <t>ADQUISICIÓN, INSTALACIÓN E INTEGRACIÓN DE SERVIDOR Y UNIDADES DE ALMACENAMIENTO DE LA MARCA DELL O EQUIVALENTE PARA LA SBN</t>
  </si>
  <si>
    <t>LICITACIÓN PÚBLICA N° 005-2019-SBN-CS</t>
  </si>
  <si>
    <t>CONSORCIO LINE OF COMPUTING &amp; SERVICE S.A.C. – IT SERVICE S.A.C.</t>
  </si>
  <si>
    <t xml:space="preserve"> ALQUILER DE LOCAL PARA EL FUNCIONAMIENTO DE LA OFICINA DE PROCURADURIA PÚBLICA DE LA SBN, PISO 13</t>
  </si>
  <si>
    <t>CD N° 001-2020/SBN</t>
  </si>
  <si>
    <t>HECTOR EDUARDO GUTIERREZ BALLON SILES RUC N° 10292553761</t>
  </si>
  <si>
    <t>ADQUISICIÓN E INSTALACIÓN DE EQUIPAMIENTO Y LICENCIA FIREWALL PARA APLICACIONES WEB</t>
  </si>
  <si>
    <t>AS N° 07-2019/SBN</t>
  </si>
  <si>
    <t>TECH SOLUTIONS INTEGRATED S.A.C RUC N° C20566245974</t>
  </si>
  <si>
    <t>ITEM N° 02 ADQUISICIÓN DE UNIFORMES DE OFICINA DE VERANO E INVIERNO PARA EL PERSONAL FEMENINO</t>
  </si>
  <si>
    <t>007-2019-COFOPRI</t>
  </si>
  <si>
    <t>20100306337   INDUSTRIAL GORAK S.A</t>
  </si>
  <si>
    <t>ADQUISICIÓN DE LICENCIAS DE SOFTWARE ARCGIS PARA LA SBN</t>
  </si>
  <si>
    <t>CD N° 005-2019/SBN</t>
  </si>
  <si>
    <t>TELEMATICA S.A.  RUC N° 20101984291</t>
  </si>
  <si>
    <t>SERVICIO DE MENSAJERIA LOCAL Y NACIONAL PARA LA SBN</t>
  </si>
  <si>
    <t xml:space="preserve">CP </t>
  </si>
  <si>
    <t>CP N° 003-2019/SBN-CS</t>
  </si>
  <si>
    <t>OLVA COURIER S.A.C RUC N° 20100686814</t>
  </si>
  <si>
    <t>HASTA AGOTAR EL MONTO</t>
  </si>
  <si>
    <t>SUMINISTRO DE DIESEL B5 S50  PARA LA SEDE LIMA</t>
  </si>
  <si>
    <t>003-2019-COFOPRI</t>
  </si>
  <si>
    <t>20100111838   GRIFOS ESPINOZA  S.A</t>
  </si>
  <si>
    <t>SUMINISTRO DE GASOHOL 95 PLUS  PARA LA SEDE LIMA</t>
  </si>
  <si>
    <t>002-2019-COFOPRI</t>
  </si>
  <si>
    <t>SERVICIO DE SEGURIDAD Y VIGILANCIA A NIVEL NACIONAL</t>
  </si>
  <si>
    <t>20600687914   SWAT SECURITY CONTRACTOR S.A.C</t>
  </si>
  <si>
    <t>CONTRATAR LOS SERVICIOS DE UN ABOGADO QUE PRESTE SERVICOS DE DEFENSA LEGAL A UN FUNCIONARIO DEL MINISTERIO DE VIVIENDA CONSTRUCCIÓN Y SANEAMIENTO.</t>
  </si>
  <si>
    <t>DIRECTA-PROC-1-2020-VIVIENDA-OGA-UE-1</t>
  </si>
  <si>
    <t>10105589897-MARLENE CRITINA GARCIA FRANCO</t>
  </si>
  <si>
    <t>INDETERMINADO</t>
  </si>
  <si>
    <t>LO QUE DURE TODAS LAS ETAPAS DEL PROCESO JUDICIAL</t>
  </si>
  <si>
    <t>SERVICIO DE TELEFONIA MOVIL</t>
  </si>
  <si>
    <t>20100017491     TELEFONICA DEL PERU S.A.A</t>
  </si>
  <si>
    <t>ADQUISICIÓN DE UN EQUIPO ANALIZADOR Y CERTIFICADOR DE CABLEADO ESTRUCTURADO</t>
  </si>
  <si>
    <t>CDP</t>
  </si>
  <si>
    <t>CDP N° 01-2019/SBN</t>
  </si>
  <si>
    <t>TRANSLIGRA S.A.C. RUC N° 20108811375</t>
  </si>
  <si>
    <t>CONSULTORIA PARA LA IMPLEMENTACIÓN DE LA NTP ISO / EC 27001: 2014, SISTEMAS DE GESTIÓN DE SEGURIDAD DE LA INFORMACIÓN PARA EL PROCESO DE DIAGNÓSTICO TÉCNICO LEGAL DE LA FORMALIZACIÓN PREDIAL DEL COFOPRI</t>
  </si>
  <si>
    <t>012-2018-COFOPRI</t>
  </si>
  <si>
    <t>20511546819   I-SEC INFORMATION SECURITY DEL PERU S.A.C</t>
  </si>
  <si>
    <t>SUMINISTRO DE DIESEL B5 S50 PARA LA OFICINA ZONAL DE CUSCO</t>
  </si>
  <si>
    <t>010-2019-COFOPRI</t>
  </si>
  <si>
    <t>20277577314   SERVICENTRO JAKELINE S.C.R.LTDA.</t>
  </si>
  <si>
    <t>ADQUISICIÓN DE EQUIPOS GNSS DIFERENCIAL PARA LA SUBDIRECCIÓN ADMINISTRATIVO DEL PATRIMONIO ESTATAL</t>
  </si>
  <si>
    <t>AS N° 09-2019/SBN</t>
  </si>
  <si>
    <t>GEODESIA Y TOPOGRAFIA S.A.C. RUC N° 20524743532</t>
  </si>
  <si>
    <t>SUMINISTRO DE DIESEL B5 S50  PARA LA OFICINA ZONAL DE LAMBAYEQUE</t>
  </si>
  <si>
    <t>012-2019-COFOPRI</t>
  </si>
  <si>
    <t>20270382551   GRIFO SAN ANTONIO E.I.R.LTDA.</t>
  </si>
  <si>
    <t>004-2018-COFOPRI</t>
  </si>
  <si>
    <t>20100077044   HERMES TRANSPORTES BLINDADOS S.A</t>
  </si>
  <si>
    <t>SERVICIO DE SEGUROS PERSONALES PARA LA SBN - FOLA</t>
  </si>
  <si>
    <t>AS N° 013-2019/SBN-CS</t>
  </si>
  <si>
    <t>LA POSITIVA SEGUROS Y REASEGUROS S.A.A. RUC N° 20100210909</t>
  </si>
  <si>
    <t>SERVICIO DE ANCHO DE BANDA Y ACCESO A INTERNET</t>
  </si>
  <si>
    <t>CP N° 002-2018/SBN-CS</t>
  </si>
  <si>
    <t>AMERICA MOVIL PERU S.A.C. RUC N°  20467534026</t>
  </si>
  <si>
    <t>ARRENDAMIENTO DEL LOCAL PARA EL FUNCIONAMIENTO DE OFICINA COMPLEMENTARIA, PISO 8</t>
  </si>
  <si>
    <t>CD N° 003-2016-SBN</t>
  </si>
  <si>
    <t>ADQUISICIÓN DE LICENCIAS DE SOFTWARE ARCGIS ENTERPRISE PARA LA SBN</t>
  </si>
  <si>
    <t>CD N° 07-2019/SBN</t>
  </si>
  <si>
    <t>SUMINISTRO DE DIESEL B5 PARA LA OFICINA ZONAL DE CAJAMARCA</t>
  </si>
  <si>
    <t>009-2019-COFOPRI</t>
  </si>
  <si>
    <t>20453498299   GRIFOS CAJAMARCA S.A.C.</t>
  </si>
  <si>
    <t>ADQUISICIÓN DE NUEVE (09) SWITCH PARA EL COFOPRI</t>
  </si>
  <si>
    <t>20414948163   CONSULTING KNOWLEDGE &amp; SYSTEMS S.A.C</t>
  </si>
  <si>
    <t xml:space="preserve">SERVICIO DE MANTENIMIENTO PREVENTIVO DE EQUIPOS DE IMPRESIÓN DE GRAN FORMATO - PLOTTERS MULTIFUNCIONALES </t>
  </si>
  <si>
    <t>007-2018-COFOPRI</t>
  </si>
  <si>
    <t>20100131359   DATACONT S.A.C</t>
  </si>
  <si>
    <t>SERVICIO DE TRANSPORTE DE ENCOMIENDA Y CARGA A NIVEL NACIONAL</t>
  </si>
  <si>
    <t>20522545741   GRUPO PANAMUNDO S.A.C</t>
  </si>
  <si>
    <t>SUMINISTRO DE DIESEL B5 PARA LA OFICINA ZONAL DE ICA</t>
  </si>
  <si>
    <t>001-2019-COFOPRI</t>
  </si>
  <si>
    <t>20494793521   ESTACIÓN EL OVALO E.I.R.L.</t>
  </si>
  <si>
    <t>006-2017-COFOPRI</t>
  </si>
  <si>
    <t>20100094569   ASESORIA COMERCIAL S.A.C</t>
  </si>
  <si>
    <t>ADQUISICIÓN DE SERVIDORES DE PROCESAMIENTO Y UN SERVIDOR DE ALMACENAMIENTO</t>
  </si>
  <si>
    <t>20517653030   LINE OF COMPUTING &amp; SERVICES S.A.C</t>
  </si>
  <si>
    <t>ADQUISICIÓN DE SOFTWARE DE PROCESAMIENTO DE IMÁGENES</t>
  </si>
  <si>
    <t>AS N° 12-2019/SBN</t>
  </si>
  <si>
    <t>GEOMÁTICA SOLUCIONES S.A.C.  RUC N°  20543641139</t>
  </si>
  <si>
    <t>ITEM 01: ADQUISICIÓN DE UNIFORMES DE OFICINA DE VERANO E INVIERNO PARA EL PERSONAL MASCULINO</t>
  </si>
  <si>
    <t>ADQUISICIÓN DE CAMIONETAS 4 X4 PICK UP DOBLE  CABINA PARA EL COFOPRI</t>
  </si>
  <si>
    <t>20160286068   MAQUINARIAS S.A</t>
  </si>
  <si>
    <t>ADQUISICION DE 1700 LICENCIAS SOFTWARE SUITE DE SEGURIDAD</t>
  </si>
  <si>
    <t>007-2017-COFOPRI</t>
  </si>
  <si>
    <t>20199144961   BAFING S.A.C</t>
  </si>
  <si>
    <t>SERVICIO DE ALQUILER DE VEHÍCULOS PARA LOS TRABAJOS DE LEVANTAMIENTO TOPOGRÁFICO EN EL DEPARTAMENTO DE PIURA</t>
  </si>
  <si>
    <t>AS N° 004-2020/SBN-OEC</t>
  </si>
  <si>
    <t>CONSTRUCCIONES Y SERVICIOS BEATRIZ EIRL RUC N° 20525327109</t>
  </si>
  <si>
    <t>ADQUISICION DE UNIFORME DE OFICINA DE INVIERNO PARA DAMAS</t>
  </si>
  <si>
    <t>008-2018-COFOPRI</t>
  </si>
  <si>
    <t>20545092353   RENATTOS COMPANY S.A.C</t>
  </si>
  <si>
    <t>ADQUISICION DE 740 BATERIAS PARA UPS DE LA SEDE DE LA MOLINA Y OFICINAS ZONALES DE COFOPRI</t>
  </si>
  <si>
    <t>013-2018-COFOPRI</t>
  </si>
  <si>
    <t>20392777190   IMG EQUIPAMIENTOS S.A.C</t>
  </si>
  <si>
    <t>ADQUISICION DE LICENCIAS SOFTWARE ARCGIS DESKTOP ADVANCED PARA LA SBN</t>
  </si>
  <si>
    <t>CD N° 003-2020/SBN-CS-1</t>
  </si>
  <si>
    <t>TELEMATICA S.A.C  RUC N° 20101984291</t>
  </si>
  <si>
    <t>SERVICIO DE POLIZAS DE SEGUROS PATRIMONIALES Y PERSONALES A NIVEL NACIONAL</t>
  </si>
  <si>
    <t>003-2018-COFOPRI</t>
  </si>
  <si>
    <t>20100041953    RIMAC SEGUROS Y REASEGUROS S.A</t>
  </si>
  <si>
    <t>SERVICIO DE CORREO ELECTRONICO EN LA NUBE PARA LA SBN</t>
  </si>
  <si>
    <t>AS N° 003-2019-SBN</t>
  </si>
  <si>
    <t>ORION PERU SAC    RUC N° 20517719154</t>
  </si>
  <si>
    <t>CONTRATACION DEL SERVICIO DE PUBLICACION DE MEDIOS ESCRITOS</t>
  </si>
  <si>
    <t>AS N° 004-2019-SBN</t>
  </si>
  <si>
    <t>PRODUCCIONES GENESIS   RUC N° 20293877964</t>
  </si>
  <si>
    <t>ADQUISICIÓN DE 05 VEHÍCULOS POR RENOVACIÓN DE FLOTA DE LA SBN ITEM I</t>
  </si>
  <si>
    <t>AS N° 10-2019/SBN</t>
  </si>
  <si>
    <t>EUROSHOP S.A. RUC N° 20349065488</t>
  </si>
  <si>
    <t>ADQUISICIÓN DE DRONE DE ALA FIJA</t>
  </si>
  <si>
    <t>AS N° 11-2019/SBN</t>
  </si>
  <si>
    <t>MANUFACTURA Y TECNOLOGÍA DE EXPORTACIÓN S.R.L.    RUC N° 20510477961</t>
  </si>
  <si>
    <t>ARRENDAMIENTO DE INMUEBLE PARA FUNCIONAMIENTO DE OFICINAS DE LA SDS PISO 7</t>
  </si>
  <si>
    <t>CD N° 004-2019/SBN</t>
  </si>
  <si>
    <t>ALQUILER DE LOCAL PARA EL FUNCIONAMIENTO DE LAS OFICINAS DE LA SUBDIRECCIÓN DE SUPERVISIÓN, PISO 7</t>
  </si>
  <si>
    <t>CD N° 004-2019-SBN</t>
  </si>
  <si>
    <t xml:space="preserve">SERVICIO DE SEGUROS ACCIDENTES PERSONALES PARA LA SBN </t>
  </si>
  <si>
    <t>SERVICIO DE SEGURIDAD Y VIGILANCIA PARA LAS INSTALACIONES DE LA SBN</t>
  </si>
  <si>
    <t>AS N° 05-2019/SBN (DERIVADO DEL CP N° 03-2018/SBN.CS)</t>
  </si>
  <si>
    <t>OPTIMUS SECURITY SAC RUC N°    20553529337</t>
  </si>
  <si>
    <t>SERVICIO DE MANTENIMIENTO PREVENTIVO DE EQUIPOS DE IMPRESIÓN A3 Y EQUIPOS DE IMPRESIÓN DE GRAN FORMATO, ITEM N°01 "IMPRESORAS LASER, IMPRESORA LASER COLOR E IMPRESORAS LASER MULTIFUNCIONAL</t>
  </si>
  <si>
    <t>20101054986   SYSTEMS SUPPORT &amp; SERVICES S.A</t>
  </si>
  <si>
    <t>SERVICIO DE LIMPIEZA Y MANTENIMIENTO DE LOS LCOALES INSTITUCIONALES DE LA SBN</t>
  </si>
  <si>
    <t>CP N° 001-2019/SBN-CS-PRIMERA CONVOCATORIA</t>
  </si>
  <si>
    <t>CONSORCIO EBLIM RUC N° 20604841225</t>
  </si>
  <si>
    <t>SERVICIO DE MENSAJERIA ELECTRONICA, HERRAMIENTAS COLABORATIVAS E INTRANET EN 
LA NUBE</t>
  </si>
  <si>
    <t>20601726174    XERTICA LABS SOCIEDAD ANONIMA CERRADA</t>
  </si>
  <si>
    <t>SERVICIO DE TRASLADO, CUSTODIA Y ADMINISTRACIÓN DE MEDIOS MAGNETICOS</t>
  </si>
  <si>
    <t>002-2018-COFOPRI</t>
  </si>
  <si>
    <t>20390724919   IRON MOUNTAIN PERU S.A</t>
  </si>
  <si>
    <t>SERVICIO DE AFINAMIENTO DE VEHICULOS DE LA SEDE LIMA</t>
  </si>
  <si>
    <t>20508261391    JAPAN TECH S.A.C</t>
  </si>
  <si>
    <t>CONTRATACIÓN DE ELABORACIÓN DE CONTENIDO INTERACTIVO DE APRENDIZAJE EN TEMAS REFERIDOS A LA GESTIÓN DE PREDIOS ESTATALES PARA LA PLATAFORMA VIRTUAL DE LA SUBDIRECCIÓN DE NORMAS Y CAPACITACIÓN</t>
  </si>
  <si>
    <t>AS N° 003-2020/SBN-OEC</t>
  </si>
  <si>
    <t>ERIKA SULMA ALBARRACIN MEJIA RUC N° 10101960906</t>
  </si>
  <si>
    <t>ALQUILER DE LOCAL PARA EL FUNCIONAMIENTO DE LAS OFICINAS OPERATIVAS, PISO 6</t>
  </si>
  <si>
    <t>CD N° 001-2016-SBN</t>
  </si>
  <si>
    <t>DAVID YVES BARSIMANTOV DIEZ  RUC N°  10093419753</t>
  </si>
  <si>
    <t>CD N° 06-2019/SBN</t>
  </si>
  <si>
    <t>OPTIMUS SECURITY SAC  RUC N°    20553529337</t>
  </si>
  <si>
    <t>ADQUISICION DE COMBUSTIBLE PARA LA FLOTA VEHICULAR DE LA SBN</t>
  </si>
  <si>
    <t>AS N° 009-2018/SBN-OAF</t>
  </si>
  <si>
    <t>GLG INVERSIONES S.A.C                 RUC N° 20522173933</t>
  </si>
  <si>
    <t>SERVICIO DE SOPORTE Y MANTENIMIENTO PREVENTIVO - CORRECTIVO DE SERVIDORES</t>
  </si>
  <si>
    <t>20291059792   GOALS S.A</t>
  </si>
  <si>
    <t>ADQUISICION E INSTALACIÓN DE 740 BATERIAS PARA UPS DE LAS OFICINAS ZONALES DE COFOPRI</t>
  </si>
  <si>
    <t>005-2019-COFOPRI</t>
  </si>
  <si>
    <t>20553927499   GLOBELEC DEL PERU S.A.C</t>
  </si>
  <si>
    <t>SERVICIO DE SEGUROS PATRIMONIALES Y PERSONALES PARA LA SBN</t>
  </si>
  <si>
    <t>CARLOS MIGUEL INFANTE MERMA (CONSORCIO CAXANORTE)  RUC N° 10447365176</t>
  </si>
  <si>
    <t>SERVICIO DE ORGANIZACIÓN, DESCRIPCIÓN, CONSERVACIÓN, CUSTODIA, TRASLADO Y ATENCIÓN DE REQUERIMIENTOS Y CONSULTAS DE DOCUMENTACIÓN</t>
  </si>
  <si>
    <t>001-2018-COFOPRI</t>
  </si>
  <si>
    <t>SUMINISTRO DE DIESEL B5 S50 PARA LA OFICINA ZONAL DE PASCO - SEDE OXAMPAMPA</t>
  </si>
  <si>
    <t>20568636997   ESTACION DE SERVICIOS M Y M S.A.C</t>
  </si>
  <si>
    <t>SERVICIO DE MANTENIMIENTO Y SOPORTE TECNICO DE PRODUCTOS ORACLE</t>
  </si>
  <si>
    <t>009-2017-COFOPRI</t>
  </si>
  <si>
    <t>2018224678  SISTEMAS ORACLE DEL PERU S.A</t>
  </si>
  <si>
    <t>FORMATO 15: DETALLE DE CONSULTORIAS PERSONAS JURÍDICAS Y NATURALES - PRESUPUESTO 2019 Y 2020</t>
  </si>
  <si>
    <t>CONSULTORIAS</t>
  </si>
  <si>
    <t>PERSONA JURIDICA (RUC)</t>
  </si>
  <si>
    <t>PERSONA NATURAL (DNI)</t>
  </si>
  <si>
    <t>PPTO 2019 (AL 31/12)</t>
  </si>
  <si>
    <t>PPTO 2020 (AL 30/06)</t>
  </si>
  <si>
    <t>PPTO 2020 (PROYECCION 31/12)</t>
  </si>
  <si>
    <t>TIPO DE ESTUDIO Y/O INFORME (*)</t>
  </si>
  <si>
    <t>ESPECIALIDAD (**)</t>
  </si>
  <si>
    <t>EJECUCIÓN S/</t>
  </si>
  <si>
    <t>SERVICIO DE CONSULTORIA PARA LA ELABORACION DE PLANES DE ACONDICIONAMIENTO TERRITORIAL, PLANES DE DESARROLLO METROPOLITANO Y PLANES DE DESARROLLO URBANO EN LAS REGIONES DE LAMBAYEQUE Y LA LIBERTAD BAJO LOS ALCANDES DE LA RECONSTRUCCION POR CAMBIOS - ITEM 6 LA LIBERTAD (ASCOPE)</t>
  </si>
  <si>
    <t>RUC 20521187353-NG QUALITY PERU SAC</t>
  </si>
  <si>
    <t>_</t>
  </si>
  <si>
    <t>PLANES DE ACONDICIONAMIENTO TERRITORIAL, PLANES DE DESARROLLO METROPOLITANO Y PLANES DE DESARROLLO URBANO</t>
  </si>
  <si>
    <t>19.VIVIENDAY DESARROLLO URBANO</t>
  </si>
  <si>
    <t>SERVICIO DE CONSULTORIA PARA LA ELABORACION DE PLANES DE ACONDICIONAMIENTO TERRITORIAL, PLANES DE DESARROLLO METROPOLITANO Y PLANES DE DESARROLLO URBANO EN LAS REGIONES DE LAMBAYEQUE Y LA LIBERTAD BAJO LOS ALCANDES DE LA RECONSTRUCCION POR CAMBIOS - ITEM 2 LAMBAYEQUE (LAMBAYEQUE - FERREÑAFE)</t>
  </si>
  <si>
    <t>SERVICIO DE CONSULTORIA PARA LA ELABORACION DE PLANES DE ACONDICIONAMIENTO TERRITORIAL, PLANES DE DESARROLLO METROPOLITANO Y PLANES DE DESARROLLO URBANO EN LAS REGIONES DE LAMBAYEQUE Y LA LIBERTAD BAJO LOS ALCANDES DE LA RECONSTRUCCION POR CAMBIOS - ITEM 3 LAMBAYEQUE (CHICLAYO)</t>
  </si>
  <si>
    <t>CONSORCIO PLANES DEL NORTE: RUC 20263373058-INSTITUTO DE CONSULTORIA S.A; RUC 20512925023-HK CONSULTING S.A.C; RUC 20304582147-INMOBILIARIA PACASMAYO</t>
  </si>
  <si>
    <t xml:space="preserve">ERVICIO DE CONSULTORIA PARA LA ELABORACION DE PLANES DE ACONDICIONAMIENTO TERRITORIAL, PLANES DE DESARROLLO METROPOLITANO Y PLANES DE DESARROLLO URBANO EN LAS REGIONES DE LAMBAYEQUE Y LA LIBERTAD BAJO LOS ALCANDES DE LA RECONSTRUCCION POR CAMBIOS - ITEM 4 </t>
  </si>
  <si>
    <t xml:space="preserve">CONSORCIO MAVEK CONSULTORIA Y PROYECTOS S.A.C -PROTEC SAC- LUIS ROJAS : RUC  N° 20602396666 -MAVEK CONSULTORIA Y PROYECTOS S.A.C; RUC N°20450333841-PROTEC SAC; RUC N° 10198298617-LUIS TEOFILO ROJAS JAIMES </t>
  </si>
  <si>
    <t>SERVICIO DE CONSULTORIA PARA LA ELABORACION DE PLANES DE ACONDICIONAMIENTO TERRITORIAL, PLANES DE DESARROLLO METROPOLITANO Y PLANES DE DESARROLLO URBANO EN LAS REGIONES DE LAMBAYEQUE Y LA LIBERTAD BAJO LOS ALCANDES DE LA RECONSTRUCCION POR CAMBIOS - ITEM 1 LAMBAYEQUE (CHICLAYO - LAMBAYEQUE)</t>
  </si>
  <si>
    <t>SERVICIO DE CONSULTORIA PARA LA ELABORACION DE PLANES DE ACONDICIONAMIENTO TERRITORIAL, PLANES DE DESARROLLO METROPOLITANO Y PLANES DE DESARROLLO URBANO EN LAS REGIONES DE LAMBAYEQUE Y LA LIBERTAD BAJO LOS ALCANDES DE LA RECONSTRUCCION POR CAMBIOS - ITEM 7 LA LIBERTAD(SANTIAGO DE CHUCO-VIRU)</t>
  </si>
  <si>
    <t>SERVICIO DE CONSULTORIA PARA LA ELABORACION DE PLANES DE ACONDICIONAMIENTO TERRITORIAL, PLANES DE DESARROLLO METROPOLITANO Y PLANES DE DESARROLLO URBANO EN LAS REGIONES DE LAMBAYEQUE Y LA LIBERTAD BAJO LOS ALCANDES DE LA RECONSTRUCCION POR CAMBIOS - ITEM 5 - LA LIBERTAD (CHEPEN - PACASMAYO)</t>
  </si>
  <si>
    <t>SERVICIO DE CONSULTORÍA PARA LA ELABORACIÓN DE LOS PLANES DE ACONDICIONAMIENTO TERRITORIAL (PAT), PLANES DE DEARROLLO METROPOLITANO (PDM) Y PLANES DE DESARROLLO URBANO (PDU) DE LA REGIÓN TUMBES, PIURA, LAMBAYEQUE, LA LIBERTAD, ANCASH, LIMA E ICA BAJO LOS ALCANCES DE LA RECONSTRUCCIÓN CON CAMBIOS - ÍTEM N°01 - PIURA - CONTRATO N°175-2018-VIVIENDA-OGA-UE.001</t>
  </si>
  <si>
    <t xml:space="preserve">RUC 20603889071 - CONSORCIO AYESA-UG21
CONFORMADO POR: AYESA INGENIERIA Y ARQUITECTURA S.A.U. - CONSULTORES DE INGENIERIA UG21 SOCIEDAD LIMITADA
</t>
  </si>
  <si>
    <t>SERVICIO DE CONSULTORÍA PARA LA ELABORACIÓN DE LOS PLANES DE ACONDICIONAMIENTO TERRITORIAL (PAT), PLANES DE DEARROLLO METROPOLITANO (PDM) Y PLANES DE DESARROLLO URBANO (PDU) DE LA REGIÓN TUMBES, PIURA, LAMBAYEQUE, LA LIBERTAD, ANCASH, LIMA E ICA BAJO LOS ALCANCES DE LA RECONSTRUCCIÓN CON CAMBIOS - ÍTEM N°02 - TUMBES -CONTRATO N°056-2019-VIVIENDA-OGA-UE.001</t>
  </si>
  <si>
    <t xml:space="preserve">CONSORCIO A PLANIFICAR TUMBES 
CONFORMADO POR: RUC 20521187353 - NG QUALITY PERU S.A.C.; RUC 20555152559 - ANALISIS GEOGRAFICOS S.A.C.
 </t>
  </si>
  <si>
    <t>PLAN DE ACONDICIONAMIENTO TERRITORIAL Y PLANES DE DESARROLLO URBANO</t>
  </si>
  <si>
    <t xml:space="preserve">SERVICIO DE CONSULTORÍA PARA LA ELABORACIÓN DE LOS PLANES DE ACONDICIONAMIENTO TERRITORIAL (PAT), PLANES DE DEARROLLOMETROPOLITANO (PDM) Y PLANES DE DESARROLLO URBANO (PDU) DE LA REGIÓN TUMBES, PIURA, LAMBAYEQUE, LA LIBERTAD, ANCASH, LIMA E ICA BAJO LOS ALCANCES DE LA RECONSTRUCCIÓN CON CAMBIOS - ÍTEM N°05 - ANCASH - CONTRATO N°003-2019-VIVIENDA-OGA-UE.001 </t>
  </si>
  <si>
    <t>RUC 20549991786 - IDOM CONSULTING, ENGINEERING, ARCHITECTURE, S.A. SUCURSAL DEL PERU</t>
  </si>
  <si>
    <t>SERVICIO DE CONSULTORÍA PARA LA ELABORACIÓINI DE LOS PLANES DE ACONDICIONAMIENTO TERRITORIAL (PAT), PLANES DE DEARROLLOMETROPOLITANO (PDM) Y PLANES DE DESARROLLO URBANO (PDU) DE LA REGIÓN TUMBES, PIURA, LAMBAYEQUE, LA LIBERTAD, ANCASH, LIMA E ICA BAJO LOS ALCANCES DE LA RECONSTRUCCIÓN CON CAMBIOS - ÍTEM N°06 - LIMA-ICA - CONTRATO N°004-2019-VIVIENDA-OGA-UE.001</t>
  </si>
  <si>
    <t>CONSORCIO ESTUDIOS TERRITORIALES CORSUYO - AECOM
CONFORMADO POR: 20376488099 -CORPORACION SUYO S.A.C.; RUC 20600654871 AECOM TECHNICAL SERVICE INC. SUCURSAL DEL PERU</t>
  </si>
  <si>
    <t>SERVICIO DE CONSULTORÍA PARA SUPERVISÓN DE LA ELABORACIÓN DE LOS PLANES DE ACONDICIONAMIENTO TERRITORIAL (PAT), PLANES DE DESARROLLO METROPOLITANO (PDM) Y PLANES DE DESARROLLO URBANO (PDU) DE LA REGIÓN PIURA - TUMBES BAJO LOS ALCANCES DE LA RECONSTRUCCIÓN CON CAMBIOS - ÍTEM N°01 - CONTRATO N°172-2018-VIVIENDA-OGA-UE.001</t>
  </si>
  <si>
    <t>RUC 20513780592 - PROYECTOS Y ESTUDIOS MUNDIALES DE INVERSIÓN S.A.C.</t>
  </si>
  <si>
    <t>INFORME DE SUPERVISION DE ELABORACION DE PLANES DE ACONDICIONAMIENTO TERRITORIAL, PLANES DE DESARROLLO METROPOLITANO Y PLANES DE DESARROLLO URBANO</t>
  </si>
  <si>
    <t>SERVICIO DE CONSULTORÍA PARA LA SUPERVISIÓN DE LA ELABORACIÓN DE LOS PLANES DE ACONDICIONAMIENTO TERRITORIAL (PAT), PLANES DE DEARROLLO METROPOLITANO (PDM) Y PLANES DE DESARROLLO URBANO (PDU) DE LA REGIÓN TUMBES, PIURA, LAMBAYEQUE, LA LIBERTAD, ANCASH, LIMA E ICA, BAJO LOS ALCANCES DE LA RECONSTRUCCIÓN CON CAMBIOS - ÍTEM N°03: ANCASH - LIMA - ICA - CONTRATO N°002-2019-VIVIENDA-OGA-UE.001.</t>
  </si>
  <si>
    <t>SERVICIO DE CONSULTORÍA PARA LA ELABORACIÓN DEL EXPEDIENTE TÉCNICO DE SALDO DE OBRA DEL PROYECTO “MEJORAMIENTO DEL SISTEMA VIAL LOCAL DEL ASENTAMIENTO HUMANO JUSTICIA PAZ Y VIDA DEL DISTRITO DE EL TAMBO - HUANCAYO – JUNÍN” CON CUI N°2049175  - CONTRATO N° 060-2019-VIVIENDA-OGA-UE.001</t>
  </si>
  <si>
    <t xml:space="preserve">CONSORCIO CHACAMAYO
CONFORMADO POR: RUC 20600071751 - CONSULTORA &amp; CONSTRUCTORA CHACAMAYO S.A.C.; RUC 10403887493 - EMILIO FELIX VASQUEZ VASQUEZ - 
</t>
  </si>
  <si>
    <t>EXPEDIENTE TÉCNICO DE SALDO DE OBRA DEL PROYECTO “MEJORAMIENTO DEL SISTEMA VIAL LOCAL DEL ASENTAMIENTO HUMANO JUSTICIA PAZ Y VIDA DEL DISTRITO DE EL TAMBO - HUANCAYO – JUNÍN” CON CUI N°2049175</t>
  </si>
  <si>
    <t>CONTRATACIÓN DEL SERVICIO DE CONSULTORÍA PARA LA ELABORACIÓN DEL ESTUDIO DE IDENTIFICACIÓN DE LUGARES CONTAMINADOS PARA EL PROYECTO DE INVERSIÓN CONJUNTO HABITACIONAL DE VIVIENDA COMUNIDAD BUEN VIVIR (JAKOX JATI JEMA), CANTAGALLO – RIMAC - CONTRATO N° 049-2020-VIVIENDA-OGA-UE.001</t>
  </si>
  <si>
    <t>RUC 20521268191 - TEMA LITOCLEAN S.A.C.</t>
  </si>
  <si>
    <t>ESTUDIO DE IDENTIFICACIÓN DE LUGARES CONTAMINADOS PARA EL PROYECTO DE INVERSIÓN CONJUNTO HABITACIONAL DE VIVIENDA COMUNIDAD BUEN VIVIR (JAKOX JATI JEMA), CANTAGALLO – RIMAC</t>
  </si>
  <si>
    <t>CONTRATACIÓN DE LOS SERVICIOS DE CONSULTORÍA PARA LA IMPLEMENTACIÓN DE LA NORMA INTERNACIONAL ISO 37001:2016 ANTISOBORNO EN EL MINISTERIO DE VIVIENDA, CONSTRUCCIÓN Y SANEAMIENTO - CONTRATO N°121-2019-VIVIENDA-OGA-UE.001</t>
  </si>
  <si>
    <t xml:space="preserve">RUC 20565636872 - M &amp; P INTER CONSULTING S.A.C.
</t>
  </si>
  <si>
    <t>IMPLEMENTACIÓN DE LA NORMA INTERNACIONAL ISO 37001:2016 ANTISOBORNO EN EL MINISTERIO DE VIVIENDA, CONSTRUCCIÓN Y SANEAMIENTO</t>
  </si>
  <si>
    <t>SERVICIO DE COORDINACION DE PROYECTOS PARA EL CUMPLIMIENTO DE LAS CONDICIONES DE EFECTIVIDAD DEL PROGRAMA DE MODERNIZACION</t>
  </si>
  <si>
    <t>VIVANCO MARQUEZ SALVADOR ALI-41810922</t>
  </si>
  <si>
    <t>INFORME RELACIONADO A COORDINACION DE PROYECTOS PARA EL CUMPLIMIENTO DE LAS CONDICIONES DE EFECTIVIDAD DEL PROGRAMA DE MODERNIZACION</t>
  </si>
  <si>
    <t>18 SANEAMIENTO</t>
  </si>
  <si>
    <t>VERA CAPURRO GILBERTO-08767104</t>
  </si>
  <si>
    <t>SERVICIO EN TEMAS FIDUCIARIOS BAJO NORMATIVA DEL BANCO MUNDIAL PARA EL CUMPLIMIENTO DE LAS CONDICIONES DE EFECTIVIDAD DEL PROGRAMA MODERNIZACION</t>
  </si>
  <si>
    <t>HALL ARIAS EDGARDO ESTUARDO-08632679</t>
  </si>
  <si>
    <t>INFORME RELACIONADO A  TEMAS FIDUCIARIOS BAJO NORMATIVA DEL BANCO MUNDIAL PARA EL CUMPLIMIENTO DE LAS CONDICIONES DE EFECTIVIDAD DEL PROGRAMA MODERNIZACION</t>
  </si>
  <si>
    <t>SERVICIO DE SEGUIMIENTO Y MONITOREO AL REGISTRO DE INFORMACION EN EL CUESTIONARIO DIAGNOSTICO EN AGUA POTABLE, ALCANTARILLADO Y PTAR EN GESTION COMERCIAL, OPERATIVA, ADMINISTRATIVA Y DE FORTALECIMIENTO DE CAPACIDADES EN PQUEÑAS CIUDADES ENLA ZONA NORTE Y</t>
  </si>
  <si>
    <t>CENTENO CCANTO ERNESTO MARTIN-32960562</t>
  </si>
  <si>
    <t>INFORME RELACIONADO A SEGUIMIENTO Y MONITOREO AL REGISTRO DE INFORMACION EN EL CUESTIONARIO DIAGNOSTICO EN AGUA POTABLE, ALCANTARILLADO Y PTAR EN GESTION COMERCIAL, OPERATIVA, ADMINISTRATIVA Y DE FORTALECIMIENTO DE CAPACIDADES EN PQUEÑAS CIUDADES ENLA ZONA NORTE Y</t>
  </si>
  <si>
    <t>SERVICIO EN MODELAMIENTO HIDROLOGICO - HIDRAULICO PARA LA REVISION Y SEGUIMIENTO DEL PROYECTO DE PRE INVERSION DE DRENAJE PLUVIAL DE LA CIUDAD DE CUSCO</t>
  </si>
  <si>
    <t>GONZALES NUÑEZ ELEAZAR REMIGIO-10359194</t>
  </si>
  <si>
    <t>INFORME RELACIONADO A  MODELAMIENTO HIDROLOGICO - HIDRAULICO PARA LA REVISION Y SEGUIMIENTO DEL PROYECTO DE PRE INVERSION DE DRENAJE PLUVIAL DE LA CIUDAD DE CUSCO</t>
  </si>
  <si>
    <t>SERVICIO ESPECIALIZADO DE COORDINACION DE PROYECTOS PARA LOS PROYECTOS DEL AMBITO DE SEDAPAR DEL COMPONENTE 2 DEL PROGRAMA MODERNIZACION</t>
  </si>
  <si>
    <t>LIZONDE MIRANDA JORGE LUIS-09107719</t>
  </si>
  <si>
    <t>INFORME RELACIONADO A  DE COORDINACION DE PROYECTOS PARA LOS PROYECTOS DEL AMBITO DE SEDAPAR DEL COMPONENTE 2 DEL PROGRAMA MODERNIZACION</t>
  </si>
  <si>
    <t>SERVICIO DE ANALISIS Y ELABORACION DE REPORTES DE CONSISTENCIA DEL PMI 2019-2021 CON EL PIM 2019 SEGUIMIENTO DE LOS PROYECTOS DE INVERSION DEL PNSU Y TRANSFERENCIAS A LOS GOBIERNOS REGIONALES Y LOCALES 2019</t>
  </si>
  <si>
    <t>CRUZ BENITES PERCY ERNESTO-07362754</t>
  </si>
  <si>
    <t>INFORME RELACIONADO A ANALISIS Y ELABORACION DE REPORTES DE CONSISTENCIA DEL PMI 2019-2021 CON EL PIM 2019 SEGUIMIENTO DE LOS PROYECTOS DE INVERSION DEL PNSU Y TRANSFERENCIAS A LOS GOBIERNOS REGIONALES Y LOCALES 2019</t>
  </si>
  <si>
    <t>SERVICIO DE SEGUIMIENTO Y MONITOREO AL REGISTRO DE INFORMACION EN EL CUESTIONARIO DIAGNOSTICO DE LA GESTION COMERCIAL, OPERATIVA, ADMINISTRATIVA Y DE FORTALECIMIENTO DE CAPACIDADES DE LOS SERVICIOS DE AGUA POTABLE, ALCANTARILLADO Y PTAR EN PEQUEÑAS CIUDA</t>
  </si>
  <si>
    <t>CLEMENTE NINALAYA TONY RICHARD-09654668</t>
  </si>
  <si>
    <t>INFORME RELACIONADO A SEGUIMIENTO Y MONITOREO AL REGISTRO DE INFORMACION EN EL CUESTIONARIO DIAGNOSTICO DE LA GESTION COMERCIAL, OPERATIVA, ADMINISTRATIVA Y DE FORTALECIMIENTO DE CAPACIDADES DE LOS SERVICIOS DE AGUA POTABLE, ALCANTARILLADO Y PTAR EN PEQUEÑAS CIUDA</t>
  </si>
  <si>
    <t>SERVICIO EN LA ESPECIALIDAD DE ADQUISICIONES BAJO NORMATIVADEL BANCO MUNDIAL PARA EL CUMPLIMIENTO DELAS CONDICIONES DEEFECTIVIDAD DEL PROGRAMA MODERNIZACION</t>
  </si>
  <si>
    <t>CALAPUJA CCORI MIGUEL ANTONIO-01327226</t>
  </si>
  <si>
    <t>INFORME RELACIONADO A  LA ESPECIALIDAD DE ADQUISICIONES BAJO NORMATIVADEL BANCO MUNDIAL PARA EL CUMPLIMIENTO DELAS CONDICIONES DEEFECTIVIDAD DEL PROGRAMA MODERNIZACION</t>
  </si>
  <si>
    <t>MIRANDA MORENO JUAN REYNALDO-09802227</t>
  </si>
  <si>
    <t>SERVICIO DE DRENAJE PLUVIAL PARA LA REVISION Y SEGUIMIENTO DEL PROYECTO DE PREINVERSION DE DRENAJE PLUVIAL DE LA CIUDADDE CUSCO</t>
  </si>
  <si>
    <t>BERROCAL RODRIGUEZ AQUILES MANUEL-45120517</t>
  </si>
  <si>
    <t>INFORME RELACIONADO A DRENAJE PLUVIAL PARA LA REVISION Y SEGUIMIENTO DEL PROYECTO DE PREINVERSION DE DRENAJE PLUVIAL DE LA CIUDADDE CUSCO</t>
  </si>
  <si>
    <t>SERVICIO ESPECIALIZADO EN PROYECTOS PARA EL DESARROLLO DE LOS TÉRMINOS DE REFERENCIA PARA LAELABORACION Y SUPERVISION DEL ESTUDIO DE PRE INVERSION A NIVEL DE FICHA TÉCNICA DEL PROYECTO: " MEJORAMIENTO Y AMPLIACION DE LOS SERVICIOS DE AGUAPOTABLE Y ALCANT</t>
  </si>
  <si>
    <t>LACA BARRERA FERNANDO JULIO-06045461</t>
  </si>
  <si>
    <t>INFORME RELACIONADO A  EN PROYECTOS PARA EL DESARROLLO DE LOS TÉRMINOS DE REFERENCIA PARA LAELABORACION Y SUPERVISION DEL ESTUDIO DE PRE INVERSION A NIVEL DE FICHA TÉCNICA DEL PROYECTO: " MEJORAMIENTO Y AMPLIACION DE LOS SERVICIOS DE AGUAPOTABLE Y ALCANT</t>
  </si>
  <si>
    <t>SERVICIO DE ANALISIS PARA EL AREA DE ABASTECIMIENTO Y CONTROL PATRIMONIAL DE LA UNIDAD DE ADMINISTRACION DEL PNSU</t>
  </si>
  <si>
    <t>ROCHABRUN FRANCO TERESA ELENA-06133738</t>
  </si>
  <si>
    <t>INFORME RELACIONADO A ANALISIS PARA EL AREA DE ABASTECIMIENTO Y CONTROL PATRIMONIAL DE LA UNIDAD DE ADMINISTRACION DEL PNSU</t>
  </si>
  <si>
    <t>SERVICIO DE SEGUIMIENTO Y COORDINACION PARA LA ACTUALIZACION DEL REGISTRO DEL MODULO DE GESTION DE RIESGO EN EL SSP DE LOS PROYECTOS DE LA COORDINACION DE ESTUDIOS Y MONITOREO</t>
  </si>
  <si>
    <t>CHAPOÑAN MENDOZA LUZ MARIANA-72680891</t>
  </si>
  <si>
    <t>INFORME RELACIONADO A SEGUIMIENTO Y COORDINACION PARA LA ACTUALIZACION DEL REGISTRO DEL MODULO DE GESTION DE RIESGO EN EL SSP DE LOS PROYECTOS DE LA COORDINACION DE ESTUDIOS Y MONITOREO</t>
  </si>
  <si>
    <t>SERVICIO DE ASESORIA LEGAL PARA LA BUSQUEDA CATASTRAL DE LOS TERRENOS DE LOS PROYECTOS DE AGUA Y SANEAMIENTO DE LA UNIDAD DE GESTION TERRITORIAL DEL PNSU</t>
  </si>
  <si>
    <t>PUPUCHE CARRANZA JHONATHAN GENARO-42287859</t>
  </si>
  <si>
    <t>INFORME RELACIONADO A ASESORIA LEGAL PARA LA BUSQUEDA CATASTRAL DE LOS TERRENOS DE LOS PROYECTOS DE AGUA Y SANEAMIENTO DE LA UNIDAD DE GESTION TERRITORIAL DEL PNSU</t>
  </si>
  <si>
    <t>SERVICIO DE ASISTENCIA TECNICA PARA LA FASE PRE CONTRACTUALEN MATERIA LEGAL EN CONTRATACIONES DEL ESTADO PARA EL AREA DE ABASTECIMIENTO Y CONTROL PATRIMONIAL</t>
  </si>
  <si>
    <t>GUEVARA NAJARRO JOSE ERICK-70004960</t>
  </si>
  <si>
    <t>INFORME RELACIONADO A ASISTENCIA TECNICA PARA LA FASE PRE CONTRACTUALEN MATERIA LEGAL EN CONTRATACIONES DEL ESTADO PARA EL AREA DE ABASTECIMIENTO Y CONTROL PATRIMONIAL</t>
  </si>
  <si>
    <t>SERVICIO DE ANALISIS PRESUPUESTAL PARA EL AREA DE ABASTECIMIENTO Y CONTROL PATRIMONIAL DE LA UNIDAD DE ADMINISTRACION DEL PROGRAMA NACIONAL DE SANEAMIENTO URBANO</t>
  </si>
  <si>
    <t>PRADO QUISPE LESLY CECILIA-46657654</t>
  </si>
  <si>
    <t>INFORME RELACIONADO A ANALISIS PRESUPUESTAL PARA EL AREA DE ABASTECIMIENTO Y CONTROL PATRIMONIAL DE LA UNIDAD DE ADMINISTRACION DEL PROGRAMA NACIONAL DE SANEAMIENTO URBANO</t>
  </si>
  <si>
    <t>SERVICIO ESPECIALIZADO EN CONTRATACIONES DEL ESTADO MENORESA 8 UITS EN EL MARCO DE LA LEY DE CONTRATACIONES DEL ESTADOPARA EL AREA DE ABASTECIMIENTO Y CONTROL PATRIMONIAL DE LA UNIDAD DE ADMINISTRACION DEL PROGRAMA NACIONAL DE SANEAMIENTO URBANO - MVCS</t>
  </si>
  <si>
    <t>MARGARITO INDARUCA MILAGROS DEL PILAR-15749867</t>
  </si>
  <si>
    <t>INFORME RELACIONADO A  EN CONTRATACIONES DEL ESTADO MENORESA 8 UITS EN EL MARCO DE LA LEY DE CONTRATACIONES DEL ESTADOPARA EL AREA DE ABASTECIMIENTO Y CONTROL PATRIMONIAL DE LA UNIDAD DE ADMINISTRACION DEL PROGRAMA NACIONAL DE SANEAMIENTO URBANO - MVCS</t>
  </si>
  <si>
    <t>SERVICIO DE ASISTENCIA EN SISTEMA DE INFORMACION GEOGRAFICA(SIG) PARA LA ELABORACION DEL MODELO DE DATOS Y DISEÑO DE REPRESENTACION GRAFICA DE ENTIDADES PARA LA GEORREFERENCIACI ON DE PROYECTOS DE AGUA Y SANEAMIENTO PNSU</t>
  </si>
  <si>
    <t>CUELLAR PEÑA JOAQUIN GABRIEL-44722301</t>
  </si>
  <si>
    <t>INFORME RELACIONADO A ASISTENCIA EN SISTEMA DE INFORMACION GEOGRAFICA(SIG) PARA LA ELABORACION DEL MODELO DE DATOS Y DISEÑO DE REPRESENTACION GRAFICA DE ENTIDADES PARA LA GEORREFERENCIACI ON DE PROYECTOS DE AGUA Y SANEAMIENTO PNSU</t>
  </si>
  <si>
    <t>SERVICIO DE MONITOREO Y SEGUIMIENTO DE LA EJECUCION DE LAS ACTIVIDADES DEL COMPONENTE DE INTERVENCION SOCIAL DE LOS PROYECTOS DE LA REGION PUNO DEL AREA DE ESTUDIOS DE LA UNIDAD DE PROYECTOS</t>
  </si>
  <si>
    <t>QUISPE TITO ADOLFO-02431282</t>
  </si>
  <si>
    <t>INFORME RELACIONADO A MONITOREO Y SEGUIMIENTO DE LA EJECUCION DE LAS ACTIVIDADES DEL COMPONENTE DE INTERVENCION SOCIAL DE LOS PROYECTOS DE LA REGION PUNO DEL AREA DE ESTUDIOS DE LA UNIDAD DE PROYECTOS</t>
  </si>
  <si>
    <t>SERVICIO DE ANALISIS PARA LA FASE DE EJECUCION CONTRACTUAL DE BIENES, SERVICIOS EN EL MARCO DE LA LEY DE CONTRATACIONESDEL ESTADO PARA EL AREA DE ABASTECIMIENTO Y CONTROL PATRIMONIAL DEL PROGRAMA NACIONAL DE SANEAMIENTO URBANO - PNSU</t>
  </si>
  <si>
    <t>LAZARTE SCHIAPPACASSE FRANCO FELIX-41478341</t>
  </si>
  <si>
    <t>INFORME RELACIONADO A ANALISIS PARA LA FASE DE EJECUCION CONTRACTUAL DE BIENES, SERVICIOS EN EL MARCO DE LA LEY DE CONTRATACIONESDEL ESTADO PARA EL AREA DE ABASTECIMIENTO Y CONTROL PATRIMONIAL DEL PROGRAMA NACIONAL DE SANEAMIENTO URBANO - PNSU</t>
  </si>
  <si>
    <t>SERVICIO DE ASISTENCIA TÉCNICA A LAS UNIDADES EJECUTORAS ENLOS PROYECTOS DE AGUA Y SANEAMIENTO DE LA COORDINACION DE ESTUDIOS Y MONITOREO DE LA UNIDAD DE GESTION TERRITORIAL DEL PNSU</t>
  </si>
  <si>
    <t>MOSCOSO SOTO ANASTACIO-07171198</t>
  </si>
  <si>
    <t>INFORME RELACIONADO A ASISTENCIA TÉCNICA A LAS UNIDADES EJECUTORAS ENLOS PROYECTOS DE AGUA Y SANEAMIENTO DE LA COORDINACION DE ESTUDIOS Y MONITOREO DE LA UNIDAD DE GESTION TERRITORIAL DEL PNSU</t>
  </si>
  <si>
    <t>SERVICIO ESPECIALIZADO EN CONTRATACIONES DEL ESTADO PARA REALIZAR, GESTIONAR Y CONDUCIR PROCEDIMIENTOS DE SELECCION PARA EL AREA DE ABASTECIMIENTO Y CONTROL PATRIMONIAL DEL PNSU</t>
  </si>
  <si>
    <t>CHICCHON VERASTEGUI PABLO MIGUEL-09606912</t>
  </si>
  <si>
    <t>INFORME RELACIONADO A  EN CONTRATACIONES DEL ESTADO PARA REALIZAR, GESTIONAR Y CONDUCIR PROCEDIMIENTOS DE SELECCION PARA EL AREA DE ABASTECIMIENTO Y CONTROL PATRIMONIAL DEL PNSU</t>
  </si>
  <si>
    <t>SERVICIO ESPECIALIZADO EN PROYECTOS PARA LA GESTION Y SEGUIMIENTO DE LA ELABORACION DEL ESTUDIO DE PRE INVERSION DE LA CIUDAD DE HUANUCO</t>
  </si>
  <si>
    <t>GUTIERREZ CANALES ELIZABETH CARMEN-45747220</t>
  </si>
  <si>
    <t>INFORME RELACIONADO A  EN PROYECTOS PARA LA GESTION Y SEGUIMIENTO DE LA ELABORACION DEL ESTUDIO DE PRE INVERSION DE LA CIUDAD DE HUANUCO</t>
  </si>
  <si>
    <t>SERVICIO PARA LA ELABORACION DEL EXPEDIENTE DE LIQUIDACION FINAL DEL CONTRATO N° 00001-2003/VIVIENDA/VMCS/PARSSA DE LA OBRA: "MEJORAMIENTO Y AMPLIACION DEL SISTEMA DE AGUA POTABLEY ALCANTARILLADO DE LA PROVINCIA DE PASCO</t>
  </si>
  <si>
    <t>SALAZAR SILVA CARLOS GUILLERMO-08063278</t>
  </si>
  <si>
    <t>INFORME RELACIONADO ASERVICIO PARA LA ELABORACION DEL EXPEDIENTE DE LIQUIDACION FINAL DEL CONTRATO N° 00001-2003/VIVIENDA/VMCS/PARSSA DE LA OBRA: "MEJORAMIENTO Y AMPLIACION DEL SISTEMA DE AGUA POTABLEY ALCANTARILLADO DE LA PROVINCIA DE PASCO</t>
  </si>
  <si>
    <t>SERVICIO DE ANALISIS Y EVALUACION DE LA DEMANDA ADICIONAL DEL PRESUPUESTO PARA EL PNSU 2020 - 2022 SEGUIMIENTO DE LA EJECUCION PRESUPUESTARIA DE LOS PROYECTOS DE INVERSION DEL PNSU Y EVALUACION SEMESTRAL DEL PRESUPUESTO 2019</t>
  </si>
  <si>
    <t>INFORME RELACIONADO A ANALISIS Y EVALUACION DE LA DEMANDA ADICIONAL DEL PRESUPUESTO PARA EL PNSU 2020 - 2022 SEGUIMIENTO DE LA EJECUCION PRESUPUESTARIA DE LOS PROYECTOS DE INVERSION DEL PNSU Y EVALUACION SEMESTRAL DEL PRESUPUESTO 2019</t>
  </si>
  <si>
    <t>SERVICIO ESPECIALIZADO PARA EL SEGUIMIENTO DE LOS CONVENIOSSUSCRITOS POR EL PNSU DE CESION Y/O AFECTACION EN USO Y GESTION DE LA REPARACION Y/O MANTENIMIENTO DE LOS EQUIPOS PARA LA ATENCION DE EMERGENCIAS DE LA UMPS</t>
  </si>
  <si>
    <t>ROSALES ALVARADO JESUS-08146333</t>
  </si>
  <si>
    <t>INFORME RELACIONADO A  PARA EL SEGUIMIENTO DE LOS CONVENIOSSUSCRITOS POR EL PNSU DE CESION Y/O AFECTACION EN USO Y GESTION DE LA REPARACION Y/O MANTENIMIENTO DE LOS EQUIPOS PARA LA ATENCION DE EMERGENCIAS DE LA UMPS</t>
  </si>
  <si>
    <t>SERVICIO ESPECIALIZADO PARA SEGUIMIENTO Y REVISION DE INFORMES DE CIERRE DE CONVENIOS PARA MITIGAR Y/O PREVENIR LOS EFECTOS DELFENOMENO DEL NIÑO SUSCRITOS ENTRE EL PNUS Y EPS</t>
  </si>
  <si>
    <t>GARAVITO ZEÑA MARCO ANTONIO-08096807</t>
  </si>
  <si>
    <t>INFORME RELACIONADO A  PARA SEGUIMIENTO Y REVISION DE INFORMES DE CIERRE DE CONVENIOS PARA MITIGAR Y/O PREVENIR LOS EFECTOS DELFENOMENO DEL NIÑO SUSCRITOS ENTRE EL PNUS Y EPS</t>
  </si>
  <si>
    <t>SERVICIO DE ASISTENCIA EN SISTEMA DE INFORMATICA GEOGRAFICA(SIG) PARA LA GEORREFERENCIACION DE PROYECTOS DE AGUA, ALCANTARILLADO Y TRATAMIENTO DE AGUAS RESIDUALES DEL PNSU</t>
  </si>
  <si>
    <t>INFORME RELACIONADO A ASISTENCIA EN SISTEMA DE INFORMATICA GEOGRAFICA(SIG) PARA LA GEORREFERENCIACION DE PROYECTOS DE AGUA, ALCANTARILLADO Y TRATAMIENTO DE AGUAS RESIDUALES DEL PNSU</t>
  </si>
  <si>
    <t>SERVICIO PARA LA ELABORACION DEL EXPEDIENTE DE LIQUIDACION FINAL DEL CONTRATO N° 013-2013-VIVIENDA-VMCS/PNSU/1.0 DE LA OBRA: "SANEAMIENTO DE LAS LOCALIDADES DE TATE, PUEBLO NUEVO Y PACHACUTEC, PROVINCIA Y DEPARTAMENTO DE ICA: SISTEMAS DE AGUA POTABLE, AL</t>
  </si>
  <si>
    <t>INFORME RELACIONADO ASERVICIO PARA LA ELABORACION DEL EXPEDIENTE DE LIQUIDACION FINAL DEL CONTRATO N° 013-2013-VIVIENDA-VMCS/PNSU/1.0 DE LA OBRA: "SANEAMIENTO DE LAS LOCALIDADES DE TATE, PUEBLO NUEVO Y PACHACUTEC, PROVINCIA Y DEPARTAMENTO DE ICA: SISTEMAS DE AGUA POTABLE, AL</t>
  </si>
  <si>
    <t>SERVICIO ESPECIALIZADO EN CONTROL PRESUPUESTAL PARA EL AREADE ABASTECIMIENTO Y CONTROL PATRIMONIAL DEL PNSU</t>
  </si>
  <si>
    <t>SOTO BERNAL MARCO ANTONIO-46303318</t>
  </si>
  <si>
    <t>INFORME RELACIONADO A  EN CONTROL PRESUPUESTAL PARA EL AREADE ABASTECIMIENTO Y CONTROL PATRIMONIAL DEL PNSU</t>
  </si>
  <si>
    <t>SERVICIO DE ASISTENCIA EN SISTEMA DE INFORMACION GEOGRAFICA(SIG) PARA LA GEORREFERENCIACION DE PROYECTOS DE AGUA, ALCANTARILLADO Y TRATAMIENTO DE AGUAS RESIDUALES DEL PROGRAMA NACIONAL DE SANEAMIENTO URBANO - PNSU</t>
  </si>
  <si>
    <t>INFORME RELACIONADO A ASISTENCIA EN SISTEMA DE INFORMACION GEOGRAFICA(SIG) PARA LA GEORREFERENCIACION DE PROYECTOS DE AGUA, ALCANTARILLADO Y TRATAMIENTO DE AGUAS RESIDUALES DEL PROGRAMA NACIONAL DE SANEAMIENTO URBANO - PNSU</t>
  </si>
  <si>
    <t>SERVICIO DE CONSULTORIA INDIVIDUAL PARA LA EVALUACION FINAL DEL PROGRAMA</t>
  </si>
  <si>
    <t>30000005559 - OTSCORP S.A.</t>
  </si>
  <si>
    <t>EVALUACION</t>
  </si>
  <si>
    <t>0089 - Saneamiento Rural</t>
  </si>
  <si>
    <t>UGP PROCOES, SERVICIO DE AUDITORIA EXTERNA PERIODO 2018</t>
  </si>
  <si>
    <t>20112810952 PANEZ CHACALIAZA Y ASOC. S.C.R.LTDA</t>
  </si>
  <si>
    <t>AUDITORIA</t>
  </si>
  <si>
    <t>SERVICIO DE CONSULTORIA PARA FORMULACION DEL ESTUDIO DE PRE INVERSION A NIVEL PERFIL AMPLIACION Y MEJORAMIENTO DE LOS SERVICIOSDE CAPACITACION EN LA INDUSTRIA DE LA CONSTRUCCION DE SENCICO ZONAL TRUJILLO</t>
  </si>
  <si>
    <t>CONSTRUCCIONES NOR ANDINO S.A.C.            RUC: 20477708821</t>
  </si>
  <si>
    <t>FORMULACION DE ESTUDIO DE PRE INVERSION A NIVEL DE PERFIL</t>
  </si>
  <si>
    <t>19 VIVIENDA Y DESARROLLO URBANO</t>
  </si>
  <si>
    <t>SERVICIO DE CONSULTORIA DE OBRA: SERVICIO DE FORMULACION DE EXPEDIENTE TECNICO DE MANTENIMIENTO Y ADECUACION DEL SISTEMA ELECTRICO DE LA SEDE CENTRAL</t>
  </si>
  <si>
    <t>VASQUEZ BARRETO KEVIN ARNOLD 
DNI: 46443207</t>
  </si>
  <si>
    <t>FORMULACION DE EXPEDIENTE TECNICO PARA SISTEMA ELECTRICO SEDE CENTRAL SENCICO</t>
  </si>
  <si>
    <t xml:space="preserve">SERVICIO DE REVISION DE LA FORMULACION DE EXPEDIENTE TECNICO DE MANTENIMIENTO Y ADECUACION DEL SISTEMA ELECTRICO DE LA SEDE </t>
  </si>
  <si>
    <t>JIMENEZ CARLOS ESTEBAN GREGORIO 
DNI: 22284579</t>
  </si>
  <si>
    <t xml:space="preserve">REVISION DE LA FORMULACION DE EXPEDIENTE TECNICO DE MANTENIMIENTO Y ADECUACION DEL SISTEMA ELECTRICO DE LA SEDE </t>
  </si>
  <si>
    <t>SERVICIO DE MUESTREO,ANALISIS Y EVALUACION DE PRESENCIA DE ASBESTOS EN MATERIALES DE COBERTURAS DE TECHOS,PISOS Y AIRE SEDE SAN BORJA.</t>
  </si>
  <si>
    <t>ABELLO CONSULTORES S.A.C. 
RUC: 20558603357</t>
  </si>
  <si>
    <t>CONSULTORÍA PARA LA MIGRACIÓN DE LA INFORMACIÓN CONTABLE PATRIMONIAL DE LOS ACTIVOS FIJOS E INMUEBLES DEL SENCICO AL MÓDULO PATRIMONIO DEL SISTEMA SIGA MEF Y SU PUESTA EN FUNCIONAMIENTO.</t>
  </si>
  <si>
    <t>LOYOLA LOYOLA VIOLETA ROSARIO
DNI: 21288388</t>
  </si>
  <si>
    <t>REGISTRO Y ACTUALIZACIÓN DE LOS BIENES PATRIMONIALES PERIODO ENE-JUL 2019</t>
  </si>
  <si>
    <t xml:space="preserve">SERVICIO DE CONSULTORÍA DE ANÁLISIS DE RACIONALIZACIÓN Y PROPUESTA ESTRUCTURADA DE PERSONAL EN EL SERVICIO NACIONAL DE CAPACITACIÓN PARA LA INDUSTRIA DE LA CONSTRUCCIÓN – SENCICO. </t>
  </si>
  <si>
    <t xml:space="preserve">TAMASHIRO &amp; RAMIREZ CONSULTORES SRLTDA
RUC: 20349248132         </t>
  </si>
  <si>
    <t>INFORME TÉCNICO DE LA PROPUESTA DE ESTRUCTURA DE PERSONAL PARA SENCICO CONSIDERANDO A LOS ÓRGANOS Y UNIDADES ORGÁNICAS DE LA SEDE CENTRAL Y LAS SEDES DE SAN BORJA, LOS OLIVOS Y CHORRILLOS.</t>
  </si>
  <si>
    <t>SERVICIO DE CONSULTORIA PARA ASISTIR EN EL DIAGNOSTICO PARA LA ADECUACION DE ESCUELA SUPERIOR TECNICA DEL SENCICO.</t>
  </si>
  <si>
    <t>CALADO BRYCE ALVARO ANDRES
DNI: 40484788</t>
  </si>
  <si>
    <t>ELABORAR EL DIAGNÓSTICO SITUACIONAL DE LA INSTITUCIÓN, DE ACUERDO A LO DISPUESTO POR LAS NORMAS EMITIDAS POR EL MINISTERIO DE EDUCACIÓN Y PROVEER UNA ESTRATEGIA CONTEXTUALIZADA A LA REALIDAD DE LA INSTITUCIÓN.</t>
  </si>
  <si>
    <t>22 EDUCACION</t>
  </si>
  <si>
    <t>SERVICIO DE CONSULTORIA PARA EVALUACION DE LODOS DE LOS NUCLEOS SANITARIOS BASON EN IQUITOS.</t>
  </si>
  <si>
    <t xml:space="preserve">CRONOS HEALTH SAFE ENVIROMENT AND QUALITY S.A.C. - CRONOS HSEQ S.A.C.
RUC: 20600323327         </t>
  </si>
  <si>
    <t>INFORME TECNICO DE LA VISITA, RESLTADOS DE PRUEBA DE LABORATORIO Y EVALUACION DE LODOS DE LOS NUCLEOS SANITARIOS BASON.
INFORME TECNICO DE LA VISITA, RESULTADOS DE PRUEBA DE LABORATORIO Y EVALUACION DE LODOS DE LOS NUCLEOS SANITARIOS BASON.</t>
  </si>
  <si>
    <t>SERVICIO DE CONSULTORIA PARA LA ELABORACION DE EXPEDIENTE TECNICO PARA LA APLICACION DE METODOLOGIAS DE REFORZAMIENTO SISMICO EN MUROS DE ALBAÑILERIA CONFINADA EN VILLA MARIA DEL TRIUNFO</t>
  </si>
  <si>
    <t>YALLICO LUQUE RAMIRO RUBEN
DNI: 70272720</t>
  </si>
  <si>
    <t>REALIZAR LA EVALUACION ESTRUCTURAL DE LAS VIVIENDAS SELECCIONADAS EN EL DISTRITO DE VILLA MARIA DEL TRIUNFO. LA EVALUACION ESTRUCTURAL INCLUYE ENSAYOS DE LABORATORIO Y EL MODELAMIENTO NUMERICO DE LAS VIVIENDAS, ASI COMO LA DESCRIPCION DEL COMPORTAMIENTO SISMICO DE LAS VIVIENDAS.
ELABORACION DEL EXPEDIENTE TECNICO DEL REFORZAMIENTO DE LAS VIVIENDAS SELECCIONADAS</t>
  </si>
  <si>
    <t>SERVICIO DE CONSULTORÍA DE LIMPIEZA ELECTROQUÍMICA DE PROBETAS DE ENSAYO.</t>
  </si>
  <si>
    <t>MAZA MEJIA ILY MARILU
DNI: 10509227</t>
  </si>
  <si>
    <t xml:space="preserve">INFORME FINAL QUE DESCRIBE LOS PROCEDIMIENTOS DE DESENGRASADO Y ENJUAGUE CON SOLUCIONES DE LIMPIEZA QUÍMICA </t>
  </si>
  <si>
    <t>SERVICIO DE CONSULTORIA PARA EL MONITOREO, SEGUIMIENTO Y CONTROL DEL ESTUDIO DE CORROSION ATMOSFERICA EN LIMA METROPOLITANA.</t>
  </si>
  <si>
    <t>MOSQUERA LEIVA LUIS ALBERTO
DNI:08575212</t>
  </si>
  <si>
    <t xml:space="preserve">UBICACION PRELIMINAR DE LAS ESTACIONES DE MONITOREO DE CORROSION EN LIMA METROPOLITANA, ASI COMO LOS REQUERIMIENTOS MINIMOS PARA LA IMPLEMENTACION.
INFORME GENERAL DE LA METODOLOGIA A APLICARSE EN EL ESTUDIO DE CORROSION ATMOSFERICA EN LIMA METROPOLITANA.
PROTOCOLOS DE MONITOREO DE LA CORROSION.
ESPECIFICACIONES TECNICAS DE LAS ESTACIONES DE MONITOREO DE CORROSION.
DEFINICION DEL TIPO DE MATERIAL DE LOS ESPECIMENES DE ENSAYO.
UBICACION DE LAS ESTACIONES DE MONITOREO DE LA CORROSION EN LIMA METROPOLITANA.
DEFINICION DE CRITERIOS TECNICOS PARA LA IMPLEMENTACION DE ESTACIONES DE MONITOREO DE LA CORROSION EN LIMA METROPOLITANA.
DEFINICION DE CRITERIOS TECNICOS PARA LA IMPLEMENTACION DE ESTACIONES METEOROLOGICAS BASICAS EN LIMA METROPOLITANA.
INFORME DE SUPERVISION DE LA IMPLEMENTACION DE ESTACIONES DE MONITOREO DE LA CORROSION EN LIMA METROPOLITANA.
INFORME FINAL DEL SERVICIO, EL CUAL CONTIENE CONCLUSIONES Y RECOMENDACIONES PARA LA ELABORACION DEL ESTUDIO.
                                                  </t>
  </si>
  <si>
    <t>Servicio de Consultoria para el levantamiento de informacion técnica de los proyectos de investigacion aplicada a construccion y saneamiento (primer concurso SENCICO-CONCYTEC).</t>
  </si>
  <si>
    <t>GUERRA LOYOLA KEVIN NELSON
DNI: 47815890</t>
  </si>
  <si>
    <t>INFORME TECNICO CON EL ESTADO SITUACIONAL DE LOS 6 PROYECTOS GANADORES DEL PRIMER CONCURSO DEL "PROYECTOS DE INVESTIGACION APLICADA EN CONSTRUCCION Y SANEAMIENTO"</t>
  </si>
  <si>
    <t>SERVICIO DE CONSULTORIA DE INSTALACIÓN DE MONITORES DE CONTAMINANTES SALINOS.</t>
  </si>
  <si>
    <t>LOPEZ CISNEROS DE CASTILLO ROSARIO CRISTINA
DNI: 09911863</t>
  </si>
  <si>
    <t>los procedimientos de instalación de los monitores de contaminantes salinos, incluye fotos de instalación y descripción de los materiales utilizados</t>
  </si>
  <si>
    <t>SERVICIO DE CONSULTORIA PARA LA RECOPILACION, VALIDACION Y SISTEMATIZACION DE PERFILES DEL SUELO EN BASE A LA VELOCIDAD DE ONDAS CORTE.</t>
  </si>
  <si>
    <t>ORTIZ SALAS CARMEN ELEANA
DNI: 23950470</t>
  </si>
  <si>
    <t>RECOPILIAICION, VALIDACION Y SIST. PERFILES DEL SUELO EN BASE A LA VELOCIDAD ONDAS DE CORTE</t>
  </si>
  <si>
    <t xml:space="preserve">SERVICIO DE CONSULTORIA PARA LA ELABORACION DE ARTICULO TECNICO REFERIDO A ENSAYO DE CARGA LATERAL EN MUROS. </t>
  </si>
  <si>
    <t>DIAZ FIGUEROA MIGUEL AUGUSTO
DNI: 42716955</t>
  </si>
  <si>
    <t>REVISION Y SISTEMATIZACION DE LAS INVESTIGACIONES REALIZADAS POR GESTION DE LA GERENCIA DE INVESTIGACION Y NORMALIZACION REALIZADOS EN EL AÑO 2017, ENSAYOS ESTRUCTURALES PARA DETERMINAR EL COMPORTAMIENTO DINAMICO SISMICO DE MUROS DE ALBAÑILERIA CONFINADA, ALBAÑILERIA INFORMAL Y MUROS DE DUCTIBILIDAD LIMITADA</t>
  </si>
  <si>
    <t>SERVICIO DE CONSULTORIA PARA EL DISEÑO DEL SISTEMA DE REFORZAMIENTO SISMICO EN MUROS DE ALBAÑILERIA CONFINADA EN LOS DISTRITOS DE VILLA EL SALVADOR Y VILLA MARIA DEL TRIUNFO.</t>
  </si>
  <si>
    <t>TARQUE RUIZ  SABINO NICOLA
DNI: 40225394</t>
  </si>
  <si>
    <t>INFORME SOBRE VISITAS TECNICAS DE INSPECCION A LAS VIVIENDAS SELECCIONADAS.
. RECOMENDACIONES PARA LA SELECCION DE LA TECNICA DE REFORZAMIENTO A APLICAR EN LAS VIVIENDAS SELECCIONADAS.
. EXPEDIENTES TECNICOS APROBADOS, PARA EL REFORZAMIENTO DE LAS VIVIENDAS SELECCIONADAS.
. IRECOMENDACIONES TECNICAS PARA LA APLICACION DE LOS SISTEMAS DE REFORZAMIENTO</t>
  </si>
  <si>
    <t>SERVICIO DE CONSULTORIA PARA LA ELABORACION DE EXPEDIENTE TECNICO PARA LA APLICACION DE METODOLOGIAS DE REFORZAMIENTO SISMICO EN MUROS DE ALBAÑILERIA CONFINADA EN VILLA EL SALVADOR.</t>
  </si>
  <si>
    <t>MANCHEGO MEZA JUAN ALFREDO
DNI 45135839</t>
  </si>
  <si>
    <t>REALIZAR LA EVALUACION ESTRUCTURAL DE LAS VIVIENDAS SELECCIONADAS EN EL DISTRITO DE VILLA EL SALVADOR. LA EVALUACION ESTRUCTURAL INCLUYE ENSAYOS DE LABORATORIO Y EL MODELAMIENTO NUMERICO DE LAS VIVIENDAS, ASI COMO LA DESCRIPCION DEL COMPORTAMIENTO SISMICO EN LAS VIVIENDAS.
ELABORACION DEL EXPEDIENTE TECNICO DE REFORZAMIENTO DE LAS VIVIENDAS SELECCIONADAS.</t>
  </si>
  <si>
    <t>SERVICIO DE CONSULTORIA PARA LA REALIZACION DEL ESTUDIO DE MECANICA DE SUELOS EN VIVIENDAS SELECCIONADAS EN LOS DISTRITOS DE VILLA MARIA DEL TRIUNFO Y VILLA EL SALVADOR.</t>
  </si>
  <si>
    <t>RONCAL CASTRO MIGUEL ANGEL
DNI: 45847241</t>
  </si>
  <si>
    <t>LA ELABORACION DEL EXPEDIENTE TECNICO RELACIONADO AL MODELAMIENTO Y CARACTERISTICAS DEL SUELO</t>
  </si>
  <si>
    <t>SERVICIO DE CONSULTORÍA EN ANÁLISIS SOBRE NEGOCIACIÓN COLECTIVA</t>
  </si>
  <si>
    <t>SEMINARIO BOHORQUEZ PAULO NICANOR
DNI: 19950476</t>
  </si>
  <si>
    <t xml:space="preserve">ABSOLUCIÓN DE CONSULTA TÉCNICO LEGAL RESPECTO DE LA NEGOCIACIÓN COLECTIVA DESDE EL 2015 AL 2019. ASIMISMO, SUS ALCANCES EN RELACIÓN A LOS SERVIDORES AL D.L N° 1057, EN CUANTO AL OTORGAMIENTO DE PAVOS Y PANETONES EN EL MES DE DICIEMBRE DESDE EL AÑO 2008 Y POSTERIORMENTE POR NEGOCIACIONES COLECTIVAS                            </t>
  </si>
  <si>
    <t>CONSULTORIA JURIDICA PARA LA ELABORACION DE UNA PROPUESTA DE PLAN DE DESARROLLO FUTURO DEL SENCICO AL AÑO 2030.</t>
  </si>
  <si>
    <t xml:space="preserve">INGENIERIA Y SERVICIOS TECNOLOGICOS S.A.C.
RUC: 20126351250         </t>
  </si>
  <si>
    <t>PLAN DE DESARROLLO FUTURO DEL SENCICO EN EL HORIZONTE DEL AÑO 2021, 2025 Y 2030</t>
  </si>
  <si>
    <t>SERVICIO DE CONSULTORIA PARA LA ELABORACION DEL PLANTEAMIENTO DE LAS INSTALACIONES SANITARIAS DEL ESTUDIO DE PRE INVERSION: "MEJORAMIENTO Y AMPLIACION DE LOS SERVICIOS DE CAPACITACION PARA LA INDUSTRIA DE LA CONSTRUCCION DEL C.F. LOS OLIVOS - SENCICO, DISTRITO DE LOS OLIVOS, PROVINCIA DE LIMA, REGION LIMA".</t>
  </si>
  <si>
    <t>SUAREZ JANAMPA HENRY ANDRE
DNI: 45926206</t>
  </si>
  <si>
    <t>LINEAMIENTO DEL PROGRAMA DE IMPLEMENTACION DEL PLAN DE DESARROLLO FUTURO DEL SENCICO EN EL HORIZONTE DEL AÑO 2021, 2025 Y 2030</t>
  </si>
  <si>
    <t>SERVICIO DE CONSULTORIA: ELABORACION DEL PLANTEAMIENTO DE LAS INSTALACIONES ELECTRICAS Y REDES DE DATA DEL ESTUDIO DE PRE INVERSION: "MEJORAMIENTO Y AMPLIACION DE LOS SERVICIOS DE CAPACITACION PARA LA INDUSTRIA DE LA CONSTRUCCION DEL C.F. LOS OLIVOS - SENCICO, DISTRITO DE LOS OLIVOS, PROVINCIA DE LIMA, REGION LIMA".</t>
  </si>
  <si>
    <t>MUÑOZ MORALES ELVIS
DNI: 43101046</t>
  </si>
  <si>
    <t xml:space="preserve">PLANTEAMIENTO DE LAS INSTALACIONES ELECTRICAS (ALUMBRADO, TOMACORRIENTES, COMUNICACION Y REDES DE DATA, DIAGRAMA UNIFILAR, CUADRO DE CARGAS) PARA EL PROYECTO DE INVERSION DE MEJORA DEL CENTRO DE FORMACION LOS OLIVOS                       </t>
  </si>
  <si>
    <t xml:space="preserve">SERVICIO DE CONSULTORIA IMPLEMENTACIÓN DEL EJE GESTIÓN DE RIESGOS DE LOS OBJETIVOS ESTRATEGICOS N° 01 Y N° 02. </t>
  </si>
  <si>
    <t xml:space="preserve">AMS CONSULTING S.A.C.
RUC: 20507668021         </t>
  </si>
  <si>
    <t>PRODUCTO EL PLAN DE ACCIÓN ANUAL - SECCIÓN MEDIDAS DE CONTROL</t>
  </si>
  <si>
    <t>SERVICIO DE CONSULTORIA PARA LA ELABORACION DEL ESTUDIO DE MECANICA DE SUELOS CON FINES DE CIMENTACION (GEOTECNICO) PARA EL ESTUDIO DE PRE INVERSION: "MEJORAMIENTO Y AMPLIACION DE LOS SERVICIOS DE CAPACITACION DE LA GERENCIA ZONAL SENCICO CUSCO, DISTRITO WANCHAQ, PROVINCIA CUSCO, DEPARTAMENTO CUSCO".</t>
  </si>
  <si>
    <t>SILVERA REYNAGA BANCETTY
DNI: 41978196</t>
  </si>
  <si>
    <t xml:space="preserve">INFORME DEL ESTUDIO DE MECANICA DE SUELOS (GEOTECNICO) DE ZONA DEL PROYECTO CON FINES DE CIMENTACION EN EL TERRENO DE SENCICO                                                                 </t>
  </si>
  <si>
    <t>SERVICIO DE CONSULTORIA PARA EL DESARROLLO DEL PLANTEAMIENTO ESTRUCTURAL DEL ESTUDIO DE PRE INVERSION: "MEJORAMIENTO Y AMPLIACION DE LOS SERVICIOS DE CAPACITACION PARA LA INDUSTRIA DE LA CONSTRUCCION DEL C.F. LOS OLIVOS - SENCICO, DISTRITO DE LOS OLIVOS, PROVINCIA DE LIMA, REGION LIMA"</t>
  </si>
  <si>
    <t>GUILLEN MEDINA CAMILO
DNI: 29596944</t>
  </si>
  <si>
    <t xml:space="preserve">PLANTEAMIENTO ESTRUCTURAL DEL PROYECTO DE INVERSION PARA EL CENTRO DE FORMACION DE LOS OLIVOS  - </t>
  </si>
  <si>
    <t>CONSULTORIA PARA LA ELABORACION DE UN PROYECTO DE LEY QUE DEFINA LA NATURALEZA JURIDICA DE SENCICO.</t>
  </si>
  <si>
    <t>PARCO RAMIREZ GINA
DNI: 43417508</t>
  </si>
  <si>
    <t>- ANALIZAR LOS DOCUMENTOS DE GESTIÓN VIGENTES TALES COMO EL PLAN ESTRATÉGICO INSTITUCIONAL – PEI Y SU ARTICULACIÓN CON EL PLAN ESTRATÉGICO SECTORIAL MULTIANUAL – PESEM, PLAN OPERATIVO INSTITUCIONAL – POI, ROF, ESTATUTO VIGENTE DEL SENCICO, PRESUPUESTO INSTITUCIONAL, RÉGIMEN LABORAL O CONTRACTUAL DEL PERSONAL DE LA ENTIDAD, ENTRE OTROS</t>
  </si>
  <si>
    <t xml:space="preserve">SERVICIO DE CONSULTORIA DE FORMULACION DEL ESTUDIO DE PRE INVERSION A NIVEL PERFIL DEL PROYECTO CONSTRUCCION DE LOS SERVICIOS DE CAPACITACION DE LA INDUSTRIA DE LA CONSTRUCCION - CENTRO DE FORMACION SENCICO NUEVO CHIMBOTE, DISTRITO DE NUEVO CHIMBOTE, PROVINCIA DE SANTA, DEPARTAMENTO DE ANCASH"
</t>
  </si>
  <si>
    <t>WALTER FELIX LEIVA COLLAZOS
DNI: 31674464</t>
  </si>
  <si>
    <t>- ANALIZAR Y DOCUMENTAR LA BRECHA EXISTENTE ENTRE LOS OBJETIVOS INSTITUCIONALES VIGENTES Y LOS OBJETIVOS QUE LA ALTA DIRECCIÓN DEFINA, EN COORDINACIÓN CON EL MVCS;</t>
  </si>
  <si>
    <t xml:space="preserve"> CONSULTORIA PARA LA ELABORACION DE ESTRATEGIA Y ASISTENCIA EN EL DESARROLLO DE ACCIONES RELACIONADAS A LA ADECUCACION DE LA EST DEL SENCICO.</t>
  </si>
  <si>
    <t>- PROYECTAR LA CAPACIDAD OPERATIVA, ENTRE LO QUE SE VIENE HACIENDO Y LO QUE SE PIENSA HACER, ELLO IMPLICA UN ANÁLISIS DE PROCESOS, DE RECURSOS FINANCIEROS, DE PERSONAL Y DE INFRAESTRUCTURA;</t>
  </si>
  <si>
    <t>SERVICIO DE CONSULTORIA PARA LA IMPLEMENTACION Y FORTALECIMIENTO DEL SISTEMA DE CONTROL INTERNO EN EL OTASS</t>
  </si>
  <si>
    <t>TABOADA BORMIOLI &amp; ASOCIADOS S.R.L (20604142629)</t>
  </si>
  <si>
    <t>DIAGNOSTICO DELEJE DE LA CULTURA ORGANIZACIONAL  Y DEL EJE DE GESTIÓN DE RIESGOS.</t>
  </si>
  <si>
    <t>SANEAMIENTO</t>
  </si>
  <si>
    <t>SERVICIO DE CONSULTORIA RESPECTO A LAS DETERMINANTES DE LA SOSTENIBILIDAD DE ENTIDADES PRESTADORAS DE SERVICIOS DE SANEAMIENTO</t>
  </si>
  <si>
    <t>GERENS ESCUELA DE GESTION Y ECONOMIA S.A (20419081907)</t>
  </si>
  <si>
    <t>OPINIÓN TÉCNICA SOBRE LAS DETERMINANTES DE LA SOSTENIBILIDAD ECONÓMICO - FINANCIERA DE LAS EMPRESAS PRESTADORAS DE SERVICIOS DE SANEAMIENTO (EPS).</t>
  </si>
  <si>
    <t>SERVICIO DE CONSULTORÍA PARA LA ELABORACIÓN DEL MANUAL DE PROCEDIMIENTOS - MAPRO DEL OTASS</t>
  </si>
  <si>
    <t>FERNANDEZ AGUILAR LUIS ALBERTO (09154889)</t>
  </si>
  <si>
    <t>SERVICIO DE CONSULTORÍA PARA LA ELABORACIÓN DEL MANUAL DE PROCEDIMIENTOS - MAPRO DEL OTASS, EN EL MARCO DE LA IMPLEMENTACIÓN DE LA GESTIÓN POR PROCESOS DE LA ENTIDAD.</t>
  </si>
  <si>
    <t>SERVICIO DE EVALUACION  Y ELABORACIÓN DE DIAGNOSTICO PARA LA DETERMINACION DE CARTERA DE INVERSIONES PARA LA REHABILITACION DE CAPTACIONES DE AGUA SUBTERRANEA POR BOMBEO</t>
  </si>
  <si>
    <t>EVALUACION  Y ELABORACIÓN DE DIAGNOSTICO PARA LA DETERMINACION DE CARTERA DE INVERSIONES PARA LA REHABILITACION DE CAPTACIONES DE AGUA SUBTERRANEA POR BOMBEO EN LOS DISTRITOS DE CHICLAYO, FERREÑAFE, LAMBAYEQUE, NUEVO TUMBES, ZARUMILLA, AGUAS VERDES, PAPAYAL, CANOAS DE PUNTA SAL.</t>
  </si>
  <si>
    <t>CONSULTORIA DISEÑO HIDRÁHULICO DE PLANTA DE TRATAMIENTO DE AGUA POTABLE (PTAP) DE EPSEL Y EPSS</t>
  </si>
  <si>
    <t>MALDONADO YACTAYO VICTOR ANTONIO (06604395)</t>
  </si>
  <si>
    <t>DISEÑO HIDRÀULICO DE PLANTAS DE TRATAMIENTO DE AGUA POTABLE (PTAP) DE EPS EPSEL Y EPS SEDALORETO</t>
  </si>
  <si>
    <t>CONSULTORIA PARA LA IMPLEMENTACION DE LA NTP ISO/IEC 27001:2014</t>
  </si>
  <si>
    <t>I-SEC INFORMATION SECURITY DEL PERU S.A.C. (20511546819)</t>
  </si>
  <si>
    <t xml:space="preserve"> IMPLEMENTACION DE LA NTP ISO/IEC 27001:2014</t>
  </si>
  <si>
    <t>CONSULTORIA PARA INFORME DE SEGURIDAD PARA EL EDIFICIO COFOPRI SAN ISIDRO</t>
  </si>
  <si>
    <t>GESTION EN SEGURIDAD CORPORATIVA S.A.C (20536245457)</t>
  </si>
  <si>
    <t>INFORME DE SEGURIDAD PARA EL EDIFICIO COFOPRI SAN ISIDRO</t>
  </si>
  <si>
    <t>CONSULTORIA PARA INFORME TECNICO DE SEGURIDAD LOCAL LA MOLINA</t>
  </si>
  <si>
    <t>INFORME TECNICO DE SEGURIDAD LOCAL LA MOLINA</t>
  </si>
  <si>
    <t xml:space="preserve">TOTAL </t>
  </si>
  <si>
    <t>(*) EL PRODUCTO QUE SE ADQUIERE</t>
  </si>
  <si>
    <t>(**) LA ESPECIALIDAD TOMANDO ENCUENTA HACIENDO REFERENCIA UNA O MAS DE LAS 25 FUNCIONES DEL CLASIFICADOR FUNCIONAL PROGRAMATICO</t>
  </si>
  <si>
    <t>FORMATO 16: TESORERIA - RESUMEN POR GRUPO GENERICO Y FUENTES DE FINANCIAMIENTO 2019 Y 2020</t>
  </si>
  <si>
    <t>SECTOR : 37 VIVIENDA, CONSTRUCCION Y SANEAMIENTO</t>
  </si>
  <si>
    <t>ESPECIFICACIONES RECURSOS PUBLICOS</t>
  </si>
  <si>
    <t>UNIDAD EJECUTORA</t>
  </si>
  <si>
    <t>CUENTAS BANCARIAS</t>
  </si>
  <si>
    <t>BANCO / INSTITUCIÓN FINANCIERA</t>
  </si>
  <si>
    <t>CUENTA</t>
  </si>
  <si>
    <t>FECHA DE APERTURA</t>
  </si>
  <si>
    <t>MONEDA</t>
  </si>
  <si>
    <t>SALDO 2019 (*)</t>
  </si>
  <si>
    <t>SALDO 2020 (**)</t>
  </si>
  <si>
    <t>Pliego: 037 MINISTERIO DE VIVIENDA, CONSTRUCCIÓN Y SANEAMIENTO</t>
  </si>
  <si>
    <t>Unidad Ejecutora: 001-1082: MINISTERIO DE VIVIENDA, CONSTRUCCIÓN Y SANEAMIENTO - ADM. GENERAL</t>
  </si>
  <si>
    <t>SUBCUENTA DE GASTO</t>
  </si>
  <si>
    <t>UE 001-1082-MVCS</t>
  </si>
  <si>
    <t>BANCO DE LA NACION</t>
  </si>
  <si>
    <t>SOLES</t>
  </si>
  <si>
    <t>RDR RECAUDADORA BCO. NACIÒN</t>
  </si>
  <si>
    <t>00-000-296201</t>
  </si>
  <si>
    <t>DETRACCIONES</t>
  </si>
  <si>
    <t>00-068-134277</t>
  </si>
  <si>
    <t>IMPTO. PREDIAL TRES POR MIL</t>
  </si>
  <si>
    <t>00068-337844</t>
  </si>
  <si>
    <t>RDR CUT</t>
  </si>
  <si>
    <t>09R7TR</t>
  </si>
  <si>
    <t xml:space="preserve">       OFICIALES DE CRED. EXTERNO</t>
  </si>
  <si>
    <t>ROOC ENDEUDAMIENTO BONOS</t>
  </si>
  <si>
    <t>19RFTR</t>
  </si>
  <si>
    <t>DONACIONES TIM</t>
  </si>
  <si>
    <t>BANCO DE LA NACION - DONACION</t>
  </si>
  <si>
    <t>00-000-876887</t>
  </si>
  <si>
    <t>ADM.GRAL APOYO CENTROS HISTORICOS-AECID</t>
  </si>
  <si>
    <t>00-068-323533</t>
  </si>
  <si>
    <t>ADM. GRAL - PML-PIMBP-DNV</t>
  </si>
  <si>
    <t>BANCO DE LA NACION - TRANSFER</t>
  </si>
  <si>
    <t>00-068-222230</t>
  </si>
  <si>
    <t>ADM. GRAL. GOBIERNOS LOCALES</t>
  </si>
  <si>
    <t>00-068-229294</t>
  </si>
  <si>
    <t>TRANSFERENCIA FINANCIERA PROVIAS</t>
  </si>
  <si>
    <t>13R18TR</t>
  </si>
  <si>
    <t>TRANSFERENVIA FINANCIERA JGOS .PANAMERICANOS</t>
  </si>
  <si>
    <t>TRANSFERENCIA FINANCIERA FONAFE-PCM</t>
  </si>
  <si>
    <t>13R16TR</t>
  </si>
  <si>
    <t>FDO.INTERV, ANTE OCURERENCIA  DESASTRES</t>
  </si>
  <si>
    <t>18R24TR</t>
  </si>
  <si>
    <t>PARTICIPACIONES FONDO FONIE</t>
  </si>
  <si>
    <t>18R15TR</t>
  </si>
  <si>
    <t>PARTICIPACIONES FORSUR</t>
  </si>
  <si>
    <t>18RTTR</t>
  </si>
  <si>
    <t xml:space="preserve">    - OTROS (ESPECIFIQUE)</t>
  </si>
  <si>
    <t>MONTO TOTAL:</t>
  </si>
  <si>
    <t>Unidad Ejecutora: 004-1085: PROGRAMA NACIONAL DE SANEAMIENTO URBANO</t>
  </si>
  <si>
    <t xml:space="preserve">0000-301175-FONDES </t>
  </si>
  <si>
    <t>0000-301175- CONTINUIDAD</t>
  </si>
  <si>
    <t xml:space="preserve">0000-301175-FDO. CT. RECONT. </t>
  </si>
  <si>
    <t xml:space="preserve">0000-301175-FDO. CONT. </t>
  </si>
  <si>
    <t>0000-296244</t>
  </si>
  <si>
    <t>6000-029821</t>
  </si>
  <si>
    <t>DOLARES</t>
  </si>
  <si>
    <t xml:space="preserve">000-301175- RDR CUT </t>
  </si>
  <si>
    <t>000-301175- BONOS</t>
  </si>
  <si>
    <t>OFICIALES DE CRED. EXTERNO</t>
  </si>
  <si>
    <t>000-301175- ROCC -12</t>
  </si>
  <si>
    <t>000-301175- ROCC -11</t>
  </si>
  <si>
    <t>000-301175-ROOC -16</t>
  </si>
  <si>
    <t>00-068-382319</t>
  </si>
  <si>
    <t>06-068-002301</t>
  </si>
  <si>
    <t xml:space="preserve">6000-034612 </t>
  </si>
  <si>
    <t>EUROS</t>
  </si>
  <si>
    <t xml:space="preserve">00-68-282128 </t>
  </si>
  <si>
    <t>000-301175- FONNIE</t>
  </si>
  <si>
    <t>000-301175- RD</t>
  </si>
  <si>
    <t>000-301175- FORSUR</t>
  </si>
  <si>
    <t xml:space="preserve">Unidad Ejecutora: 005-1443 PROGRAMA NACIONAL DE SANEAMIENTO RURAL </t>
  </si>
  <si>
    <t xml:space="preserve">     SUBCUENTA - RECURSOS ORDINARIOS</t>
  </si>
  <si>
    <t>UE 005: 1443 PNSR</t>
  </si>
  <si>
    <t>00-068-317045</t>
  </si>
  <si>
    <t>JULIO 2012</t>
  </si>
  <si>
    <t xml:space="preserve">     SUBCUENTA - FDO. INTERV. DESASTRES NAT.  "FONDES"</t>
  </si>
  <si>
    <t>MEF - TESORO PUBLICO - CUT</t>
  </si>
  <si>
    <t>00R14TR</t>
  </si>
  <si>
    <t>MAYO 2018</t>
  </si>
  <si>
    <t xml:space="preserve">     SUBCUENTA - CONTINUIDAD DE INVERSIONES GOB. LOCALES Y OTROS</t>
  </si>
  <si>
    <t>00R6TR</t>
  </si>
  <si>
    <t>MARZO 2019</t>
  </si>
  <si>
    <t xml:space="preserve">     SUBCUENTA - FONDO PARA LA CONTINUIDAD DE LA RECONSTRUCION CON CAMBIOS (RO)</t>
  </si>
  <si>
    <t>00R17TR</t>
  </si>
  <si>
    <t>FEBRERO 2020</t>
  </si>
  <si>
    <t xml:space="preserve">     SUB CUENTA - FONDO PARA LA CONTINUIDAD DE LAS INVERSIONES (RO)</t>
  </si>
  <si>
    <t>00R18TR</t>
  </si>
  <si>
    <t>MARZO 2020</t>
  </si>
  <si>
    <t>2. RECURSOS DIRECTAMENTE RECAUDADOS</t>
  </si>
  <si>
    <t xml:space="preserve">    SUB CUENTA - RECURSOS DIRECTAMENTE RECAUDADOS</t>
  </si>
  <si>
    <t>ENERO 2013</t>
  </si>
  <si>
    <t xml:space="preserve">    PNSR - RECURSOS DIRECTAMENTE RECAUDADOS</t>
  </si>
  <si>
    <t>00-068-317304</t>
  </si>
  <si>
    <t>3.- RECURSOS OPERACIONES OFICIALES DE CRÉDITO</t>
  </si>
  <si>
    <t xml:space="preserve">  - INTERNO</t>
  </si>
  <si>
    <t xml:space="preserve">    PNSR - SUB CUENTA - ENDEUDAMIENTO- BONOS </t>
  </si>
  <si>
    <t>ABRIL 2017</t>
  </si>
  <si>
    <t xml:space="preserve">    PNSR - SUB CUENTA - CONTINUIDAD DE INVERSIONES</t>
  </si>
  <si>
    <t>19R15TR</t>
  </si>
  <si>
    <t>ABRIL 2018</t>
  </si>
  <si>
    <t xml:space="preserve">    PNSR - SUB CUENTA - FDO. INTERV. ANTE LA OCURRENCIA DE DESASTRES NATURALES (ROOC)</t>
  </si>
  <si>
    <t>19R12TR</t>
  </si>
  <si>
    <t>19R16TR</t>
  </si>
  <si>
    <t xml:space="preserve">  - EXTERNO</t>
  </si>
  <si>
    <t xml:space="preserve">    PNSR - AMAZONIA RURAL PE - P38 CTA. ESPECIAL A</t>
  </si>
  <si>
    <t>00-068-317649</t>
  </si>
  <si>
    <t xml:space="preserve">    PNSR - AMAZONIA RURAL PE - P38 CTA. ESPECIAL B</t>
  </si>
  <si>
    <t>00-068-317657</t>
  </si>
  <si>
    <t>06-068-000236</t>
  </si>
  <si>
    <t>DÓLARES AMERICANOS</t>
  </si>
  <si>
    <t>06-068-000244</t>
  </si>
  <si>
    <t xml:space="preserve">    PNSR - PIASAR - PRESTAMO BID 4442-OC-PE</t>
  </si>
  <si>
    <t>06-068-001941</t>
  </si>
  <si>
    <t>OCTUBRE 2018</t>
  </si>
  <si>
    <t>00-068-380316</t>
  </si>
  <si>
    <t xml:space="preserve">    PNSR - DONACIONES - AGENCIA ESPAÑOLA DE COOPERACION INTERNACIONAL PARA EL DESARROLLO (AECID)</t>
  </si>
  <si>
    <t>13R10TR</t>
  </si>
  <si>
    <t xml:space="preserve">    PNSR - TRANSF. GOBIERNO LOCALES</t>
  </si>
  <si>
    <t>00-068-317800</t>
  </si>
  <si>
    <t xml:space="preserve">    PNSR - TRANSF. GOBIERNO REGIONAL</t>
  </si>
  <si>
    <t>00-068-317797</t>
  </si>
  <si>
    <t xml:space="preserve">    PNSR - PLAN BINACIONAL PERÚ - ECUADOR DONACIONES</t>
  </si>
  <si>
    <t>06-068-000198</t>
  </si>
  <si>
    <t>00-068-317142</t>
  </si>
  <si>
    <t xml:space="preserve">    - CANON  Y  SOBRECANON, REGALÍAS Y PARTICIPACIONES</t>
  </si>
  <si>
    <t xml:space="preserve">    SUBCUENTA - PARTICIPACIONES FONDO 'FONIE' </t>
  </si>
  <si>
    <t>AGOSTO 2013</t>
  </si>
  <si>
    <t xml:space="preserve">    SUBCUENTA - FDO. INTERV. DESASTRES NAT.  "FONDES"</t>
  </si>
  <si>
    <t>DICIEMBRE 2017</t>
  </si>
  <si>
    <t xml:space="preserve">    - OTROS</t>
  </si>
  <si>
    <t xml:space="preserve">    FONDOS SUJETOS A RESTRICCIÓN (Fondos de Garantía)</t>
  </si>
  <si>
    <t>00-068-317541</t>
  </si>
  <si>
    <t xml:space="preserve">    FONDOS SUJETOS A RESTRICCIÓN (Retencion 10% Garantía)</t>
  </si>
  <si>
    <t>00-068-317568</t>
  </si>
  <si>
    <t xml:space="preserve">    FONDOS SUJETOS A RESTRICCIÓN (Pago de planilla)</t>
  </si>
  <si>
    <t>BANCO DE CREDITO DEL PERU</t>
  </si>
  <si>
    <t>193-2080176-0-77</t>
  </si>
  <si>
    <t xml:space="preserve">    PNSR - EJECUCION CARTAS FIANZAS POR GARANTIA</t>
  </si>
  <si>
    <t>00-068-376653</t>
  </si>
  <si>
    <t>ENERO 2018</t>
  </si>
  <si>
    <t xml:space="preserve">    PROG.NAC.SANEAM.RURAL-CONSORCIO S.RAFAEL-WINCHU-YUPICUSA-INT.ECON.OBRA (Interventora Economica)</t>
  </si>
  <si>
    <t>00-068-381916</t>
  </si>
  <si>
    <t>MAYO 2019</t>
  </si>
  <si>
    <t>Unidad Ejecutora: 006 - 1691 AGUA SEGURA PARA LIMA Y CALLAO</t>
  </si>
  <si>
    <t>1. RECURSOS ORDINARIOS - RUBRO - 0 - TR - 0</t>
  </si>
  <si>
    <t>00068372674</t>
  </si>
  <si>
    <t>AÑO 2017</t>
  </si>
  <si>
    <t>2. RECURSOS DIRECTAM. RECAUD. CUT - RUBRO 09 - TR 7</t>
  </si>
  <si>
    <t>AÑO 2018</t>
  </si>
  <si>
    <t>PLIEGO: 056 SUPERINTENDENCIA NACIONAL DE BIENES ESTATALES</t>
  </si>
  <si>
    <t>204 - SBN</t>
  </si>
  <si>
    <t>NACION</t>
  </si>
  <si>
    <t>000-299774</t>
  </si>
  <si>
    <t>0000-282804</t>
  </si>
  <si>
    <t>0000-781754</t>
  </si>
  <si>
    <t>00-068-360129</t>
  </si>
  <si>
    <t>00-068-360137</t>
  </si>
  <si>
    <t>00-068-360102</t>
  </si>
  <si>
    <t>00-068-375800</t>
  </si>
  <si>
    <t>0000-867861</t>
  </si>
  <si>
    <t>0000-876542</t>
  </si>
  <si>
    <t>PLIEGO:205. SERVICIO NACIONAL DE CAPACITACION PARA LA INDUSTRIA DE LA CONSTRUCCION</t>
  </si>
  <si>
    <t>0179                            SERVICIO NACIONAL DE CAPACITACION PARA LA INDUSTRIA DE LA CONSTRUCCION   SENCICO</t>
  </si>
  <si>
    <t>BANCO CONTINENTAL</t>
  </si>
  <si>
    <t>CTA CTENº 0011-0105-42-0100029252</t>
  </si>
  <si>
    <t xml:space="preserve">CTA CTE N° 000-425362 </t>
  </si>
  <si>
    <t>CTA CTE N° 000-870781</t>
  </si>
  <si>
    <t>CTA CTE N° 000-081345</t>
  </si>
  <si>
    <t>CTA CTE N° 000-575984</t>
  </si>
  <si>
    <t>CTA CTE N° 000-568686</t>
  </si>
  <si>
    <t>N° 00-068-375649</t>
  </si>
  <si>
    <t>BANCO DE CREDITO</t>
  </si>
  <si>
    <t xml:space="preserve">CTA CTE Nª 193-1554702-0-59 </t>
  </si>
  <si>
    <t xml:space="preserve">CTA CTE Nª 193-1405528-0-51 </t>
  </si>
  <si>
    <t>CTA CTE Nª 193-2132471- 0-10</t>
  </si>
  <si>
    <t>BANCO INTERBANK</t>
  </si>
  <si>
    <t>CTA CTE N° 916- 3001203370</t>
  </si>
  <si>
    <t>NACIÓN N° 000-68-324122 - CUT (Rubro 09)</t>
  </si>
  <si>
    <t>BCP Nº 297183</t>
  </si>
  <si>
    <t>DEPOSITO A PLAZO</t>
  </si>
  <si>
    <t>GNB Nº 17856</t>
  </si>
  <si>
    <t>SCOTIABANK Nº 884771</t>
  </si>
  <si>
    <t>CREDISCOTIA Nº 16323</t>
  </si>
  <si>
    <t>GNB Nº 19387</t>
  </si>
  <si>
    <t>GNBN º 19399</t>
  </si>
  <si>
    <t>MIBANCO Nº 20000000032964</t>
  </si>
  <si>
    <t>SANTANDER Nº 1150434001</t>
  </si>
  <si>
    <t>MIBANCO Nº 20000000033064</t>
  </si>
  <si>
    <t>SANTANDER Nº 1162254001</t>
  </si>
  <si>
    <t>INTERBANK Nº 981DPCM201780060</t>
  </si>
  <si>
    <t>SCOTIABANK N°812827</t>
  </si>
  <si>
    <t>2019-2020</t>
  </si>
  <si>
    <t>BBVA N°12</t>
  </si>
  <si>
    <t>MIBANCO N° 20000000027339</t>
  </si>
  <si>
    <t>BANBIF N° 141101660520</t>
  </si>
  <si>
    <t>BBVA N°13</t>
  </si>
  <si>
    <t>SANTANDER N°1172433001</t>
  </si>
  <si>
    <t>BCP N°193-82423596-0-3</t>
  </si>
  <si>
    <t>BANBIF N°141101729449</t>
  </si>
  <si>
    <t>CREDISCOTIA N°14776</t>
  </si>
  <si>
    <t>GNB N°16461</t>
  </si>
  <si>
    <t>BANBIF N°141101730470</t>
  </si>
  <si>
    <t>ICBC PERÚ BANK N°00007</t>
  </si>
  <si>
    <t>MIBANCO N°20000000031096</t>
  </si>
  <si>
    <t>SANTANDER N°1174458001</t>
  </si>
  <si>
    <t>SCOTIABANK N°874349</t>
  </si>
  <si>
    <t>BANBIF N°141101733500</t>
  </si>
  <si>
    <t xml:space="preserve">BANCO DE LA NACION </t>
  </si>
  <si>
    <t>CTA CTE N° 000-875341</t>
  </si>
  <si>
    <t>CTA CTE N° 00-068-326362</t>
  </si>
  <si>
    <t>CTA CTE N° 000-68-330432</t>
  </si>
  <si>
    <t>CTA CTE N° 000-68-324122 - CUT Rubro 13</t>
  </si>
  <si>
    <t>PLIEGO 207: ORGANISMO TÉCNICO DE LA ADMINISTRACIÓN DE LOS SERVICIOS DE SANEAMIENTO</t>
  </si>
  <si>
    <t>00-068-349133</t>
  </si>
  <si>
    <t>2014</t>
  </si>
  <si>
    <t>00-068-357993</t>
  </si>
  <si>
    <t>2015</t>
  </si>
  <si>
    <t>Pliego: 211 ORGANISMO DE FORMALIZACIÓN DE LA PROPIEDAD INFORMAL</t>
  </si>
  <si>
    <t>00-000-299626</t>
  </si>
  <si>
    <t>00-000-283150</t>
  </si>
  <si>
    <t>SUB CUENTA - RECURSOS DIRECTAMENTE RECAUDADOS</t>
  </si>
  <si>
    <t>028 00-000-299626</t>
  </si>
  <si>
    <t>00-068-330203</t>
  </si>
  <si>
    <t>SUBCUENTA -TRANSFERENCIAS ENTRE ENTIDADES DEL GN - RUBRO 16</t>
  </si>
  <si>
    <t>030 00-000-299626</t>
  </si>
  <si>
    <t>SUBCUENTA -TRANSFERENCIAS ENTRE ENTIDADES DEL GN - RUBRO 18</t>
  </si>
  <si>
    <t>031 00-000-299626</t>
  </si>
  <si>
    <t>FORMATO 17: NOMBRES E INGRESOS MENSUALES DEL PERSONAL CONTRATADO FUERA DEL PAP EN LOS AÑOS FISCALES 2019 Y 2020</t>
  </si>
  <si>
    <t>CONTRATANTE</t>
  </si>
  <si>
    <t>CONTRATADO</t>
  </si>
  <si>
    <t>AÑO FISCAL 2019</t>
  </si>
  <si>
    <t>AÑO FISCAL 2020 (*)</t>
  </si>
  <si>
    <t>FUENTE DE FINAN.</t>
  </si>
  <si>
    <t>TIPO DE CONTRATO</t>
  </si>
  <si>
    <t>FUNCIÓN DESEMPEÑADA</t>
  </si>
  <si>
    <t xml:space="preserve">CONTRAPRESTACIÓN MENSUAL </t>
  </si>
  <si>
    <t>DNI</t>
  </si>
  <si>
    <t>Apellidos y Nombres</t>
  </si>
  <si>
    <t>Profesión</t>
  </si>
  <si>
    <t>Grado Academico</t>
  </si>
  <si>
    <t>Titulo Profesióonal, Técncio o Capacitación Ocupacional</t>
  </si>
  <si>
    <t>Numero de contratos o renovaciones</t>
  </si>
  <si>
    <t>Meses Ejecutados</t>
  </si>
  <si>
    <t>Monto Ejecutado</t>
  </si>
  <si>
    <t>EJECUTORA 001 - MVCS - ADM</t>
  </si>
  <si>
    <t>R.O.</t>
  </si>
  <si>
    <t>ANALISTA EN AUDITORIA</t>
  </si>
  <si>
    <t>46570945</t>
  </si>
  <si>
    <t>ABAD MEDINA EISTEIN</t>
  </si>
  <si>
    <t>CONTADOR PUBLICO</t>
  </si>
  <si>
    <t>UNIVERSITARIA TITULADO</t>
  </si>
  <si>
    <t>ESPECIALISTA EN DERECHO ADMINISTRATIVO Y DISCIPLINARIO</t>
  </si>
  <si>
    <t>10632134</t>
  </si>
  <si>
    <t>ACASIETE ROMANI CATALINA MAGALY</t>
  </si>
  <si>
    <t>ABOGADO</t>
  </si>
  <si>
    <t>TITULADO</t>
  </si>
  <si>
    <t>AUXILIAR ADMINISTRATIVA</t>
  </si>
  <si>
    <t>73085437</t>
  </si>
  <si>
    <t>ACEVEDO NAVARRETE VALERIA JIMENA</t>
  </si>
  <si>
    <t>.SIN PROFESION</t>
  </si>
  <si>
    <t>SECUNDARIA - COMPLETA</t>
  </si>
  <si>
    <t>Economista</t>
  </si>
  <si>
    <t>09676091</t>
  </si>
  <si>
    <t>ACO CATALDO PERCY GENARO</t>
  </si>
  <si>
    <t>ECONOMISTA</t>
  </si>
  <si>
    <t>AUXILIAR ADMINISTRATIVO</t>
  </si>
  <si>
    <t>70414389</t>
  </si>
  <si>
    <t>ACOSTA ACOSTA DANIELA ANHARA</t>
  </si>
  <si>
    <t>UNIVERSITARIA - INCOMPLETA</t>
  </si>
  <si>
    <t>ANALISTA EN INGENIERIA SANITARIA</t>
  </si>
  <si>
    <t>71428675</t>
  </si>
  <si>
    <t>ACOSTA BARTOLO JOSE FRANK</t>
  </si>
  <si>
    <t>INGENIERO SANITARIO</t>
  </si>
  <si>
    <t>DIRECTOR GENERAL. R.M. Nº 095-2019-VIVIENDA</t>
  </si>
  <si>
    <t>09864246</t>
  </si>
  <si>
    <t>ACOSTA GALLARDO SIDNEY</t>
  </si>
  <si>
    <t>.OTRO</t>
  </si>
  <si>
    <t>CONDUCTOR VEHICULAR</t>
  </si>
  <si>
    <t>09590052</t>
  </si>
  <si>
    <t>ACOSTA VALDIVIA CELSO ADRIAN</t>
  </si>
  <si>
    <t>ESPECIALISTA EN FORTALECIMIENTO DE PROYECTOS</t>
  </si>
  <si>
    <t>41656529</t>
  </si>
  <si>
    <t>ACUÑA CHAPARRO ANDY VIRGILIO</t>
  </si>
  <si>
    <t>ARQUITECTO</t>
  </si>
  <si>
    <t>PERSONAL DE APOYO EN EL TRATAMIENTO DE PARQUES</t>
  </si>
  <si>
    <t>08935393</t>
  </si>
  <si>
    <t>ACUÑA ROJAS RESTITUTO</t>
  </si>
  <si>
    <t>PRIMARIA</t>
  </si>
  <si>
    <t>EDUCACIÓN PRIMARIA INCOMPLETA</t>
  </si>
  <si>
    <t>ASISTENTE TÉCNICO EN ARCHIVO</t>
  </si>
  <si>
    <t>70144373</t>
  </si>
  <si>
    <t>ADVINCULA COILA FRANCIS PEDRO</t>
  </si>
  <si>
    <t>PROFESIONAL TÉCNICO EN ADMINISTRACIÓN DE NEGOCIOS</t>
  </si>
  <si>
    <t>TECNICO SUPERIOR TITULADO</t>
  </si>
  <si>
    <t>10089859</t>
  </si>
  <si>
    <t>AGUAYO CORDOVA ALEX CESAR</t>
  </si>
  <si>
    <t>PROFESIONAL TÉCNICO EN COMPUTACIÓN E INFORMATICA</t>
  </si>
  <si>
    <t>ASISTENTE PROGRAMADOR</t>
  </si>
  <si>
    <t>18220833</t>
  </si>
  <si>
    <t>AGUERO CORREA TOMAS</t>
  </si>
  <si>
    <t>ESPECIALISTA LEGAL</t>
  </si>
  <si>
    <t>09271157</t>
  </si>
  <si>
    <t>AGUERO ESTREMERA JUAN JOSE</t>
  </si>
  <si>
    <t/>
  </si>
  <si>
    <t>OPERADOR DE MAQUINARIA PESADA - AMAZONAS</t>
  </si>
  <si>
    <t>01155893</t>
  </si>
  <si>
    <t>AGUILAR NUÑEZ PERCY ORLANDO</t>
  </si>
  <si>
    <t>D.T.</t>
  </si>
  <si>
    <t>ESPECIALISTA LEGAL EN PROCEDIMIENTO ADMINISTRATIVO</t>
  </si>
  <si>
    <t>43220922</t>
  </si>
  <si>
    <t>AGUILAR SANCHEZ LIZBETH DAISY</t>
  </si>
  <si>
    <t>ABOGADA</t>
  </si>
  <si>
    <t>ESPECIALISTA EN DISEÑO GRAFICO</t>
  </si>
  <si>
    <t>10099271</t>
  </si>
  <si>
    <t>AGUILAR VILCA LUIS ENRIQUE</t>
  </si>
  <si>
    <t>ESTUDIANTE DE CARRERA TECNICA DE DISEÑO GRAFICO</t>
  </si>
  <si>
    <t>EDUCACIÓN SUPERIOR (INSTITUTO SUPERIOR, ETC) INCOMPLETA</t>
  </si>
  <si>
    <t>ESPECIALISTA EN MEJORAMIENTO DE VIVIENDA</t>
  </si>
  <si>
    <t>20059629</t>
  </si>
  <si>
    <t>AGUIRRE CARHUAMACA MERY</t>
  </si>
  <si>
    <t>ARQUITECTA</t>
  </si>
  <si>
    <t>UNIVERSITARIA EGRESADO</t>
  </si>
  <si>
    <t>ESPECIALISTA EN RECURSOS HUMANOS</t>
  </si>
  <si>
    <t>43265811</t>
  </si>
  <si>
    <t>AGUIRRE GARCIA MARIA DEL ROSARIO</t>
  </si>
  <si>
    <t>EDUCACIÓN UNIVERSITARIA COMPLETA</t>
  </si>
  <si>
    <t>41288227</t>
  </si>
  <si>
    <t>AIMA HUALLPA MARTIN CARLOS</t>
  </si>
  <si>
    <t>SECUNDARIA COMPLETA</t>
  </si>
  <si>
    <t>EDUCACIÓN SECUNDARIA COMPLETA</t>
  </si>
  <si>
    <t>ESPECIALISTA EN CONTRATACIONES Y ADQUISICIONES</t>
  </si>
  <si>
    <t>44650708</t>
  </si>
  <si>
    <t>AIQUIPA MIRANDA ZONIA KATHERINE</t>
  </si>
  <si>
    <t>ESPECIALISTA SOCIAL</t>
  </si>
  <si>
    <t>09587050</t>
  </si>
  <si>
    <t>ALALUNA GUTIERREZ NORA BASILIA</t>
  </si>
  <si>
    <t>ASISTENTE ADMINISTRATIVO</t>
  </si>
  <si>
    <t>42262388</t>
  </si>
  <si>
    <t>ALANYA FLORES JESICA ANDREA</t>
  </si>
  <si>
    <t>PROFESIONAL TÉCNICO EN CONTABILIDAD</t>
  </si>
  <si>
    <t>ESPECIALISTA EN PRESUPUESTO</t>
  </si>
  <si>
    <t>23270312</t>
  </si>
  <si>
    <t>ALARCO SANCHEZ SANDI YACOB</t>
  </si>
  <si>
    <t>LIC. EN ADMINISTRACIÓN</t>
  </si>
  <si>
    <t>ESPECIALISTA EN MODERNIZACIÓN</t>
  </si>
  <si>
    <t>42251014</t>
  </si>
  <si>
    <t>ALARCON PEREZ JUANITA</t>
  </si>
  <si>
    <t>ESPECIALISTA EN TASACIONES</t>
  </si>
  <si>
    <t>40104901</t>
  </si>
  <si>
    <t>ALAYO MIRANDA LUCIA LILIANA</t>
  </si>
  <si>
    <t>INGENIERO AGRICOLA</t>
  </si>
  <si>
    <t>ASISTENTE DE SOPORTE E INFRAESTRUCTURA</t>
  </si>
  <si>
    <t>44830664</t>
  </si>
  <si>
    <t>ALBERTO PASCO CARLOS AUGUSTO</t>
  </si>
  <si>
    <t>INGENIERO DE SISTEMAS Y COMPUTACIÓN</t>
  </si>
  <si>
    <t xml:space="preserve">ASISTENTE DE CONTROL DE VIATICOS </t>
  </si>
  <si>
    <t>45748204</t>
  </si>
  <si>
    <t>ALBUJAR GALINDO RENZO ANTONIO</t>
  </si>
  <si>
    <t>ESTUDIANTE DE ADMINISTRACION Y SISTEMAS</t>
  </si>
  <si>
    <t>EDUCACIÓN UNIVERSITARIA INCOMPLETA</t>
  </si>
  <si>
    <t>DIRECTOR. R.M. Nº 399-2017-VIVIENDA</t>
  </si>
  <si>
    <t>41603766</t>
  </si>
  <si>
    <t>ALCALA ESPINO RUBEN</t>
  </si>
  <si>
    <t>ASISTENTE PARA SERVICIOS AGROFORESTALES</t>
  </si>
  <si>
    <t>08928855</t>
  </si>
  <si>
    <t>ALCALA SANCHEZ AUGUSTO EULOGIO</t>
  </si>
  <si>
    <t>DIRECTORA GENERAL. R. M. Nº  326-2019-VIVIENDA</t>
  </si>
  <si>
    <t>09664766</t>
  </si>
  <si>
    <t>ALCANTARA LINO NEDY MARGOT</t>
  </si>
  <si>
    <t>10113317</t>
  </si>
  <si>
    <t>ALEJANDRO ASCUE TANIA MILUSCA</t>
  </si>
  <si>
    <t>ESTUDIOS DE MAESTRÍA INCOMPLETA</t>
  </si>
  <si>
    <t>72430413</t>
  </si>
  <si>
    <t>ALEJOS CISNEROS MARIBEL PILAR</t>
  </si>
  <si>
    <t>DIRECTOR GENERAL. R. M. Nº 184-2019-VIVIENDA</t>
  </si>
  <si>
    <t>09626739</t>
  </si>
  <si>
    <t>ALFARO ESPARZA EDUARDO JAIME</t>
  </si>
  <si>
    <t>45944271</t>
  </si>
  <si>
    <t>ALFARO GARCES LUCIA ALEXANDRA</t>
  </si>
  <si>
    <t>TECNICO EN PRESUPUESTO Y SISTEMAS ADMINISTRATIVOS</t>
  </si>
  <si>
    <t>07357316</t>
  </si>
  <si>
    <t>ALFARO SANCHEZ JULIO CESAR</t>
  </si>
  <si>
    <t>ANALISTA EN ATENCION AL CIUDADANO - PUNO</t>
  </si>
  <si>
    <t>01332949</t>
  </si>
  <si>
    <t>ALIAGA BUSTINZA HERNAN AUGUSTO</t>
  </si>
  <si>
    <t>BIOLOGO</t>
  </si>
  <si>
    <t>ASESOR II. R.M. Nº 079-2018-VIVIENDA</t>
  </si>
  <si>
    <t>07868297</t>
  </si>
  <si>
    <t>ALIAGA HINOJOSA ARMANDO ANDRES</t>
  </si>
  <si>
    <t xml:space="preserve">DISEÑADOR ESTRUCTURAL DE EDIFICACIONES </t>
  </si>
  <si>
    <t>10552596</t>
  </si>
  <si>
    <t>ALIAGA SILVA EDUARDO</t>
  </si>
  <si>
    <t>INGENIERO CIVIL</t>
  </si>
  <si>
    <t>10184707</t>
  </si>
  <si>
    <t>ALMANZA TITO EMILIO ARTIDORO</t>
  </si>
  <si>
    <t>ESPECIALISTA EN ESTUDIOS AMBIENTALES DE SANEAMIENTO</t>
  </si>
  <si>
    <t>06672420</t>
  </si>
  <si>
    <t>ALVA HUAPAYA CARLOS ALBERTO</t>
  </si>
  <si>
    <t>INGENIERO AMBIENTAL</t>
  </si>
  <si>
    <t>DIRECTORA. R.M. Nº 294-2019-VIVIENDA</t>
  </si>
  <si>
    <t>40321591</t>
  </si>
  <si>
    <t>ALVA OLORTEGUI TAMARA CUSI</t>
  </si>
  <si>
    <t>33348478</t>
  </si>
  <si>
    <t>ALVA ORTEGA ELIZABETH LOURDES</t>
  </si>
  <si>
    <t>ANALISTA EN CONTRATACIONES PÚBLICAS</t>
  </si>
  <si>
    <t>08253751</t>
  </si>
  <si>
    <t>ALVARADO ANGELES ARNALDO FIDENCIO</t>
  </si>
  <si>
    <t>07562692</t>
  </si>
  <si>
    <t>ALVARADO AREVALO ROSA ELENA</t>
  </si>
  <si>
    <t>TECNICO 1 AÑO - COMPLETO</t>
  </si>
  <si>
    <t>DIRECTOR. R.M. Nº 363-2017-VIVIENDA</t>
  </si>
  <si>
    <t>08547876</t>
  </si>
  <si>
    <t>ALVARADO HORNA OSWALDO</t>
  </si>
  <si>
    <t>DIRECTOR. R.M. Nº 334-2019-VIVIENDA</t>
  </si>
  <si>
    <t>09885110</t>
  </si>
  <si>
    <t>ALVARADO PALACIOS WILLY ALEJANDRO</t>
  </si>
  <si>
    <t>ESPECIALISTA EN ACONDICIONAMIENTO TERRITORIAL</t>
  </si>
  <si>
    <t>10658509</t>
  </si>
  <si>
    <t>ALVARADO TOVAR SALVADOR ERNESTO</t>
  </si>
  <si>
    <t>60802076</t>
  </si>
  <si>
    <t>ALVAREZ JARAMILLO EMILY MARLIES</t>
  </si>
  <si>
    <t>SECRETARIA EJECUTIVA</t>
  </si>
  <si>
    <t>ESPECIALISTA EN DERECHO ADMINISTRATIVO Y CONTRATACIONES DEL ESTADO</t>
  </si>
  <si>
    <t>40900210</t>
  </si>
  <si>
    <t>ALVAREZ TORRES YOHANA</t>
  </si>
  <si>
    <t>10144219</t>
  </si>
  <si>
    <t>ALVAREZ VALLEJOS MARTIN GUSTAVO</t>
  </si>
  <si>
    <t>ESTUDIANTE DE CIENCIAS ECONOMICAS Y EMPRESARIALES</t>
  </si>
  <si>
    <t>ESPECIALISTA EN SEGUIMIENTO, MONITOREO Y TRANSFERENCIAS DE INVERSIONES</t>
  </si>
  <si>
    <t>09626839</t>
  </si>
  <si>
    <t>ALVINO ANDRADE JEREMIAS BRAULIO</t>
  </si>
  <si>
    <t>ESPECIALISTA EN SEGUIMIENTO DE CONTRATOS Y EJECUCIÓN CONTRACTUAL</t>
  </si>
  <si>
    <t>41258815</t>
  </si>
  <si>
    <t>ALZOLA CUEVA LORENA MERCEDES</t>
  </si>
  <si>
    <t>ANALISTA EN ATENCIÓN AL CIUDADANO - LORETO</t>
  </si>
  <si>
    <t>44637920</t>
  </si>
  <si>
    <t>AMADO CADILLO RUDY ARNOLD</t>
  </si>
  <si>
    <t>ESPECIALISTA EN NORMATIVA AMBIENTAL</t>
  </si>
  <si>
    <t>06670466</t>
  </si>
  <si>
    <t>ANDRADE GAMBARINI MARISSA PATRICIA</t>
  </si>
  <si>
    <t>ARQUITECTURA Y URBANISMO</t>
  </si>
  <si>
    <t>ASESOR II. R. M. Nº 105-2019-VIVIENDA</t>
  </si>
  <si>
    <t>10267089</t>
  </si>
  <si>
    <t>ANDRADE LAZO RENATO</t>
  </si>
  <si>
    <t>ASISTENTE ADMINISTRATIVA</t>
  </si>
  <si>
    <t>44959174</t>
  </si>
  <si>
    <t>ANGELES REYES VIOLETA</t>
  </si>
  <si>
    <t>ESTUDIANTE DE ADMINISTRACION DE EMPRESAS</t>
  </si>
  <si>
    <t>ASISTENTE DE SOPORTE TÉCNICO</t>
  </si>
  <si>
    <t>44488811</t>
  </si>
  <si>
    <t>ANICETO CAMERO FRANCISCO JUNIOR</t>
  </si>
  <si>
    <t>09936706</t>
  </si>
  <si>
    <t>ANSELMI CHAVEZ CELIA LUZ</t>
  </si>
  <si>
    <t xml:space="preserve">ESPECIALISTA EN COOPERACION INTERNACIONAL </t>
  </si>
  <si>
    <t>09447090</t>
  </si>
  <si>
    <t>ANTON BARRETO OSCAR ALEXANDER</t>
  </si>
  <si>
    <t>TECNICO EN SISTEMAS</t>
  </si>
  <si>
    <t>43070573</t>
  </si>
  <si>
    <t>ANYOSA CANDELA JULIO CESAR</t>
  </si>
  <si>
    <t>TÉCNICO EN COMPUTACIÓN E INFORMÁTICA</t>
  </si>
  <si>
    <t>EDUCACIÓN TÉCNICA COMPLETA</t>
  </si>
  <si>
    <t>JEFE DE GABINETE. R. M. Nº 187-2019-VIVIENDA</t>
  </si>
  <si>
    <t>32922578</t>
  </si>
  <si>
    <t>APOLONI QUISPE JORGE ANTONIO</t>
  </si>
  <si>
    <t>ANALISTA EN COMUNICACIONES</t>
  </si>
  <si>
    <t>71395958</t>
  </si>
  <si>
    <t>AQUINO ÑAUPARI KENNY FERNANDO</t>
  </si>
  <si>
    <t>BACH EN CIENCIAS DE LA COMUNICACIÓN</t>
  </si>
  <si>
    <t>GRADO DE BACHILLER</t>
  </si>
  <si>
    <t>ESPECIALISTA EN PROYECTOS</t>
  </si>
  <si>
    <t>25774225</t>
  </si>
  <si>
    <t>ARAINDIA DOMINGUEZ BETSABE VICTORIA</t>
  </si>
  <si>
    <t>07186770</t>
  </si>
  <si>
    <t>ARAKAKI AZATO JULIO CESAR</t>
  </si>
  <si>
    <t xml:space="preserve">ESPECIALISTA EN ASUNTOS AMBIENTALES </t>
  </si>
  <si>
    <t>41097889</t>
  </si>
  <si>
    <t>ARANA MONTESINOS TERESA MERCEDES</t>
  </si>
  <si>
    <t>INGENIERO GEOGRAFO Y ECOLOGO</t>
  </si>
  <si>
    <t>ESTUDIOS DE MAESTRÍA COMPLETA</t>
  </si>
  <si>
    <t>ESPECIALISTA EN EJECUCIÓN CONTRACTUAL</t>
  </si>
  <si>
    <t>42762143</t>
  </si>
  <si>
    <t>ARBOLEDA SALAZAR MANUEL</t>
  </si>
  <si>
    <t>ASISTENTE ADMINISTRATIVA - TACNA</t>
  </si>
  <si>
    <t>42649923</t>
  </si>
  <si>
    <t>ARDILES LUPACA JUDITH MERCEDES</t>
  </si>
  <si>
    <t>ANALISTA ADMINISTRATIVO</t>
  </si>
  <si>
    <t>42766822</t>
  </si>
  <si>
    <t>AREVALO CHANG LUISA JOHANNA</t>
  </si>
  <si>
    <t>ESPECIALISTA EN SEGURIDAD, DEFENSA NACIONAL Y GESTIÓN DEL RIESGO DE DESASTRE</t>
  </si>
  <si>
    <t>43431369</t>
  </si>
  <si>
    <t>AREVALO LOBO WALDOR SEGUNDO</t>
  </si>
  <si>
    <t>INGENIERO INFORMATICO</t>
  </si>
  <si>
    <t>ESPECIALISTA EN EJECUCIÓN DE OBRAS</t>
  </si>
  <si>
    <t>09297500</t>
  </si>
  <si>
    <t>ARGUEDAS VILLACRES CARLOS TOMAS</t>
  </si>
  <si>
    <t>ING. CIVIL</t>
  </si>
  <si>
    <t>OPERADOR DE MAQUINARIA PESADA - UBO CUSCO</t>
  </si>
  <si>
    <t>25001388</t>
  </si>
  <si>
    <t>ARIAS HUAYCHO WILBER</t>
  </si>
  <si>
    <t>ESPECIALISTA EN GESTIÓN ADMINISTRATIVA</t>
  </si>
  <si>
    <t>18123343</t>
  </si>
  <si>
    <t>ARMAS JUAREZ MARCO PAUL</t>
  </si>
  <si>
    <t>GERENCIA PÚBLICA</t>
  </si>
  <si>
    <t>MAESTRIA EGRESADO</t>
  </si>
  <si>
    <t>ESPECIALISTA EN GESTION URBANA</t>
  </si>
  <si>
    <t>25836051</t>
  </si>
  <si>
    <t>ARMAS PONCE TATIANA SHIVANI</t>
  </si>
  <si>
    <t>OPERADOR DE MAQUINARIA PESADA - PIURA</t>
  </si>
  <si>
    <t>02733796</t>
  </si>
  <si>
    <t>ARNAO MEJIA AMILCAR GLICERIO</t>
  </si>
  <si>
    <t>COORDINADORA  ADMINISTRATIVA</t>
  </si>
  <si>
    <t>43963710</t>
  </si>
  <si>
    <t>ASMAT DE LOS RIOS MARIA DEL PILAR</t>
  </si>
  <si>
    <t>LIC. EN EDUCACIÓN</t>
  </si>
  <si>
    <t>ESPECIALISTA EN LIQUIDACIÓN DE PROYECTOS</t>
  </si>
  <si>
    <t>23863372</t>
  </si>
  <si>
    <t>ATAPAUCAR GUEVARA FERNANDO</t>
  </si>
  <si>
    <t>ANALISTA DE TIERRAS</t>
  </si>
  <si>
    <t>40823255</t>
  </si>
  <si>
    <t>ATARAMA TICERAN RAUL RODOLFO</t>
  </si>
  <si>
    <t>BACHILLER EN INGENIERIA GEOGRAFICA</t>
  </si>
  <si>
    <t>AUXILIAR EN MANTENIMIENTO DE AREAS VERDES</t>
  </si>
  <si>
    <t>09696595</t>
  </si>
  <si>
    <t>ATAUCO POZO MARCO ANTONIO</t>
  </si>
  <si>
    <t>TECNICO ADMINISTRATIVO PARA MESA DE PARTES</t>
  </si>
  <si>
    <t>07040969</t>
  </si>
  <si>
    <t>AVALOS LA VERDE JULIO VICENTE</t>
  </si>
  <si>
    <t>70519676</t>
  </si>
  <si>
    <t>AVILA CALDERON ESTEFANY BRISETTE</t>
  </si>
  <si>
    <t>TECNICO SUPERIOR - INCOMPLETO</t>
  </si>
  <si>
    <t>ESPECIALISTA TÉCNICO EN GESTIÓN Y PLANIFICACIÓN URBANA</t>
  </si>
  <si>
    <t>42189906</t>
  </si>
  <si>
    <t>AVILA GONZALEZ CARMEN VANESSA</t>
  </si>
  <si>
    <t>ANALISTA EN CULTURA Y CLIMA ORGANIZACIONAL</t>
  </si>
  <si>
    <t>42279052</t>
  </si>
  <si>
    <t>AVILA QUINTANILLA ALINA EVELIN</t>
  </si>
  <si>
    <t>LICENCIADA EN PSICOLOGÍA</t>
  </si>
  <si>
    <t>AUXILIAR LEGAL</t>
  </si>
  <si>
    <t>70923684</t>
  </si>
  <si>
    <t>AVILA SANTOS VIRGINIA DANIELA</t>
  </si>
  <si>
    <t>ESPECIALISTA EN CONTRATACIONES PUBLICAS (OBRAS)</t>
  </si>
  <si>
    <t>19967013</t>
  </si>
  <si>
    <t>AVILA TORPOCO ARTURO JAIME</t>
  </si>
  <si>
    <t>INGENIERO METALURGISTA</t>
  </si>
  <si>
    <t>AUXILIAR DE ARCHIVO</t>
  </si>
  <si>
    <t>04212652</t>
  </si>
  <si>
    <t>AYALA DE LA ROSA INOCENTE</t>
  </si>
  <si>
    <t>JEFE DEL GABINETE DE ASESORES</t>
  </si>
  <si>
    <t>08486546</t>
  </si>
  <si>
    <t>AYALA DE LA VEGA MARIO CELESTINO</t>
  </si>
  <si>
    <t>ESPECIALISTA EN PREVENCION Y ANALISIS DE RIESGOS DE DESASTRES</t>
  </si>
  <si>
    <t>25704431</t>
  </si>
  <si>
    <t>AYALA GUTIERREZ MAXIMO</t>
  </si>
  <si>
    <t>INGENIERO GEOGRAFO</t>
  </si>
  <si>
    <t>SUPERVISOR EN AUDITORIA</t>
  </si>
  <si>
    <t>07325150</t>
  </si>
  <si>
    <t>AYALA MONTES VICTOR EDUARDO</t>
  </si>
  <si>
    <t>ESPECIALISTA EN PLANEAMIENTO</t>
  </si>
  <si>
    <t>10281820</t>
  </si>
  <si>
    <t>AYMAR OLIVERA PATRICIA ANGELICA</t>
  </si>
  <si>
    <t>DIRECTORA DE LA OFICINA DE CONTABILIDAD. R.M. Nº 335-2014-VIVIENDA</t>
  </si>
  <si>
    <t>08203025</t>
  </si>
  <si>
    <t>BACA BARRETO GABY MARIANELLA</t>
  </si>
  <si>
    <t>ESPECIALISTA EN SUPERVISIÓN DE VIVIENDAS</t>
  </si>
  <si>
    <t>06778228</t>
  </si>
  <si>
    <t>BACA MENA MARIA DEL SOCORRO</t>
  </si>
  <si>
    <t>ESPECIALISTA EN REMUNERACIONES</t>
  </si>
  <si>
    <t>40121062</t>
  </si>
  <si>
    <t>BACA RIVA DANNY MARTIN</t>
  </si>
  <si>
    <t>LIC. EN CIENCIAS ADMINISTRATIVAS</t>
  </si>
  <si>
    <t>COORDINADOR REGIONAL DE OPERACIONES- UBO AREQUIPA</t>
  </si>
  <si>
    <t>29590567</t>
  </si>
  <si>
    <t>BALLON MEDRANO ALDO AUGUSTO</t>
  </si>
  <si>
    <t>DIRECTOR. R. M. Nº 399-2019-VIVIENDA</t>
  </si>
  <si>
    <t>06126721</t>
  </si>
  <si>
    <t>BALLON VIZCARRA CARLOS AUGUSTO</t>
  </si>
  <si>
    <t>AUXILIAR DOCUMENTARIO</t>
  </si>
  <si>
    <t>09085887</t>
  </si>
  <si>
    <t>BALTAZAR PAZ OSWALDO</t>
  </si>
  <si>
    <t>SECUNDARIA INCOMPLETA</t>
  </si>
  <si>
    <t>CONDUCTOR</t>
  </si>
  <si>
    <t>08030656</t>
  </si>
  <si>
    <t>BARDELLINI ESPEJO MIGUEL ANGEL</t>
  </si>
  <si>
    <t>ESTUDIANTE DE LA CARRERA DE ADMINISTRACIÓN (5TO. CICLO)</t>
  </si>
  <si>
    <t>40430247</t>
  </si>
  <si>
    <t>BARLETTI SALDARRIAGA BETTINA VALERIA</t>
  </si>
  <si>
    <t>CHOFER PARA ALTA DIRECCIÓN</t>
  </si>
  <si>
    <t>08558645</t>
  </si>
  <si>
    <t>BARRANTES ANGULO MAXIMO ORLANDO</t>
  </si>
  <si>
    <t>45900361</t>
  </si>
  <si>
    <t>BARRANTES PACHERES CARLOS HUMBERTO</t>
  </si>
  <si>
    <t>07017596</t>
  </si>
  <si>
    <t>BARRAZA RIVAS TEODOSIO HONORATO</t>
  </si>
  <si>
    <t>PRIMARIA INCOMPLETA</t>
  </si>
  <si>
    <t>ANALISTA EN GESTIÓN DE ARCHIVO</t>
  </si>
  <si>
    <t>25830969</t>
  </si>
  <si>
    <t>BARREDA LECCA ENRIQUE RONALD</t>
  </si>
  <si>
    <t>BACH.EN HISTORIA</t>
  </si>
  <si>
    <t>ESPECIALISTA EN NORMAS TECNICAS EN CONSTRUCCIÓN Y TASACIONES</t>
  </si>
  <si>
    <t>03647803</t>
  </si>
  <si>
    <t>BARRENA DIOSES JOHN CONRAD</t>
  </si>
  <si>
    <t>ASESOR II. R.M. Nº 165-2019-VIVIENDA</t>
  </si>
  <si>
    <t>07642957</t>
  </si>
  <si>
    <t>BARRIONUEVO LUNA ANA CRISTINA</t>
  </si>
  <si>
    <t xml:space="preserve">DIRECTORA. R.M. Nº 249-2018-VIVIENDA </t>
  </si>
  <si>
    <t>07227403</t>
  </si>
  <si>
    <t>BARRIONUEVO SANCHEZ DE MACHICAO RAQUEL DARIA</t>
  </si>
  <si>
    <t>INGENIERA SANITARIA</t>
  </si>
  <si>
    <t>ASISTENTE ADMINISTRATIVA - AYACUCHO</t>
  </si>
  <si>
    <t>44867562</t>
  </si>
  <si>
    <t>BAUTISTA AYALA JACQUELI</t>
  </si>
  <si>
    <t>BACHILLER EN ECONOMIA</t>
  </si>
  <si>
    <t>ASESORA EN GESTIÓN ADMINISTRATIVA</t>
  </si>
  <si>
    <t>10087762</t>
  </si>
  <si>
    <t>BAUTISTA SANCHEZ GLADYS MARIA</t>
  </si>
  <si>
    <t>COORDINADORA TECNICA</t>
  </si>
  <si>
    <t>10798780</t>
  </si>
  <si>
    <t>BAYONA ABRIL KARLA PAMELA</t>
  </si>
  <si>
    <t>INGENIERO DE SISTEMAS</t>
  </si>
  <si>
    <t>GRADO DE MAESTRÍA</t>
  </si>
  <si>
    <t>ANALISTA EN EJECUCION CONTRACTUAL</t>
  </si>
  <si>
    <t>10741393</t>
  </si>
  <si>
    <t>BAZALAR CUYA SILVIA DEL CARMEN</t>
  </si>
  <si>
    <t>TÉCNICO ADMINISTRATIVO</t>
  </si>
  <si>
    <t>40898162</t>
  </si>
  <si>
    <t>BAZAN QUIÑE PAOLA MARIBEL</t>
  </si>
  <si>
    <t>COMPUTACIÓN E INFORMATICA</t>
  </si>
  <si>
    <t>DIRECTOR. R.M. Nº 231-2017-VIVIENDA</t>
  </si>
  <si>
    <t>07718418</t>
  </si>
  <si>
    <t>BAZAN TORRES VICTOR EDMUNDO</t>
  </si>
  <si>
    <t>BACHILLER EN PSICOLOGIA</t>
  </si>
  <si>
    <t>ESPECIALISTA EN ANALISIS Y EVALUACIÓN DEL RIESGO DE DESASTRES</t>
  </si>
  <si>
    <t>10187645</t>
  </si>
  <si>
    <t>BEDON FERNANDEZ CLAUDIA CATHERINE</t>
  </si>
  <si>
    <t>INGENIERO GEOGRAFO - ESPECIALIZACION MEDIO AMBIENTE</t>
  </si>
  <si>
    <t>TECNICO ADMINISTRATIVO</t>
  </si>
  <si>
    <t>25703680</t>
  </si>
  <si>
    <t>BEDON LICERAS LUIS ALBERTO</t>
  </si>
  <si>
    <t xml:space="preserve">ASESOR LEGAL </t>
  </si>
  <si>
    <t>07021194</t>
  </si>
  <si>
    <t>BEDRIÑANA FITZGERRALD FELIX</t>
  </si>
  <si>
    <t>ANALISTA EN DEFENSA LEGAL DEL ESTADO</t>
  </si>
  <si>
    <t>70458510</t>
  </si>
  <si>
    <t>BEDRIÑANA HERRERA MAYRA STEFANY</t>
  </si>
  <si>
    <t>BACHILLER EN DERECHO</t>
  </si>
  <si>
    <t>Secretaria Ejecutiva</t>
  </si>
  <si>
    <t>09276554</t>
  </si>
  <si>
    <t>BEJARANO BRICEÑO THEVES BEATRIZ JOSEFINA</t>
  </si>
  <si>
    <t>ASISTENTE EN DESARROLLO DE SISTEMAS TECNOLOGICOS</t>
  </si>
  <si>
    <t>42715796</t>
  </si>
  <si>
    <t>BEJARANO YUPANQUI VICTOR HAMILTON</t>
  </si>
  <si>
    <t>COORDINADOR EN PLANIFICACIÓN SECTORIAL DE SANEAMIENTO</t>
  </si>
  <si>
    <t>08530241</t>
  </si>
  <si>
    <t>BELLIDO TORRES ABEL PEDRO</t>
  </si>
  <si>
    <t>COORDINADOR GENERAL - TUMBES</t>
  </si>
  <si>
    <t>03869601</t>
  </si>
  <si>
    <t>BELUPU QUEREVALU PERCY</t>
  </si>
  <si>
    <t>ESPECIALISTA DE INFRAESTRUCTURA EN TÉCNICAS ESTRUCTURALES</t>
  </si>
  <si>
    <t>29207574</t>
  </si>
  <si>
    <t>BENAVENTE VERA ALDO JOSE</t>
  </si>
  <si>
    <t>OPERADOR DE MAQUINARIA PESADA - UBO LAMBAYEQUE</t>
  </si>
  <si>
    <t>40486533</t>
  </si>
  <si>
    <t>BENAVIDES ALVA OSCAR OMAR</t>
  </si>
  <si>
    <t>COORDINADOR GENERAL - HUANCAVELICA</t>
  </si>
  <si>
    <t>20025434</t>
  </si>
  <si>
    <t>BENDEZU CARDENAS ANGEL ARTURO</t>
  </si>
  <si>
    <t>DIRECTOR EJECUTIVO</t>
  </si>
  <si>
    <t>10063923</t>
  </si>
  <si>
    <t>BENDEZU ROBLES LUIS ARTURO</t>
  </si>
  <si>
    <t>09997522</t>
  </si>
  <si>
    <t>BENEDETTI RECAVARREN ANA MARIA</t>
  </si>
  <si>
    <t>COORDINADOR DE ASISTENCIA TÉCNICA</t>
  </si>
  <si>
    <t>08723981</t>
  </si>
  <si>
    <t>BENEL BERNAL FRANCISCO HUVELSER</t>
  </si>
  <si>
    <t>OPERADOR VEHICULAR</t>
  </si>
  <si>
    <t>40399843</t>
  </si>
  <si>
    <t>BENITES MENDOZA ORLANDO</t>
  </si>
  <si>
    <t>SECRETARIA</t>
  </si>
  <si>
    <t>40731295</t>
  </si>
  <si>
    <t>BENITES VELA ERIKA DEYSI</t>
  </si>
  <si>
    <t>ESPECIALISTA EN DESARROLLO URBANO (COORDINADOR PROYECTO OLMOS)</t>
  </si>
  <si>
    <t>01343804</t>
  </si>
  <si>
    <t>BLANCO CUENTAS GIOVANNI YURI</t>
  </si>
  <si>
    <t>ASISTENTE EN ARCHIVO</t>
  </si>
  <si>
    <t>10120210</t>
  </si>
  <si>
    <t>BLANCO NAUCA ELMER WILDER</t>
  </si>
  <si>
    <t>TECNICO EN PROGRAMACIÓN</t>
  </si>
  <si>
    <t>09650228</t>
  </si>
  <si>
    <t>BLANCO TORRES RENE</t>
  </si>
  <si>
    <t>ESTUDIANTE DE ECONOMIA</t>
  </si>
  <si>
    <t>ESPECIALISTA EN GESTIÓN ADMINISTRATIVA, PLANEAMIENTO Y PRESUPUESTO</t>
  </si>
  <si>
    <t>41713878</t>
  </si>
  <si>
    <t>BOCANEGRA MOYA CESAR MANUEL</t>
  </si>
  <si>
    <t>LICENCIADO EN ADMINISTRACION DE NEGOCIOS INTERNACIONALES</t>
  </si>
  <si>
    <t>ESPECIALISTA EN DESARROLLO URBANO ( COORDINADOR DEL PROYECTO HUAROS)</t>
  </si>
  <si>
    <t>00499740</t>
  </si>
  <si>
    <t>BONILLA VASQUEZ LUIS ENRIQUE</t>
  </si>
  <si>
    <t>SECRETARIA ADMINISTRATIVA</t>
  </si>
  <si>
    <t>21869251</t>
  </si>
  <si>
    <t>BOZA GIRALDEZ ROSA ISABEL</t>
  </si>
  <si>
    <t>LICENCIADA EN ADMINISTRACION</t>
  </si>
  <si>
    <t>ANALISTA EN ESTUDIOS ESTADISTICOS</t>
  </si>
  <si>
    <t>40749661</t>
  </si>
  <si>
    <t>BRAVO ALONSO JOHNNY IVAN</t>
  </si>
  <si>
    <t>LICENCIADO EN ESTADISTICA</t>
  </si>
  <si>
    <t>ANALISTA EN PROYECTOS</t>
  </si>
  <si>
    <t>42309559</t>
  </si>
  <si>
    <t>BRAVO ZEGARRA ROBERTO</t>
  </si>
  <si>
    <t>ASISTENTE ADMIISTRATIVA</t>
  </si>
  <si>
    <t>07943891</t>
  </si>
  <si>
    <t>BRICEÑO TORRICO CYRENE TERESA</t>
  </si>
  <si>
    <t>ANALISTA PROGRAMADOR</t>
  </si>
  <si>
    <t>43931663</t>
  </si>
  <si>
    <t>BRUNO DAMIAN THOMAS AARON</t>
  </si>
  <si>
    <t>DIRECTORA GENERAL. R. M. Nº 149-2018-VIVIENDA</t>
  </si>
  <si>
    <t>10277166</t>
  </si>
  <si>
    <t>BURGOS QUIÑONES MERLITA MELINA</t>
  </si>
  <si>
    <t>25001877</t>
  </si>
  <si>
    <t>BUSTAMANTE MUÑIZ JOSE LUIS</t>
  </si>
  <si>
    <t>Gestor Social para la Región Lima Metropolitana</t>
  </si>
  <si>
    <t>09334631</t>
  </si>
  <si>
    <t>BUSTILLOS LUQUE ROSA AMERICA</t>
  </si>
  <si>
    <t>BACHILLER EN CONTABILIDAD</t>
  </si>
  <si>
    <t>DIRECTOR. R. M. Nº 345-2019-VIVIENDA</t>
  </si>
  <si>
    <t>41379178</t>
  </si>
  <si>
    <t>CABALLERO ROJAS GERARDO ALONSO</t>
  </si>
  <si>
    <t>LIC. EN PERIODISMO</t>
  </si>
  <si>
    <t>GRADO DE MAGISTER</t>
  </si>
  <si>
    <t>ASESOR EN PLANEAMIENTO Y PRESUPUESTO</t>
  </si>
  <si>
    <t>07274446</t>
  </si>
  <si>
    <t>CABELLO CACERES JULIA ELIZABETH</t>
  </si>
  <si>
    <t>OPERADOR DE MAQUINARIA PESADA - AYACUCHO</t>
  </si>
  <si>
    <t>46674228</t>
  </si>
  <si>
    <t>CABREJOS HUAMAN JAMES ADISON</t>
  </si>
  <si>
    <t>COORDINADORA EN CONTROL PREVIO</t>
  </si>
  <si>
    <t>10508666</t>
  </si>
  <si>
    <t>CABRERA PALOMINO RAQUEL ANGELICA</t>
  </si>
  <si>
    <t>10242048</t>
  </si>
  <si>
    <t>CACERES AQUINO WILLIAM ROGER</t>
  </si>
  <si>
    <t>EDUCACIÓN SUPERIOR (INSTITUTO SUPERIOR, ETC) COMPLETA</t>
  </si>
  <si>
    <t>40137564</t>
  </si>
  <si>
    <t>CACERES GARBO KAREM JANETH</t>
  </si>
  <si>
    <t>08709454</t>
  </si>
  <si>
    <t>CACERES LUCAR ERIKA GABRIELA</t>
  </si>
  <si>
    <t>ASISTENTE DE SOPORTE TECNICO</t>
  </si>
  <si>
    <t>46034141</t>
  </si>
  <si>
    <t>CACERES RIVERA ANDRES AVELINO</t>
  </si>
  <si>
    <t xml:space="preserve">DIRECTORA. R. M. Nº 024-2018-VIVIENDA </t>
  </si>
  <si>
    <t>07604317</t>
  </si>
  <si>
    <t>CACERES VALENCIA ROSA MARIA NATIVIDAD</t>
  </si>
  <si>
    <t>Abogado</t>
  </si>
  <si>
    <t>40583653</t>
  </si>
  <si>
    <t>CADENILLAS LOPEZ ALEX GERMAN</t>
  </si>
  <si>
    <t>LICENCIADO EN DERECHO</t>
  </si>
  <si>
    <t>21542923</t>
  </si>
  <si>
    <t>CAHUA CORDOVA ALEX RONALD</t>
  </si>
  <si>
    <t>COORDINADORA  GENERAL - AYACUCHO</t>
  </si>
  <si>
    <t>40566302</t>
  </si>
  <si>
    <t>CAHUANA QUISPE MARLENY</t>
  </si>
  <si>
    <t>ESPECIALISTA EN MEJORAMIENTO DE VIVIENDA RURAL</t>
  </si>
  <si>
    <t>09918021</t>
  </si>
  <si>
    <t>CALDAS BORJA LOURDES EMILIA</t>
  </si>
  <si>
    <t>ASISTENTE SOCIAL</t>
  </si>
  <si>
    <t>43426388</t>
  </si>
  <si>
    <t>CALDERON CHAMORRO GABY</t>
  </si>
  <si>
    <t>TRABAJO SOCIAL</t>
  </si>
  <si>
    <t>TECNICO EN TRATAMIENTO DE AREAS VERDES</t>
  </si>
  <si>
    <t>06983121</t>
  </si>
  <si>
    <t>CALDERON HUAYTALLA SILVESTRE</t>
  </si>
  <si>
    <t>ESPECIALISTA  LEGAL</t>
  </si>
  <si>
    <t>10300955</t>
  </si>
  <si>
    <t>CALDERON OLIVOS SANTIAGO MARTIN</t>
  </si>
  <si>
    <t>ASISTENTE EN PROTOCOLO</t>
  </si>
  <si>
    <t>44776257</t>
  </si>
  <si>
    <t>CALDERON PACHECO GABRIELA MARGARITA</t>
  </si>
  <si>
    <t>BACH. EN CIENCIAS DE LA COMUNICACIÓN</t>
  </si>
  <si>
    <t>COORDINADOR GENERAL DEL CENTRO DE ATENCIÓN AL CIUDADANO - HUANUCO</t>
  </si>
  <si>
    <t>22672898</t>
  </si>
  <si>
    <t>CALDERON ROMERO ARTURO</t>
  </si>
  <si>
    <t>OPERADOR DE MAQUINARIA PESADA - CAJAMARCA</t>
  </si>
  <si>
    <t>26723301</t>
  </si>
  <si>
    <t>CALLE BREÑA JUAN JOSE</t>
  </si>
  <si>
    <t>10618881</t>
  </si>
  <si>
    <t>CALLE TIMOTEO WILMER</t>
  </si>
  <si>
    <t>DIRECTOR GENERAL. R.M.Nº 092-2017-VIVIENDA</t>
  </si>
  <si>
    <t>10122954</t>
  </si>
  <si>
    <t>CAMACHO ZARATE DANIEL ALFONSO</t>
  </si>
  <si>
    <t>INGENIERO INDUSTRIAL</t>
  </si>
  <si>
    <t>20056641</t>
  </si>
  <si>
    <t>CAMARENA MANYARI EDITH CARMEN</t>
  </si>
  <si>
    <t>ANALISTA EN FORTALECIMIENTO SOCIAL</t>
  </si>
  <si>
    <t>47849097</t>
  </si>
  <si>
    <t>CAMARGO NIETO JENNY MILAGROS</t>
  </si>
  <si>
    <t xml:space="preserve">ESPECIALISTA LEGAL EN DERECHO ADMINISTRATIVO Y PROCEDIMIENTO DISCIPLINARIO </t>
  </si>
  <si>
    <t>43653214</t>
  </si>
  <si>
    <t>CAMPOS CARRIZALES GRECIA CAROLINA</t>
  </si>
  <si>
    <t>ANALISTAS EN PROYECTOS</t>
  </si>
  <si>
    <t>41765406</t>
  </si>
  <si>
    <t>CAMPOS CASTAÑEDA HENRY ALAN</t>
  </si>
  <si>
    <t>ASISTENTE TÉCNICO ADMINISTRATIVO</t>
  </si>
  <si>
    <t>08693127</t>
  </si>
  <si>
    <t>CAMPOS RIVAS MIRYAM ROSA</t>
  </si>
  <si>
    <t>EGRESADA DEL PROFESIONAL TÉCNICO DE ADMINSITRACIÓN</t>
  </si>
  <si>
    <t>TECNICO 2 AÑO - COMPLETO</t>
  </si>
  <si>
    <t>09674103</t>
  </si>
  <si>
    <t>CANALES RODRIGUEZ JULIA</t>
  </si>
  <si>
    <t>ASISTENTE ADMINISTRATIVA - ANCASH</t>
  </si>
  <si>
    <t>45640444</t>
  </si>
  <si>
    <t>CANCHA CASTRO LUCINDA EDITA</t>
  </si>
  <si>
    <t>ANALISTA EN SISTEMAS DE INFORMACIÓN GEOGRAFICA</t>
  </si>
  <si>
    <t>43416064</t>
  </si>
  <si>
    <t>CANDELARIO HUISACAYNA HECTOR GUILLERMO</t>
  </si>
  <si>
    <t>APOYO ADMINISTRATIVO</t>
  </si>
  <si>
    <t>42742979</t>
  </si>
  <si>
    <t>CANDIA SEGOVIA TITO VICTOR</t>
  </si>
  <si>
    <t>ESTUDIANTE DE CARRERA TECNICA DE TOPOGRAFIA</t>
  </si>
  <si>
    <t>EDUCACIÓN TÉCNICA INCOMPLETA</t>
  </si>
  <si>
    <t>TECNICO EN COMPUTACIÓN</t>
  </si>
  <si>
    <t>40128129</t>
  </si>
  <si>
    <t>CANDIA SEGOVIA WILFREDO</t>
  </si>
  <si>
    <t>TECNICO EN COMPUTACION</t>
  </si>
  <si>
    <t>DIRECTOR GENERAL. R.M. Nº 247-2018-VIVIENDA</t>
  </si>
  <si>
    <t>07462730</t>
  </si>
  <si>
    <t>CANELO MESIAS RUBEN</t>
  </si>
  <si>
    <t>ESPECIALISTA EN GESTIÓN DE INVERSIONES, PROGRAMACIÓN, METODOLOGÍAS Y CAPACITACIÓN</t>
  </si>
  <si>
    <t>41746821</t>
  </si>
  <si>
    <t>CANO CUSIPAUCAR MAGALITH ASTRITH</t>
  </si>
  <si>
    <t>INGENIERO ECONOMISTA</t>
  </si>
  <si>
    <t>07314540</t>
  </si>
  <si>
    <t>CAÑARI RIVERA WILSON SONNY</t>
  </si>
  <si>
    <t>PROFESIONAL TÉCNICO EN ING. DE TELECOMUNICACIONES</t>
  </si>
  <si>
    <t>10009977</t>
  </si>
  <si>
    <t>CARBAJAL ARCEGA PASCUAL</t>
  </si>
  <si>
    <t>DIRECTOR. R.M. Nº 279-2019-VIVIENDA</t>
  </si>
  <si>
    <t>42123235</t>
  </si>
  <si>
    <t>CARBAJAL NAVARRO MAX ARTURO</t>
  </si>
  <si>
    <t>45842742</t>
  </si>
  <si>
    <t>CARBONEL DEL CASTILLO JOSE EDUARDO</t>
  </si>
  <si>
    <t>DIRECTORA. R. M. Nº 494-2017-VIVIENDA</t>
  </si>
  <si>
    <t>08849022</t>
  </si>
  <si>
    <t>CARDENAS BASALDUA LUZ AMELIA</t>
  </si>
  <si>
    <t>BACHILLER</t>
  </si>
  <si>
    <t>DIRECTOR. R. M. Nº 201-2019-VIVIENDA</t>
  </si>
  <si>
    <t>09797660</t>
  </si>
  <si>
    <t>CARDENAS CASTILLO CESAR AUGUSTO</t>
  </si>
  <si>
    <t>10607122</t>
  </si>
  <si>
    <t>CARDENAS GUTARRA PERCY FELIX</t>
  </si>
  <si>
    <t>ASISTENTE LEGAL</t>
  </si>
  <si>
    <t>10196158</t>
  </si>
  <si>
    <t>CARDENAS LIZARRAGA JOEL MARTIN</t>
  </si>
  <si>
    <t>COORDINADOR NACIONAL</t>
  </si>
  <si>
    <t>08882685</t>
  </si>
  <si>
    <t>CARDENAS RODRIGUEZ ERNESTO RAFAEL IVAN</t>
  </si>
  <si>
    <t>ANALISTA EN PRESUPUESTO</t>
  </si>
  <si>
    <t>08891759</t>
  </si>
  <si>
    <t>CARDENAS SOLANO DE ORBEGOSO JULY KAREN</t>
  </si>
  <si>
    <t>AUXILIAR EN ARCHIVO</t>
  </si>
  <si>
    <t>45876055</t>
  </si>
  <si>
    <t>CARHUAPOMA CAPILLO LILI YOVANA</t>
  </si>
  <si>
    <t xml:space="preserve">ESPECIALISTA EN PROGRAMACION </t>
  </si>
  <si>
    <t>08564657</t>
  </si>
  <si>
    <t>CARHUATOCTO GUERRERO JESUS CLEMENTE</t>
  </si>
  <si>
    <t>INGENIERO ESTADISTICO</t>
  </si>
  <si>
    <t>TECNICO EN ARCHIVO</t>
  </si>
  <si>
    <t>41908528</t>
  </si>
  <si>
    <t>CARHUAYO HUAMANI JORGE JAMES</t>
  </si>
  <si>
    <t>30416160</t>
  </si>
  <si>
    <t>CARNERO TORRES ZOILO DANIEL</t>
  </si>
  <si>
    <t>DIRECTOR. R.M. Nº 278-2019-VIVIENDA</t>
  </si>
  <si>
    <t>18091355</t>
  </si>
  <si>
    <t>CARO CALDERON FRANCISCO JAVIER</t>
  </si>
  <si>
    <t>ING. INDUSTRIAL</t>
  </si>
  <si>
    <t>ESPECIALISTA EN PLANIFICACIÓN SECTORIAL</t>
  </si>
  <si>
    <t>07959744</t>
  </si>
  <si>
    <t>CARO SOLARI MANUEL EDWIN</t>
  </si>
  <si>
    <t xml:space="preserve">EXPERTO EN PROYECTOS DE INVERSIÓN Y ASUNTOS ECONÓMICOS </t>
  </si>
  <si>
    <t>29706840</t>
  </si>
  <si>
    <t>CARPIO TERAN ROLANDO MANUEL</t>
  </si>
  <si>
    <t>ESPECIALISTA EN INSPECCIONES TÉCNICAS ELECTRICAS DE SEGURIDAD EN EDIFICACIONES</t>
  </si>
  <si>
    <t>06750891</t>
  </si>
  <si>
    <t>CARRANZA BARRENA LUIS ALBERTO</t>
  </si>
  <si>
    <t>INGENIERO MECANICO ELECTRICISTA</t>
  </si>
  <si>
    <t>71260608</t>
  </si>
  <si>
    <t>CARRANZA JOYA JULIO CESAR ANTONIO</t>
  </si>
  <si>
    <t>43695368</t>
  </si>
  <si>
    <t>CARRANZA VASQUEZ JHONISON</t>
  </si>
  <si>
    <t>APOYO ADMINSITRATIVO</t>
  </si>
  <si>
    <t>25782639</t>
  </si>
  <si>
    <t>CARRASCO RAMOS KARINA</t>
  </si>
  <si>
    <t>COORDINADORA DE GESTIÓN ADMINISTRATIVA</t>
  </si>
  <si>
    <t>03673001</t>
  </si>
  <si>
    <t>CARREÑO TINOCO ELIDA JULLIANA</t>
  </si>
  <si>
    <t>INGENIERIO ADMINISTRATIVO</t>
  </si>
  <si>
    <t>ASISTENTE ADMINISTRATIVO - APURIMAC</t>
  </si>
  <si>
    <t>23875544</t>
  </si>
  <si>
    <t>CARRERA ESPINOZA MARIA BEATRIZ</t>
  </si>
  <si>
    <t>AUXILIAR  EN  PROTOCOLO</t>
  </si>
  <si>
    <t>41471128</t>
  </si>
  <si>
    <t>CARRILLO ALVARADO CORSY DANITZA</t>
  </si>
  <si>
    <t>ESTUDIANTE EN TRADUCCION E INTERPRETACION</t>
  </si>
  <si>
    <t>RECEPCIONISTA</t>
  </si>
  <si>
    <t>09073762</t>
  </si>
  <si>
    <t>CARRILLO DE GONZALEZ DE LANGARICA OLINDA YANINA</t>
  </si>
  <si>
    <t>ESTU. CARRERA PROFESIONAL DE SECRETARIADO EJECUTIVO</t>
  </si>
  <si>
    <t>71526061</t>
  </si>
  <si>
    <t>CARRILLO ESPINOZA JUNIOR ALBERTO</t>
  </si>
  <si>
    <t>ESPECIALISTA LEGAL EN REGISTRO DE PROYECTOS</t>
  </si>
  <si>
    <t>09459872</t>
  </si>
  <si>
    <t>CARRILLO RISCO AMELIA PATRICIA</t>
  </si>
  <si>
    <t>09323015</t>
  </si>
  <si>
    <t>CARRILLO TORRES LUIS ALBERTO</t>
  </si>
  <si>
    <t>BACHILLER EN CIENCIAS CONTABLES</t>
  </si>
  <si>
    <t>ESPECIALISTA EN ASESORIA Y APOYO TÉCNICO DE PROGRAMAS Y PROYECTOS</t>
  </si>
  <si>
    <t>10802951</t>
  </si>
  <si>
    <t>CARVALLO SALAS CAROLINA ELOISA SOFIA</t>
  </si>
  <si>
    <t>ANALISTA EN ATENCIÓN AL CIUDADANO - LA LIBERTAD</t>
  </si>
  <si>
    <t>18166313</t>
  </si>
  <si>
    <t>CASANA ARAUJO JORGE DANIEL</t>
  </si>
  <si>
    <t>COORDINADORA  EJECUTIVA</t>
  </si>
  <si>
    <t>25681876</t>
  </si>
  <si>
    <t>CASARETTO UGARTE ITALA TERESA</t>
  </si>
  <si>
    <t>ESPECIALISTA EN SEGURIDAD, DEFENSA NACIONAL Y EN GESTIÓN DEL RIESGO DE DESASTRES</t>
  </si>
  <si>
    <t>16789963</t>
  </si>
  <si>
    <t>CASAS ÑIQUEN PEDRO</t>
  </si>
  <si>
    <t>70536647</t>
  </si>
  <si>
    <t>CASO HERRADA FRANKLIN BIRGUEZ</t>
  </si>
  <si>
    <t xml:space="preserve">ESPECIALISTA EN GESTIÓN DE INVERSIONES, PROGRAMACIÓN, METODOLOGIAS Y CAPACITACIÓN </t>
  </si>
  <si>
    <t>41919530</t>
  </si>
  <si>
    <t>CASTAÑEDA CORONEL DAVID</t>
  </si>
  <si>
    <t>ESPECIALISTA LEGAL EN SANEAMIENTO</t>
  </si>
  <si>
    <t>42809992</t>
  </si>
  <si>
    <t>CASTAÑEDA JULCA MARIA MAGDALENA</t>
  </si>
  <si>
    <t>ESPECIALISTA LEGAL EN FISCALIZACIÓN AMBIENTAL</t>
  </si>
  <si>
    <t>42088696</t>
  </si>
  <si>
    <t>CASTAÑEDA ROMAN ERICK</t>
  </si>
  <si>
    <t>ASISTENTE ADMINISTRATIVA - CAJAMARCA</t>
  </si>
  <si>
    <t>42794894</t>
  </si>
  <si>
    <t>CASTAÑEDA VALDIVIA ANGELICA VIRGINIA</t>
  </si>
  <si>
    <t>BACH. EN ADMINISTRACIÓN</t>
  </si>
  <si>
    <t>TECNICA DIGITALIZADORA</t>
  </si>
  <si>
    <t>44946942</t>
  </si>
  <si>
    <t>CASTILLO OLIVARES DANIELA</t>
  </si>
  <si>
    <t>PROFESIONAL TECNICO EN ADMINISTRACION DE EMPRESAS</t>
  </si>
  <si>
    <t>29590623</t>
  </si>
  <si>
    <t>CASTILLO OYOLA WILLY JAIME</t>
  </si>
  <si>
    <t>09856082</t>
  </si>
  <si>
    <t>CASTILLO PALOMINO MARILU DEL CARMEN</t>
  </si>
  <si>
    <t>23983472</t>
  </si>
  <si>
    <t>CASTILLO VARGAS MARIA ESTHER</t>
  </si>
  <si>
    <t>43222788</t>
  </si>
  <si>
    <t>CASTRO BONAR MIGUEL ANGEL</t>
  </si>
  <si>
    <t>ESTUDIANTE ADMINISTRACION DE NEGOCIOS</t>
  </si>
  <si>
    <t>ASISTENTE ADMINISTRATIVA - ICA</t>
  </si>
  <si>
    <t>41569171</t>
  </si>
  <si>
    <t>CASTRO CHACALTANA EVELYN GRETZEL</t>
  </si>
  <si>
    <t>ANALISTA EN NORMAS TÉCNICAS Y SEGURIDAD EN EDIFICACIONES</t>
  </si>
  <si>
    <t>09236942</t>
  </si>
  <si>
    <t>CASTRO CORREA LUIS AMERICO</t>
  </si>
  <si>
    <t>10487566</t>
  </si>
  <si>
    <t>CASTRO LAINAS CESAR ALFONSO</t>
  </si>
  <si>
    <t>DIRECTORA. R. M. Nº 324-2018-VIVIENDA</t>
  </si>
  <si>
    <t>18133770</t>
  </si>
  <si>
    <t>CASTRO SAGÁSTEGUI NADIA ALEIDA</t>
  </si>
  <si>
    <t>DIRECTOR. R. M. Nº 321-2018-VIVIENDA</t>
  </si>
  <si>
    <t>18115829</t>
  </si>
  <si>
    <t>CASTRO VARGAS JUAN CARLOS</t>
  </si>
  <si>
    <t>ESPECIALISTA LEGAL EN SANEAMIENTO DE TERRENOS</t>
  </si>
  <si>
    <t>09850195</t>
  </si>
  <si>
    <t>CASTRO VELARDE RUTH SILVANA</t>
  </si>
  <si>
    <t>45913527</t>
  </si>
  <si>
    <t>CAYTUIRO MIRANDA EDDY JESUS</t>
  </si>
  <si>
    <t>EGRESADO DE ADMINISTRACIÓN</t>
  </si>
  <si>
    <t>ASISTENTE ADMINISTRATIVO - HUANCAVELICA</t>
  </si>
  <si>
    <t>42527757</t>
  </si>
  <si>
    <t>CCAHUANA PUCLLAS MARISOL</t>
  </si>
  <si>
    <t>TECNICO EN ADQUISICIONES</t>
  </si>
  <si>
    <t>70442871</t>
  </si>
  <si>
    <t>CCOYLLO QUISPE JOEL ADOLFO</t>
  </si>
  <si>
    <t>DIRECTOR. R.M. Nº 118-2019-VIVIENDA</t>
  </si>
  <si>
    <t>40850768</t>
  </si>
  <si>
    <t>CERRON VALDIVIA JOSE ANTONIO</t>
  </si>
  <si>
    <t>ASISTENTE EN SERVICIOS GENERALES</t>
  </si>
  <si>
    <t>46388179</t>
  </si>
  <si>
    <t>CERVANTES ALVAREZ LISSETTE MALU</t>
  </si>
  <si>
    <t>TÉCNICO DIGITALIZADOR</t>
  </si>
  <si>
    <t>48177316</t>
  </si>
  <si>
    <t>CERVANTES MESIAS ALEXANDER</t>
  </si>
  <si>
    <t>RESPONSABLE DE LA UNIDAD DE INVERSIONES EN DESARROLLO URBANO SOSTENIBLE</t>
  </si>
  <si>
    <t>26706470</t>
  </si>
  <si>
    <t>CESPEDES CACERES OLIVER JAVIER</t>
  </si>
  <si>
    <t>ASESORA II.   R.M. Nº 283-2019-VIVIENDA</t>
  </si>
  <si>
    <t>80399315</t>
  </si>
  <si>
    <t>CHACON ARANDA ROCIO DEL PILAR</t>
  </si>
  <si>
    <t>ESPECIALISTA EN ADQUISICIONES</t>
  </si>
  <si>
    <t>10104218</t>
  </si>
  <si>
    <t>CHAGUA TUCTO MAUDE ROXANA</t>
  </si>
  <si>
    <t xml:space="preserve">ESPECIALISTA EN GESTIÓN DE LA COMUNICACIÓN </t>
  </si>
  <si>
    <t>10061199</t>
  </si>
  <si>
    <t>CHANG ARECHAGA ADOLFO JOHNNY</t>
  </si>
  <si>
    <t>LIC. EN CIENCIAS DE LA COMUNICACIÓN</t>
  </si>
  <si>
    <t>ASESOR LEGAL</t>
  </si>
  <si>
    <t>09887897</t>
  </si>
  <si>
    <t>CHANG CHU JOSE ANTONIO</t>
  </si>
  <si>
    <t>ANALISTA DE INDUCCION DE PERSONAL</t>
  </si>
  <si>
    <t>41686586</t>
  </si>
  <si>
    <t>CHANG RODRIGUEZ MARIA LUISA</t>
  </si>
  <si>
    <t>AGROFORESTAL</t>
  </si>
  <si>
    <t>08949953</t>
  </si>
  <si>
    <t>CHANTA VARGAS JUAN</t>
  </si>
  <si>
    <t>ASISTENTE EJECUTIVA</t>
  </si>
  <si>
    <t>09721692</t>
  </si>
  <si>
    <t>CHAÑA TOLEDO ANA MARIA</t>
  </si>
  <si>
    <t>AUXILIAR AMBIENTAL</t>
  </si>
  <si>
    <t>46323507</t>
  </si>
  <si>
    <t>CHAPARRO ROJAS ARTURO ORLANDO</t>
  </si>
  <si>
    <t>ESPECIALISTA LEGAL PARA EL AREA DE TIERRAS Y RESERVA TERRITORIAL</t>
  </si>
  <si>
    <t>10201599</t>
  </si>
  <si>
    <t>CHAPOÑAN CABRERA MERCEDES MAGALY</t>
  </si>
  <si>
    <t>ANALISTA DE TESORERIA</t>
  </si>
  <si>
    <t>45437982</t>
  </si>
  <si>
    <t>CHAVEZ CABALLERO ROCIO ESTELA LUZMILA</t>
  </si>
  <si>
    <t>ESPECIALISTA TECNICO</t>
  </si>
  <si>
    <t>25738431</t>
  </si>
  <si>
    <t>CHAVEZ FARFAN EDUARDO ANTONIO</t>
  </si>
  <si>
    <t>43490679</t>
  </si>
  <si>
    <t>CHAVEZ FLORES REILLY</t>
  </si>
  <si>
    <t>74035105</t>
  </si>
  <si>
    <t>CHAVEZ LINARES ELAYSA GUADALUPE</t>
  </si>
  <si>
    <t>42844724</t>
  </si>
  <si>
    <t>CHAVEZ MIRANDA ANA MARIA</t>
  </si>
  <si>
    <t>ANALISTA EN ATENCIÓN AL CIUDADANO - PIURA</t>
  </si>
  <si>
    <t>27081812</t>
  </si>
  <si>
    <t>CHAVEZ SORIANO JUAN JAVIER</t>
  </si>
  <si>
    <t>DIRECTORA. R.M. Nº 258-2018-VIVIENDA</t>
  </si>
  <si>
    <t>06777769</t>
  </si>
  <si>
    <t>CHAVEZ UBALDO MARIA SHAFELY</t>
  </si>
  <si>
    <t>10241849</t>
  </si>
  <si>
    <t>CHAVEZ ZAMORA TOMAS</t>
  </si>
  <si>
    <t>ASISTENTE ADMINISTRATIVA - LA LIBERTAD</t>
  </si>
  <si>
    <t>42412471</t>
  </si>
  <si>
    <t>CHICOMA DIAZ LILIANA LORENA</t>
  </si>
  <si>
    <t>AUXILIAR EN DIGITALIZACIÓN</t>
  </si>
  <si>
    <t>44403941</t>
  </si>
  <si>
    <t>CHIPANA BARBA JOSEPH FRANKLIN</t>
  </si>
  <si>
    <t>ING. EN INFORMATICA Y DE SISTEMAS</t>
  </si>
  <si>
    <t>COORDINADOR GENERAL - TACNA</t>
  </si>
  <si>
    <t>29294167</t>
  </si>
  <si>
    <t>CHIPANA MERCADO JOSE MARIA ELBER</t>
  </si>
  <si>
    <t>ANALISTA EN PLANEAMIENTO Y PRESUPUESTO</t>
  </si>
  <si>
    <t>46440043</t>
  </si>
  <si>
    <t>CHIRINOS CONDORI ROSMERY</t>
  </si>
  <si>
    <t>TECNICA EN REMUNERACIONES</t>
  </si>
  <si>
    <t>03646604</t>
  </si>
  <si>
    <t>CHIROQUE SANDOVAL BETSY</t>
  </si>
  <si>
    <t>TECNICO EN COMPUTACION E INFORMATICA</t>
  </si>
  <si>
    <t>07712309</t>
  </si>
  <si>
    <t>CHOCANO LARA DE BARRIGA CARMEN CECILIA</t>
  </si>
  <si>
    <t>ANALISTA EN SUPERVISIÓN AMBIENTAL</t>
  </si>
  <si>
    <t>44971096</t>
  </si>
  <si>
    <t>CHOMBA GOMEZ IRENE ISABEL</t>
  </si>
  <si>
    <t>INGENIERA  AMBIENTAL</t>
  </si>
  <si>
    <t>PERSONA NATURAL PARA EL ACONDICIONAMIENTO DE VIVERO</t>
  </si>
  <si>
    <t>10037373</t>
  </si>
  <si>
    <t>CHOQUETICO YAPO PEDRO RENAN</t>
  </si>
  <si>
    <t>42357460</t>
  </si>
  <si>
    <t>CHUCO GUTIERREZ PATRICIA</t>
  </si>
  <si>
    <t>ANALISTA DE DESARROLLO Y PROCESOS</t>
  </si>
  <si>
    <t>10713762</t>
  </si>
  <si>
    <t>CHUMBIPUMA VILLA NELSON JANSS</t>
  </si>
  <si>
    <t>45937817</t>
  </si>
  <si>
    <t>CHUNGA ALZAMORA CARLOS SEGUNDO</t>
  </si>
  <si>
    <t>07079395</t>
  </si>
  <si>
    <t>CHURAMPI ROJAS EDGAR RUBEN</t>
  </si>
  <si>
    <t>45478900</t>
  </si>
  <si>
    <t>CIEZA MANTA CAMILO ANDRE</t>
  </si>
  <si>
    <t>ESPECIALISTA EN SANEAMIENTO</t>
  </si>
  <si>
    <t>43907938</t>
  </si>
  <si>
    <t>CLAUDIO SANCHEZ JANICE CATHERINE</t>
  </si>
  <si>
    <t>42437047</t>
  </si>
  <si>
    <t>COELLO TERAN HENRY</t>
  </si>
  <si>
    <t>DIRECTOR EJECUTIVO. R. M. Nº 103-2019-VIVIENDA</t>
  </si>
  <si>
    <t>07628389</t>
  </si>
  <si>
    <t>COLICHON BOLIVAR JUAN CARLOS GERMAN</t>
  </si>
  <si>
    <t>ING. EN INDUSTRIAS ALIMENTARIAS</t>
  </si>
  <si>
    <t>RESPONSABLE DEL AREA DE PLANEAMIENTO Y PRESUPUESTO</t>
  </si>
  <si>
    <t>10690351</t>
  </si>
  <si>
    <t>CONCHA ARANDA VICTOR MANUEL</t>
  </si>
  <si>
    <t>ANALISTA EN ATENCIÓN AL CIUDADANO - AREQUIPA</t>
  </si>
  <si>
    <t>41103860</t>
  </si>
  <si>
    <t>CONCHA PEREIRA DANIEL ANTONIO</t>
  </si>
  <si>
    <t>47073923</t>
  </si>
  <si>
    <t>CONDE OLAVE ROCIO SOLANGE</t>
  </si>
  <si>
    <t>08789059</t>
  </si>
  <si>
    <t>CONDORI VILCA GABINO</t>
  </si>
  <si>
    <t>COORDINADOR REGIONAL DE OPERACIONES - AYACUCHO</t>
  </si>
  <si>
    <t>28288731</t>
  </si>
  <si>
    <t>CONTRERAS ARONES FELIX VLADIMIR</t>
  </si>
  <si>
    <t>ANALISTA LEGAL</t>
  </si>
  <si>
    <t>47357009</t>
  </si>
  <si>
    <t>CONTRERAS MONTOYA ROSANA</t>
  </si>
  <si>
    <t>UNIVERSITARIA BACHILLER</t>
  </si>
  <si>
    <t>09302193</t>
  </si>
  <si>
    <t>CONTRERAS MORALES OSCAR ARTURO</t>
  </si>
  <si>
    <t>COORDINADOR DE SERVICIOS GENERALES, TRANSPORTE Y SEGURIDAD</t>
  </si>
  <si>
    <t>09300047</t>
  </si>
  <si>
    <t>CORDERO NOVOA JORGE GUSTAVO</t>
  </si>
  <si>
    <t>MAESTRIA EN ADMINISTRACIÓN PÚBLICA</t>
  </si>
  <si>
    <t>GESTOR DOCUMENTARIO</t>
  </si>
  <si>
    <t>09822230</t>
  </si>
  <si>
    <t>CORDOVA INGAROCA YIMMY RAFAEL</t>
  </si>
  <si>
    <t>20114269</t>
  </si>
  <si>
    <t>CORDOVA RAMOS EDWARD</t>
  </si>
  <si>
    <t>ANALISTA DE PROYECTOS</t>
  </si>
  <si>
    <t>41772371</t>
  </si>
  <si>
    <t>CORIMANYA DIAZ JAN</t>
  </si>
  <si>
    <t>ANALISTA DE CAPACITACIÓN</t>
  </si>
  <si>
    <t>41425896</t>
  </si>
  <si>
    <t>CORNEJO CARDENAS LUZ ELENA</t>
  </si>
  <si>
    <t>ANALISTA DE EVALUACIÓN DE RESULTADOS</t>
  </si>
  <si>
    <t>06155027</t>
  </si>
  <si>
    <t>CORNEJO FLORES CARLOS ERNESTO</t>
  </si>
  <si>
    <t>09672067</t>
  </si>
  <si>
    <t>CORNEJO GUTIERREZ DE DONGO MARIA INES</t>
  </si>
  <si>
    <t>DIRECTOR. R. M. Nº 139-2019-VIVIENDA</t>
  </si>
  <si>
    <t>70409925</t>
  </si>
  <si>
    <t>CORNEJO PRESBITERO MARTIN</t>
  </si>
  <si>
    <t>OPERADOR DE MAQUINARIA PESADA - LA LIBERTAD.</t>
  </si>
  <si>
    <t>19261412</t>
  </si>
  <si>
    <t>CORTES VALDIVIEZO RAFAEL FERNANDO</t>
  </si>
  <si>
    <t>OPERADOR Y MANTENIMIENTO DE MAQUINARIA PESADA</t>
  </si>
  <si>
    <t>06766499</t>
  </si>
  <si>
    <t>COSCO ASHTU HUGO TITO</t>
  </si>
  <si>
    <t>INGENIERO AGRONOMO</t>
  </si>
  <si>
    <t>ANALISTA EN CONTROL PREVIO</t>
  </si>
  <si>
    <t>10528011</t>
  </si>
  <si>
    <t>COSSIO RETAMOZO EVELYN MAGDALENA</t>
  </si>
  <si>
    <t>ESPECIALISTA EN SUPERVISIÓN AMBIENTAL</t>
  </si>
  <si>
    <t>06309621</t>
  </si>
  <si>
    <t>COSTILLA ALIAGA JAIME LORENZO</t>
  </si>
  <si>
    <t>ESPECIALISTA EN EVALUACIÓN DE VIVIENDAS DE LA UNIDAD DE GESTIÓN SOCIAL</t>
  </si>
  <si>
    <t>32922933</t>
  </si>
  <si>
    <t>COTOS PEREZ SONIA APOLONIA</t>
  </si>
  <si>
    <t>ESPECIALISTA EN CONTROL DE ASISTENCIA</t>
  </si>
  <si>
    <t>10456631</t>
  </si>
  <si>
    <t>COTRINA DIAZ CESAR AUGUSTO</t>
  </si>
  <si>
    <t>LICENCIADO EN ADMINISTRACION</t>
  </si>
  <si>
    <t>ESPECIALISTA EN GESTIÓN PRESUPUESTAL Y ADMINISTRATIVA</t>
  </si>
  <si>
    <t>02446902</t>
  </si>
  <si>
    <t>COYLA VELARDE EDITH CANDELARIA</t>
  </si>
  <si>
    <t>21289836</t>
  </si>
  <si>
    <t>CRISTOBAL ALONSO LEONARD NILTON</t>
  </si>
  <si>
    <t>09972021</t>
  </si>
  <si>
    <t>CRISTOBAL JAVE DINA MARISA</t>
  </si>
  <si>
    <t>07536223</t>
  </si>
  <si>
    <t>CROAS MANSILLA ANDRES FRANCISCO</t>
  </si>
  <si>
    <t>ANALISTA EN ATENCIÓN AL CIUDADANO - PASCO</t>
  </si>
  <si>
    <t>41336926</t>
  </si>
  <si>
    <t>CRUZ CONDOR JUDITH</t>
  </si>
  <si>
    <t>ASISTENTE ADMINISTRATIVA - PIURA</t>
  </si>
  <si>
    <t>46723785</t>
  </si>
  <si>
    <t>CRUZ CRUZ PAOLA KATHERINE</t>
  </si>
  <si>
    <t xml:space="preserve">AUXILIAR EN TRAMITE DOCUMENTARIO </t>
  </si>
  <si>
    <t>41267031</t>
  </si>
  <si>
    <t>CRUZ HUAMAN JUAN ROLANDO</t>
  </si>
  <si>
    <t>TÉCNICO EN CONTABIDAD</t>
  </si>
  <si>
    <t>25719057</t>
  </si>
  <si>
    <t>CRUZ MAYLLE ABELARDO</t>
  </si>
  <si>
    <t>TECNICO EN CONTABILIDAD</t>
  </si>
  <si>
    <t>ESPECIALISTA EN GESTIÓN URBANA</t>
  </si>
  <si>
    <t>08784364</t>
  </si>
  <si>
    <t>CUADROS ABANTO ROCIO FANNY GULNARA</t>
  </si>
  <si>
    <t>ESPECIALISTA EN SUPERVISIÓN</t>
  </si>
  <si>
    <t>07566931</t>
  </si>
  <si>
    <t>CUBA MORA JULIO CESAR ELOY</t>
  </si>
  <si>
    <t>DIRECTORA. R.M. Nº 160-2018-VIVIENDA</t>
  </si>
  <si>
    <t>41116882</t>
  </si>
  <si>
    <t>CUELLAR SASIETA MAGDALENA AURORA</t>
  </si>
  <si>
    <t>ASISTENTE DE INGRESOS</t>
  </si>
  <si>
    <t>46351991</t>
  </si>
  <si>
    <t>CUEVA FLORES SANDRA KATHERINE</t>
  </si>
  <si>
    <t>ANALISTA EN ATENCIÓN AL CIUDADANO - LAMBAYEQUE</t>
  </si>
  <si>
    <t>43498523</t>
  </si>
  <si>
    <t>CULQUI LOZADA LILIANA</t>
  </si>
  <si>
    <t>ASISTENTE EN GESTIÓN ADMINISTRATIVA</t>
  </si>
  <si>
    <t>73615227</t>
  </si>
  <si>
    <t>CUNURANA CHUMIOQUE MARIA LAURA</t>
  </si>
  <si>
    <t>ESPECIALISTA DE DEFENSA LEGAL</t>
  </si>
  <si>
    <t>45592624</t>
  </si>
  <si>
    <t>CUYATTI CHIRA KAROL DANITZA</t>
  </si>
  <si>
    <t>41261141</t>
  </si>
  <si>
    <t>CUZCANO FERNANDEZ MARCO ANTONIO</t>
  </si>
  <si>
    <t>46964504</t>
  </si>
  <si>
    <t>DADIC GUANILO BRANKO YOVAN</t>
  </si>
  <si>
    <t>ANALISTA DE EGRESOS</t>
  </si>
  <si>
    <t>41273415</t>
  </si>
  <si>
    <t>DAVILA ALTAMIRANO JOSE NEBEL</t>
  </si>
  <si>
    <t>TÉCNICO DE SERVICIOS GENERALES</t>
  </si>
  <si>
    <t>09412002</t>
  </si>
  <si>
    <t>DAVILA DIAZ CARLOS AUGUSTO</t>
  </si>
  <si>
    <t>TECNICO ELECTRICISTA</t>
  </si>
  <si>
    <t>ASISTENTE DE ARCHIVO Y GESTIÓN DOCUMENTARIA</t>
  </si>
  <si>
    <t>10031997</t>
  </si>
  <si>
    <t>DAVILA MOLERO MILAGROS PAOLA</t>
  </si>
  <si>
    <t>DIRECTOR. R. M. Nº 056-2018-VIVIENDA</t>
  </si>
  <si>
    <t>09740626</t>
  </si>
  <si>
    <t>DE LA CRUZ CARRERA RUBEN EBER</t>
  </si>
  <si>
    <t xml:space="preserve">ANALISTA EN EVALUACIÓN DE EMERGENCIAS </t>
  </si>
  <si>
    <t>42859536</t>
  </si>
  <si>
    <t>DE LA CRUZ FRANCO VICTOR HUGO</t>
  </si>
  <si>
    <t xml:space="preserve">ANALISTA EN COMUNICACIÓN DIGITAL </t>
  </si>
  <si>
    <t>71960747</t>
  </si>
  <si>
    <t>DE LA CRUZ LOO CHINN - YEIN ALBERTO</t>
  </si>
  <si>
    <t>42904524</t>
  </si>
  <si>
    <t>DE LA CRUZ TRUCIOS KARINA PATRICIA</t>
  </si>
  <si>
    <t>SUPERVISOR DE AUDITORIA</t>
  </si>
  <si>
    <t>01343120</t>
  </si>
  <si>
    <t>DE LA RIVA PEREZ CECILIA</t>
  </si>
  <si>
    <t>06091780</t>
  </si>
  <si>
    <t>DE LOS RIOS ESPINOZA LUIS FELIPE</t>
  </si>
  <si>
    <t>ANALISTA DE LA INFORMACIÓN</t>
  </si>
  <si>
    <t>09996855</t>
  </si>
  <si>
    <t>DE LOS RIOS LOMPARTE MIGUEL LUIS</t>
  </si>
  <si>
    <t>ANALISTAS EN INFRAESTRUCTURAS</t>
  </si>
  <si>
    <t>16690058</t>
  </si>
  <si>
    <t>DEJO RAMIREZ ALBERTO SEGUNDO</t>
  </si>
  <si>
    <t>08759551</t>
  </si>
  <si>
    <t>DEL AGUILA MARTIN GINO MARIO</t>
  </si>
  <si>
    <t>29534405</t>
  </si>
  <si>
    <t>DEL CARPIO CALDERON JOSE MIGUEL</t>
  </si>
  <si>
    <t>COORDINADOR LEGAL</t>
  </si>
  <si>
    <t>80265221</t>
  </si>
  <si>
    <t>DEL CARPIO FLORES JOSE MANUEL</t>
  </si>
  <si>
    <t>08721024</t>
  </si>
  <si>
    <t>DEL CARPIO GONZALO JESÚS ALFONSO</t>
  </si>
  <si>
    <t>ESPECIALISTA EN ADMINISTRACION</t>
  </si>
  <si>
    <t>07583329</t>
  </si>
  <si>
    <t>DEL CASTILLO ESTRADA DEMETRIO JOSE MARIA</t>
  </si>
  <si>
    <t>TECNICO EN ADMINISTRACION</t>
  </si>
  <si>
    <t>DIRECTORA. R. M. Nº 352-VIVIENDA</t>
  </si>
  <si>
    <t>42160986</t>
  </si>
  <si>
    <t>DEL CASTILLO GUTIERREZ MARIA ANTONIETA</t>
  </si>
  <si>
    <t>DIRECTORA. R.M. Nº 171-2019-VIVIENDA</t>
  </si>
  <si>
    <t>46433488</t>
  </si>
  <si>
    <t>DEL RIO LOBOS KARINA MARLENE</t>
  </si>
  <si>
    <t>LIC. EN COMUNICACIÓN SOCIAL</t>
  </si>
  <si>
    <t>ASISTENTE DE EGRESOS</t>
  </si>
  <si>
    <t>41336422</t>
  </si>
  <si>
    <t>DEL ROSARIO ROMAN CARMEN LIZETTE</t>
  </si>
  <si>
    <t>COORDINADORA TÉCNICA</t>
  </si>
  <si>
    <t>40525295</t>
  </si>
  <si>
    <t>DELGADILLO GAMBOA YANETT MAGALI</t>
  </si>
  <si>
    <t>71769035</t>
  </si>
  <si>
    <t>DELGADO CASTAGNINO MARIA JOSE</t>
  </si>
  <si>
    <t>ESTUDIANTE DE DERECHO</t>
  </si>
  <si>
    <t>09675760</t>
  </si>
  <si>
    <t>DELGADO HUAMBACHANO MANUEL JESÚS</t>
  </si>
  <si>
    <t>DIRECTOR. R. M. Nº 234-2018-VIVIENDA</t>
  </si>
  <si>
    <t>09347775</t>
  </si>
  <si>
    <t>DELGADO TORRES CARLOS ERNESTO</t>
  </si>
  <si>
    <t>DIRECTOR. R. M. Nº 395-2019-VIVIENDA</t>
  </si>
  <si>
    <t>33827810</t>
  </si>
  <si>
    <t>DELGADO TUESTA INDER GLEY</t>
  </si>
  <si>
    <t>ASESOR I DE LA SECRETARIA GENRAL. R.M. Nº 332-2015-VIVIENDA, modifica la R.M. 301-2015-VIVIENDA (Asesor II)</t>
  </si>
  <si>
    <t>08842250</t>
  </si>
  <si>
    <t>DIAZ DAVILA ELIA JANNE</t>
  </si>
  <si>
    <t>10812578</t>
  </si>
  <si>
    <t>DIAZ GOMEZ CHRISTIAN ANGGELLO</t>
  </si>
  <si>
    <t>OPERADOR DE VEHICULO PESADO - LA LIBERTAD</t>
  </si>
  <si>
    <t>40632707</t>
  </si>
  <si>
    <t>DIAZ LEON CESAR ESMILTO</t>
  </si>
  <si>
    <t>ESPECIALISTA TÉCNICO DE ACCESIBILIDAD Y DESARROLLO TECNOLÓGICO</t>
  </si>
  <si>
    <t>16805497</t>
  </si>
  <si>
    <t>DIAZ MALAVER ROSA YSABEL</t>
  </si>
  <si>
    <t>LIC. EN EDUCACIÓN, ESPECIALIDAD EN MATEMÁTICA Y COMPUTACIÓN</t>
  </si>
  <si>
    <t>16727626</t>
  </si>
  <si>
    <t>DIAZ PAIMA MONICA GISEL</t>
  </si>
  <si>
    <t>08676881</t>
  </si>
  <si>
    <t>DIAZ UCAÑAY JULIO CESAR</t>
  </si>
  <si>
    <t>41655483</t>
  </si>
  <si>
    <t>DIAZ ZARATE MARCO EDMUNDO</t>
  </si>
  <si>
    <t>DIRECTOR. R. M. Nº 138-2019-VIVIENDA</t>
  </si>
  <si>
    <t>10417003</t>
  </si>
  <si>
    <t>DIAZ ZUMAETA WILFREDO</t>
  </si>
  <si>
    <t>ASISTENTE EN ADQUISICIONES</t>
  </si>
  <si>
    <t>46172484</t>
  </si>
  <si>
    <t>DIEZ CANSECO ROJAS EDDY JOSUE</t>
  </si>
  <si>
    <t>ESPECIALISTA EN AUDITORIA</t>
  </si>
  <si>
    <t>44305801</t>
  </si>
  <si>
    <t>DOMINGUEZ ZEVALLOS LESLIE KATHERINE</t>
  </si>
  <si>
    <t>ESPECIALISTA ARANCELARIO</t>
  </si>
  <si>
    <t>07954098</t>
  </si>
  <si>
    <t>DUEÑAS ARISTIZABAL CARLOS JAIME</t>
  </si>
  <si>
    <t>ANALISTA EN GESTIÓN ADNMINISTRATIVO</t>
  </si>
  <si>
    <t>10434213</t>
  </si>
  <si>
    <t>D'UNIAM SANCHEZ GILBERTO ALFONSO</t>
  </si>
  <si>
    <t xml:space="preserve">ANALISTA EN ESTUDIOS ESTADISTICOS </t>
  </si>
  <si>
    <t>42073703</t>
  </si>
  <si>
    <t>ECHEVARRIA ALDANA EDU ROBINSON</t>
  </si>
  <si>
    <t>10434961</t>
  </si>
  <si>
    <t>ENCISO CCOPA JULIAN MANUEL</t>
  </si>
  <si>
    <t>COORDINADOR GENERAL - PASCO</t>
  </si>
  <si>
    <t>04042574</t>
  </si>
  <si>
    <t>ESCANDON CUEVA ELMER</t>
  </si>
  <si>
    <t>ESPECIALISTA EN GESTIÓN DE INVERSIONES, SEGUIMIENTO Y TRANSFERENCIAS</t>
  </si>
  <si>
    <t>00799531</t>
  </si>
  <si>
    <t>ESCOBAR SANCHEZ JUANA MONICA</t>
  </si>
  <si>
    <t>10121602</t>
  </si>
  <si>
    <t>ESCOBEDO CONDORI BORIS</t>
  </si>
  <si>
    <t>ANALISTA EN EVALUACIÓN DE VIVIENDAS</t>
  </si>
  <si>
    <t>47129601</t>
  </si>
  <si>
    <t>ESCOBEDO VARGAS ROSA MERCEDES</t>
  </si>
  <si>
    <t>CONDUCTOR DE VEHICULO OFICIAL</t>
  </si>
  <si>
    <t>06559700</t>
  </si>
  <si>
    <t>ESCRIBA BENDEZU VICTOR GODOFREDO</t>
  </si>
  <si>
    <t>ASESOR II. R.M. Nº 416-2017-VIVIENDA</t>
  </si>
  <si>
    <t>07623262</t>
  </si>
  <si>
    <t>ESCUDERO TORRES MANUEL ALFONSO</t>
  </si>
  <si>
    <t>40962577</t>
  </si>
  <si>
    <t>ESCURRA OBLITAS BETTY HELEN</t>
  </si>
  <si>
    <t>ESPECIALISTA EN FORTALECIMIENTO SECTORIAL</t>
  </si>
  <si>
    <t>09268948</t>
  </si>
  <si>
    <t>ESPARZA PAUCAR ROSS MERY</t>
  </si>
  <si>
    <t>INGENIERO QUIMICO</t>
  </si>
  <si>
    <t>74653721</t>
  </si>
  <si>
    <t>ESPEJO BARZOLA VANESA PAOLA</t>
  </si>
  <si>
    <t>ANALISTA EN ADQUISICIONES</t>
  </si>
  <si>
    <t>10723137</t>
  </si>
  <si>
    <t>ESPICHAN CAZORLA SANDRA MILUSKA</t>
  </si>
  <si>
    <t>TECNICO EN BASE DE DATOS</t>
  </si>
  <si>
    <t>41558535</t>
  </si>
  <si>
    <t>ESPINOZA BORDA ROGER</t>
  </si>
  <si>
    <t>TECNICO SUPERIOR EGRESADO</t>
  </si>
  <si>
    <t xml:space="preserve">ESPECIALISTA EN GESTION Y MONITOREO </t>
  </si>
  <si>
    <t>10194290</t>
  </si>
  <si>
    <t>ESPINOZA CABRERA ALDOMARO</t>
  </si>
  <si>
    <t>ESPECIALISTA TECNICO EN ASOCIACIONES PUBLICO PRIVADAS</t>
  </si>
  <si>
    <t>08250742</t>
  </si>
  <si>
    <t>ESPINOZA CASTILLO MARIA CECILIA</t>
  </si>
  <si>
    <t>RESPONSABLE DEL AREA DE ESTUDIOS Y PROYECTOS</t>
  </si>
  <si>
    <t>10636234</t>
  </si>
  <si>
    <t>ESPINOZA DE LA GRECCA LUIS ALBERTO</t>
  </si>
  <si>
    <t>15596499</t>
  </si>
  <si>
    <t>ESPINOZA FLORES MARIA CECILIA</t>
  </si>
  <si>
    <t>08850769</t>
  </si>
  <si>
    <t>ESPINOZA GRADOS MARIA ALICIA</t>
  </si>
  <si>
    <t>TECNICO SOCIAL EN IDENTIFICACION Y SELECCION DE FAMILIAS</t>
  </si>
  <si>
    <t>40528706</t>
  </si>
  <si>
    <t>ESPINOZA GUERRERO GINO JESUS</t>
  </si>
  <si>
    <t>EGRESADO CARRERA TECNICA DE ADMINISTRACION</t>
  </si>
  <si>
    <t>ESPECIALISTA EN COMUNICACIÓN DIGITAL</t>
  </si>
  <si>
    <t>44549668</t>
  </si>
  <si>
    <t>ESPINOZA MATOS PAUL JORGE</t>
  </si>
  <si>
    <t>10619567</t>
  </si>
  <si>
    <t>ESPINOZA MUÑANTE JULIO CESAR</t>
  </si>
  <si>
    <t>ASESOR II. R.M. Nº 320-2019-VIVIENDA</t>
  </si>
  <si>
    <t>07935924</t>
  </si>
  <si>
    <t>ESPINOZA PAZ RAMON ENRIQUE</t>
  </si>
  <si>
    <t>25840937</t>
  </si>
  <si>
    <t>ESPINOZA PEREZ RAUL ERNESTO</t>
  </si>
  <si>
    <t>Conductor Vehicular</t>
  </si>
  <si>
    <t>07567951</t>
  </si>
  <si>
    <t>ESPINOZA URBINA EDILBERTO</t>
  </si>
  <si>
    <t>COORDINADOR GENERAL</t>
  </si>
  <si>
    <t>07638418</t>
  </si>
  <si>
    <t>ESPINOZA ZAPATA JUAN MAURICIO</t>
  </si>
  <si>
    <t>MOTORIZADO</t>
  </si>
  <si>
    <t>70993386</t>
  </si>
  <si>
    <t>ESTELA ARANA MANUEL MOISES</t>
  </si>
  <si>
    <t>OPERADOR DE MAQUINARIA PESADA - AREQUIPA</t>
  </si>
  <si>
    <t>70947975</t>
  </si>
  <si>
    <t>ESTRADA GARCIA DAVID ERGILIO</t>
  </si>
  <si>
    <t>ESPECIALISTA CONTABLE</t>
  </si>
  <si>
    <t>08146554</t>
  </si>
  <si>
    <t>ETO CHERO SUGO EDWIN</t>
  </si>
  <si>
    <t>ESPECIALISTA SANITARIO EN FORMULACIÓN DE PROYECTOS DE INVERSIÓN</t>
  </si>
  <si>
    <t>44430463</t>
  </si>
  <si>
    <t>FABIAN JANAMPA CESAR YING</t>
  </si>
  <si>
    <t>ESPECIALISTA TÉCNICO DE RENOVACIÓN URBANA</t>
  </si>
  <si>
    <t>10138938</t>
  </si>
  <si>
    <t>FAJARDO VASQUEZ DIANA ELIZABETH</t>
  </si>
  <si>
    <t>COORDINADOR TÉCNICO</t>
  </si>
  <si>
    <t>42950096</t>
  </si>
  <si>
    <t>FARFAN BARRETO MANUEL ALEJANDRO</t>
  </si>
  <si>
    <t>LIC. EN MARKETING Y DIRECCIÓN DE EMPRESAS</t>
  </si>
  <si>
    <t>ESPECIALISTA EN GESTIÓN DE PROYECTOS</t>
  </si>
  <si>
    <t>25542235</t>
  </si>
  <si>
    <t>FARFAN QUINTANILLA PALMIRO GUALBERTO</t>
  </si>
  <si>
    <t>ASISTENTE EN TRABAJO SOCIAL</t>
  </si>
  <si>
    <t>08807098</t>
  </si>
  <si>
    <t>FARIAS ABAN LILIANA ESTHER</t>
  </si>
  <si>
    <t>ASISTENTE ADMINISTRATIVO - AREQUIPA</t>
  </si>
  <si>
    <t>19194269</t>
  </si>
  <si>
    <t>FARRO GALLARDO JOSE AUGUSTO</t>
  </si>
  <si>
    <t>15863155</t>
  </si>
  <si>
    <t>FARRO UGAZ LUIS ALEXANDER</t>
  </si>
  <si>
    <t>ASESOR I. R. M. Nº 121-2019-VIVIENDA</t>
  </si>
  <si>
    <t>40596710</t>
  </si>
  <si>
    <t>FAVER ZAPATA JOEL NAZARIO</t>
  </si>
  <si>
    <t>28287206</t>
  </si>
  <si>
    <t>FELICES VILLAR JUAN RAFAEL</t>
  </si>
  <si>
    <t>ASISTENTE ADMINISTRATIVA - MOQUEGUA</t>
  </si>
  <si>
    <t>45930267</t>
  </si>
  <si>
    <t>FELIPA QUISPE MARITZA FIORELLA</t>
  </si>
  <si>
    <t>INGENIERO DE SISTEMAS E INFORMATICA</t>
  </si>
  <si>
    <t>40019703</t>
  </si>
  <si>
    <t>FENCO MEDINA SEGUNDO EDINSON</t>
  </si>
  <si>
    <t>41431442</t>
  </si>
  <si>
    <t>FERNANDEZ ASTECKER ELIZABETH</t>
  </si>
  <si>
    <t xml:space="preserve">ESPECIALISTA EN EVALUACIÓN DE IMPACTO AMBIENTAL </t>
  </si>
  <si>
    <t>40565958</t>
  </si>
  <si>
    <t>FERNANDEZ GUEROLA JULIO MIGUEL</t>
  </si>
  <si>
    <t>ESPECIALISTA EN SEGURIDAD DE LA INFORMACIÓN</t>
  </si>
  <si>
    <t>25770449</t>
  </si>
  <si>
    <t>FERNANDEZ NAMUCHE GUILLERMO PEDRO</t>
  </si>
  <si>
    <t>INGENIERO DE COMPUTACION Y SISTEMAS</t>
  </si>
  <si>
    <t>ESPECIALISTA EN FORMULACION DE PROYECTOS URBANISTICOS Y ARQUITECTONICOS</t>
  </si>
  <si>
    <t>40882387</t>
  </si>
  <si>
    <t>FERNANDEZ TORRES JOSE LUIS</t>
  </si>
  <si>
    <t>06775290</t>
  </si>
  <si>
    <t>FIGUEROA RAMOS ELSA</t>
  </si>
  <si>
    <t>ANALISTA DE PROCESOS</t>
  </si>
  <si>
    <t>40196202</t>
  </si>
  <si>
    <t>FIGUEROA VALDERRAMA JUAN GENARO GABRIEL</t>
  </si>
  <si>
    <t>ANALISTA  ADMINISTRATIVO</t>
  </si>
  <si>
    <t>42236232</t>
  </si>
  <si>
    <t>FILIO PAYANO SORAYA SHARON</t>
  </si>
  <si>
    <t>BACHILLER EN ADMINISTRACIÓN DE NEGOCIOS INTERNACIONALES</t>
  </si>
  <si>
    <t>40057994</t>
  </si>
  <si>
    <t>FLORES BARRIOS ROCIO MILAGROS DEL PILAR</t>
  </si>
  <si>
    <t>OPERADORA DE CENTRAL TELEFONICA</t>
  </si>
  <si>
    <t>08833015</t>
  </si>
  <si>
    <t>FLORES CAHUANA LIDUVINA</t>
  </si>
  <si>
    <t>Asistente Administrativo</t>
  </si>
  <si>
    <t>09486394</t>
  </si>
  <si>
    <t>FLORES CASTRO LUIS ALBERTO</t>
  </si>
  <si>
    <t>42526072</t>
  </si>
  <si>
    <t>FLORES DIAZ JACQUELINE DANEZA</t>
  </si>
  <si>
    <t>ADMINISTRADOR DE EMPRESAS</t>
  </si>
  <si>
    <t>ADMINISTRADOR DE SOPORTE TECNICO</t>
  </si>
  <si>
    <t>09474967</t>
  </si>
  <si>
    <t>FLORES FERNANDEZ MANUEL ENRIQUE</t>
  </si>
  <si>
    <t>OPERADOR DE VEHICULO LIVIANO</t>
  </si>
  <si>
    <t>06649799</t>
  </si>
  <si>
    <t>FLORES GARCIA MOISES SANTOS</t>
  </si>
  <si>
    <t>ANALISTA DE AUDITORIA</t>
  </si>
  <si>
    <t>07172683</t>
  </si>
  <si>
    <t>FLORES SALVADOR SUSANA</t>
  </si>
  <si>
    <t>41282516</t>
  </si>
  <si>
    <t>FLORES VELASQUEZ FERNANDA</t>
  </si>
  <si>
    <t>10451619</t>
  </si>
  <si>
    <t>FLORIAN PLASENCIA NELSON GONZALO</t>
  </si>
  <si>
    <t>LICENCIADO EN ADMINISTRACIÓN PÚBLICA</t>
  </si>
  <si>
    <t>ESPECIALISTA EN INFORMACIÓN DE MONITOREO DE LOS PROGRAMAS</t>
  </si>
  <si>
    <t>43384926</t>
  </si>
  <si>
    <t>FRANCO SUAREZ ROCIO DEL PILAR</t>
  </si>
  <si>
    <t>ESPECIALISTA EN GESTIÓN E INVENTARIO DE INVERSIONES PÚBLICAS</t>
  </si>
  <si>
    <t>70439386</t>
  </si>
  <si>
    <t>GALA CARPIO KAROL ELIZABETH</t>
  </si>
  <si>
    <t>ANALISTA EN TESORERIA</t>
  </si>
  <si>
    <t>45734926</t>
  </si>
  <si>
    <t>GALAN RODAS JUANITA LIBERTAD</t>
  </si>
  <si>
    <t>41245400</t>
  </si>
  <si>
    <t>GALARZA ESPINOZA JUAN MANUEL</t>
  </si>
  <si>
    <t>PROFESIONAL TÉCNICO EN COMPUTACIÓN E INFORMÁTICA</t>
  </si>
  <si>
    <t>DIRECTOR GENERAL. R.M. Nº 156-2019-VIVIENDA</t>
  </si>
  <si>
    <t>29419728</t>
  </si>
  <si>
    <t>GALDOS CARVAJAL JAVIER ENRIQUE</t>
  </si>
  <si>
    <t>72035417</t>
  </si>
  <si>
    <t>GALINDO CAPCHA JULIO CESAR</t>
  </si>
  <si>
    <t>45714813</t>
  </si>
  <si>
    <t>GALINDO CHANG JORGE JULIO</t>
  </si>
  <si>
    <t>72897035</t>
  </si>
  <si>
    <t>GALINDO RIVEROS KEVIN WILLANS</t>
  </si>
  <si>
    <t>10477435</t>
  </si>
  <si>
    <t>GALLARDO LEON TABATA SOFIA</t>
  </si>
  <si>
    <t>LICENCIADO EN CIENCIAS DE LA COMUNICACION</t>
  </si>
  <si>
    <t>ESPECIALISTA EN GESTIÓN PRESUPUESTAL</t>
  </si>
  <si>
    <t>10788576</t>
  </si>
  <si>
    <t>GALLIANI MATOS GIANCARLO</t>
  </si>
  <si>
    <t>06625399</t>
  </si>
  <si>
    <t>GALVEZ CASTILLO ANA MARIA</t>
  </si>
  <si>
    <t>DIRECTOR. R. M. Nº 392-2019-VIVIENDA</t>
  </si>
  <si>
    <t>07817768</t>
  </si>
  <si>
    <t>GALVEZ GUTIERREZ RICARDO FELIPE</t>
  </si>
  <si>
    <t>ESPECIALISTA EN INGENIERIA CIVIL</t>
  </si>
  <si>
    <t>07973112</t>
  </si>
  <si>
    <t>GALVEZ ROBLES JULIO HENRY</t>
  </si>
  <si>
    <t>COORDINADOR GENERAL - APURIMAC</t>
  </si>
  <si>
    <t>31003842</t>
  </si>
  <si>
    <t>GAMARRA SAMANEZ MARCO ANIBAL</t>
  </si>
  <si>
    <t>COORDINADORA  GENERAL - TACNA</t>
  </si>
  <si>
    <t>42197282</t>
  </si>
  <si>
    <t>GAMEZ RODRIGUEZ RITA DEL ROSARIO</t>
  </si>
  <si>
    <t>42202749</t>
  </si>
  <si>
    <t>GARATE MORENO CARLOS ERNESTO</t>
  </si>
  <si>
    <t>ESPECIALISTA EN ESTUDIOS Y EVALUACIONES RAPIDAS</t>
  </si>
  <si>
    <t>09432692</t>
  </si>
  <si>
    <t>GARAY RODRIGUEZ MILUZKA ELIZABETH</t>
  </si>
  <si>
    <t>AUXILIAR DE TRAMITE DOCUMENTARIO</t>
  </si>
  <si>
    <t>10552699</t>
  </si>
  <si>
    <t>GARCIA ALARCON JESUS EMILIO</t>
  </si>
  <si>
    <t>43458815</t>
  </si>
  <si>
    <t>GARCIA BURE ENVER KLEIN</t>
  </si>
  <si>
    <t>ESPECIALISTA EN NORMATIVA SECTORIAL</t>
  </si>
  <si>
    <t>10309876</t>
  </si>
  <si>
    <t>GARCIA FREITAS OSCAR IVAN</t>
  </si>
  <si>
    <t>17848295</t>
  </si>
  <si>
    <t>GARCIA GALARRETA SEGUNDO FRANCISCO</t>
  </si>
  <si>
    <t>09240104</t>
  </si>
  <si>
    <t>GARCIA MARTINEZ ESTEBAN</t>
  </si>
  <si>
    <t>DIRECTOR. R. M. Nº 183-2018-VIVIENDA</t>
  </si>
  <si>
    <t>06739940</t>
  </si>
  <si>
    <t>GARCIA MELGAREJO JESUS</t>
  </si>
  <si>
    <t>ANALISTA DE SISTEMAS</t>
  </si>
  <si>
    <t>47115588</t>
  </si>
  <si>
    <t>GARCIA PAREDEZ IVAN EDWARD</t>
  </si>
  <si>
    <t xml:space="preserve">ANALISTA EN SEGUIMIENTO, MONITOREO DE INVERSIONES Y PROCESAMIENTO DE DATOS </t>
  </si>
  <si>
    <t>05643790</t>
  </si>
  <si>
    <t>GARCIA POCLIN JOE</t>
  </si>
  <si>
    <t>ASISTENTE TÉCNICO</t>
  </si>
  <si>
    <t>22291000</t>
  </si>
  <si>
    <t>GARCIA RODRIGUEZ NAIR USELY</t>
  </si>
  <si>
    <t xml:space="preserve">ESPECIALISTA EN ACCESIBILIDAD </t>
  </si>
  <si>
    <t>40119521</t>
  </si>
  <si>
    <t>GARCIA ROMERO RICARDO GENARO</t>
  </si>
  <si>
    <t>07905483</t>
  </si>
  <si>
    <t>GARCIA ROTGER GINA PATRICIA LUISA</t>
  </si>
  <si>
    <t>48393187</t>
  </si>
  <si>
    <t>GARCIA SANCHEZ ADERLY YANNINA</t>
  </si>
  <si>
    <t>41549207</t>
  </si>
  <si>
    <t>GARCIA URRUTIA OROZCO JULIA CECILIA</t>
  </si>
  <si>
    <t>06236963</t>
  </si>
  <si>
    <t>GARCIA VALLE BRIOLANDIA</t>
  </si>
  <si>
    <t>41799142</t>
  </si>
  <si>
    <t>GARRAFA GARCIA JUAN CARLOS</t>
  </si>
  <si>
    <t>AUXILIAR EN TRAMITE DOCUMENTARIO</t>
  </si>
  <si>
    <t>08005562</t>
  </si>
  <si>
    <t>GARRIDO NARRO LUIS ALBERTO</t>
  </si>
  <si>
    <t>SECUNDARIA - INCOMPLETA</t>
  </si>
  <si>
    <t>CONDUCTOR DE VEHICULO</t>
  </si>
  <si>
    <t>08462569</t>
  </si>
  <si>
    <t>GASTELLO HERNANDEZ CESAR GONZALO</t>
  </si>
  <si>
    <t>EJECUTIVO EN CARTA FIANZA</t>
  </si>
  <si>
    <t>07643481</t>
  </si>
  <si>
    <t>GAVIDIA QUISPE LUIS ANGEL</t>
  </si>
  <si>
    <t>ESTUDIANTE DE CONTABILIDAD</t>
  </si>
  <si>
    <t>PROFESIONAL EN GESTION PRESUPUESTAL</t>
  </si>
  <si>
    <t>32765781</t>
  </si>
  <si>
    <t>GAVIDIA TORREJON LUIS ABRAHAM</t>
  </si>
  <si>
    <t>07494301</t>
  </si>
  <si>
    <t>GAVIDIA TORRES CARLOS MILTON</t>
  </si>
  <si>
    <t>ANALISTA DE TECNOLOGÍA DE INFORMACIÓN</t>
  </si>
  <si>
    <t>10588472</t>
  </si>
  <si>
    <t>GINES KAQUI PIERO</t>
  </si>
  <si>
    <t>ASESOR I. R. M. Nº 010-2018-VIVIENDA</t>
  </si>
  <si>
    <t>42351609</t>
  </si>
  <si>
    <t>GIRAU MENDOZA JOSE MANUEL</t>
  </si>
  <si>
    <t>40884357</t>
  </si>
  <si>
    <t>GOICOCHEA GANVINI KARINA JANETH</t>
  </si>
  <si>
    <t>SOPORTE TÉCNICO</t>
  </si>
  <si>
    <t>10732608</t>
  </si>
  <si>
    <t>GOICOCHEA MARIÑOS LUIS ALEJANDRO</t>
  </si>
  <si>
    <t>ESPECIALISTA EN DESARROLLO URBANO (COORDINADORA DE PROYECTO BELÉN)</t>
  </si>
  <si>
    <t>00518054</t>
  </si>
  <si>
    <t>GOICOCHEA MERELLO PATRICIA MONICA</t>
  </si>
  <si>
    <t>ESPECIALISTA EN INGENIERIA SANITARIA</t>
  </si>
  <si>
    <t>09769982</t>
  </si>
  <si>
    <t>GOMEZ CORTEZ SILVIA</t>
  </si>
  <si>
    <t>COORDINADOR GENERAL - LORETO</t>
  </si>
  <si>
    <t>40396359</t>
  </si>
  <si>
    <t>GOMEZ FLORES LUIS SEGUNDO ALEJANDRO</t>
  </si>
  <si>
    <t>ESPECIALISTA EN INFRAESTRUCTURA TECNOLOGICA</t>
  </si>
  <si>
    <t>40970476</t>
  </si>
  <si>
    <t>GOMEZ ZEGARRA ANTHONY AUGUSTO</t>
  </si>
  <si>
    <t>46651187</t>
  </si>
  <si>
    <t>GONZALES CHIRINOS MIGUEL ANGEL</t>
  </si>
  <si>
    <t>ESPECIALISTA EN MONITOREO DE PROGRAMAS</t>
  </si>
  <si>
    <t>09631788</t>
  </si>
  <si>
    <t>GONZALES CUBAS CONSUELO SUZETTE</t>
  </si>
  <si>
    <t>ESPECIALISTA LEGAL EN EJECUCIÓN CONTRACTUAL</t>
  </si>
  <si>
    <t>09896633</t>
  </si>
  <si>
    <t>GONZALES FLORES DAVID EDUARDO</t>
  </si>
  <si>
    <t>CHOFER DE CAMION - ICA</t>
  </si>
  <si>
    <t>41545744</t>
  </si>
  <si>
    <t>GONZALES GARCIA ESTUARDO ENRIQUE</t>
  </si>
  <si>
    <t>18188831</t>
  </si>
  <si>
    <t>GONZALES MENDOZA JAVIER NICANOR</t>
  </si>
  <si>
    <t>EXPERTO EN GESTION DE PROYECTOS DE INVERSION</t>
  </si>
  <si>
    <t>08621139</t>
  </si>
  <si>
    <t>GONZALES SANTILLANA LUCIANO ESTEBAN</t>
  </si>
  <si>
    <t>DIRECTORA DE LA DIRECCIÓN DE ORDENAMIENTO E INTEGRACIÓN DE CENTROS POBLADOS. R.M. Nº 191-2015-VIVIENDA</t>
  </si>
  <si>
    <t>10225465</t>
  </si>
  <si>
    <t>GONZALES SEMINARIO ROSARIO ELENA</t>
  </si>
  <si>
    <t>08449187</t>
  </si>
  <si>
    <t>GONZALES TEVES MELANIO JESUS</t>
  </si>
  <si>
    <t>43772210</t>
  </si>
  <si>
    <t>GONZALEZ DEL AGUILA LADY LAYSA</t>
  </si>
  <si>
    <t>SECRETARIADO EJECUTIVO</t>
  </si>
  <si>
    <t xml:space="preserve">ESPECIALISTA LEGAL EN SUPERVISIÓN CONTRACTUAL </t>
  </si>
  <si>
    <t>41787992</t>
  </si>
  <si>
    <t>GRANDEZ CARRASCO DAVID</t>
  </si>
  <si>
    <t>70003483</t>
  </si>
  <si>
    <t>GRAOS MELENDEZ MARIA FATIMA GIOMIRA</t>
  </si>
  <si>
    <t>DIRECTORA. R.M. Nº 321-2014-VIVIENDA</t>
  </si>
  <si>
    <t>10109631</t>
  </si>
  <si>
    <t>GUADALUPE JULCA MARIA ELENA</t>
  </si>
  <si>
    <t>06095075</t>
  </si>
  <si>
    <t>GUANILO JARA NANCY OFELIA</t>
  </si>
  <si>
    <t>COORDINADOR GENERAL - LAMBAYEQUE</t>
  </si>
  <si>
    <t>16701233</t>
  </si>
  <si>
    <t>GUANILO RAMIREZ CARLOS MARTIN</t>
  </si>
  <si>
    <t>Profesional en Economía</t>
  </si>
  <si>
    <t>08551659</t>
  </si>
  <si>
    <t>GUARDAMINO MOSQUERA FRANCISCO LOLIN</t>
  </si>
  <si>
    <t>ESPECIALISTA EN PRESUPUESTO Y PLANEAMIENTO</t>
  </si>
  <si>
    <t>02603991</t>
  </si>
  <si>
    <t>GUERRA POZO ARMANDO</t>
  </si>
  <si>
    <t>LIC. EN ADMINISTRACIÓN DE EMPRESAS</t>
  </si>
  <si>
    <t>ESPECIALISTA I EN EVALUACIÓN DE VIVIENDAS PARA LA UNIDAD DE GESTIÓN SOCIAL</t>
  </si>
  <si>
    <t>44068180</t>
  </si>
  <si>
    <t>GUERRERO CHUPAYO LUCIA CAROLINA</t>
  </si>
  <si>
    <t>DIRECTORA GENERAL.  R. M. Nº 356-2019-VIVIENDA</t>
  </si>
  <si>
    <t>10341216</t>
  </si>
  <si>
    <t>GUERRERO PORTUGAL JESSICA AMELIA</t>
  </si>
  <si>
    <t>43160081</t>
  </si>
  <si>
    <t>GUEVARA RIVERA ALVARO LUIS</t>
  </si>
  <si>
    <t>OPERADOR DE MAQUINARIA PESADA - LAMBAYEQUE</t>
  </si>
  <si>
    <t>46215110</t>
  </si>
  <si>
    <t>GUEVARA ZAQUINAULA HAROLD EULISES</t>
  </si>
  <si>
    <t>ASESOR I. R.M. Nº 220-2017-VIVIENDA</t>
  </si>
  <si>
    <t>06265686</t>
  </si>
  <si>
    <t>GUIBO MIYAHIRA JORGE LUIS</t>
  </si>
  <si>
    <t>ESPECIALISTA EN EVALUACIÒN DE IMPACTO AMBIENTAL DE PROYECTOS DE VIVIENDA Y CONSTRUCCION</t>
  </si>
  <si>
    <t>06236522</t>
  </si>
  <si>
    <t>GUILLEN BOCANEGRA JOSE MARTIN</t>
  </si>
  <si>
    <t>ANALISTA EN PROCESOS TÉCNICOS</t>
  </si>
  <si>
    <t>70943096</t>
  </si>
  <si>
    <t>GUILLERMO RAMIREZ GABRIELA HELEN</t>
  </si>
  <si>
    <t>BACHILLER EN CIENCIAS DE LA COMUNICACION</t>
  </si>
  <si>
    <t>ANALISTA EN ATENCIÓN AL CIUDADANO - JUNIN</t>
  </si>
  <si>
    <t>44306981</t>
  </si>
  <si>
    <t>GUILLERMO RAMIREZ KAREM PATRICIA</t>
  </si>
  <si>
    <t>INGENIERO FORESTAL Y AMBIENTAL</t>
  </si>
  <si>
    <t>EXPERTO EN INNOVACION Y DESARROLLO TECNOLOGICO</t>
  </si>
  <si>
    <t>07266464</t>
  </si>
  <si>
    <t>GUTIERREZ CAHUAS CARLOS ALBERTO</t>
  </si>
  <si>
    <t>CHOFER DE CAMION - LIMA PROVINCIAS</t>
  </si>
  <si>
    <t>41887555</t>
  </si>
  <si>
    <t>GUTIERREZ ESPIRITU LEVI DACIANO</t>
  </si>
  <si>
    <t>ESPECIALISTA EN GESTIÓN DE PROGRAMAS</t>
  </si>
  <si>
    <t>41301065</t>
  </si>
  <si>
    <t>GUTIERREZ MORENO ANTHONNY NELSON</t>
  </si>
  <si>
    <t>ADMINISTRACIÓN GUBERNAMENTAL</t>
  </si>
  <si>
    <t>ASISTENTE DE PROYECTOS DE INVERSIÓN</t>
  </si>
  <si>
    <t>43846598</t>
  </si>
  <si>
    <t>GUTIERREZ QUIROZ ARTURO FIDEL</t>
  </si>
  <si>
    <t>BACHILLER EN INGENIERIA SANITARIA</t>
  </si>
  <si>
    <t>ANALISTA EN TRIBUTACIÓN</t>
  </si>
  <si>
    <t>10284370</t>
  </si>
  <si>
    <t>GUTIERREZ RAMIREZ CARLOS MARTIN</t>
  </si>
  <si>
    <t>ANALISTA DE DEFENSA LEGAL DEL ESTADO</t>
  </si>
  <si>
    <t>41390814</t>
  </si>
  <si>
    <t>HARO AVALOS SINDY TERESA</t>
  </si>
  <si>
    <t>TÉCNICO AGROFORESTAL</t>
  </si>
  <si>
    <t>09407595</t>
  </si>
  <si>
    <t>HERMOZA SARAGOZA PEDRO LUIS</t>
  </si>
  <si>
    <t>DIRECTOR GENERAL. R. M. Nº 376-2019-VIVIENDA</t>
  </si>
  <si>
    <t>07253563</t>
  </si>
  <si>
    <t>HERNANDEZ CAMPANELLA JAVIER ERNESTO</t>
  </si>
  <si>
    <t>OPERADOR DE MAQUINARIA PESADA - ICA</t>
  </si>
  <si>
    <t>40086838</t>
  </si>
  <si>
    <t>HERNANDEZ LACHO DAVID ISRAEL</t>
  </si>
  <si>
    <t>ESPECIALISTA EN ESTRUCTURAS SISMO RESISTENTES</t>
  </si>
  <si>
    <t>46258901</t>
  </si>
  <si>
    <t>HERNANDEZ MORALES HERNAN MARTIN</t>
  </si>
  <si>
    <t>ANALISTA EN PRENSA  AUDIOVISUAL</t>
  </si>
  <si>
    <t>40363447</t>
  </si>
  <si>
    <t>HERNANDEZ MUÑOZ CESAR ENRIQUE</t>
  </si>
  <si>
    <t>ESPECIALISTA EN DESARROLLO Y PROGRAMACIÓN</t>
  </si>
  <si>
    <t>09844735</t>
  </si>
  <si>
    <t>HERNANDEZ MUÑOZ JAVIER ARTURO</t>
  </si>
  <si>
    <t>46650052</t>
  </si>
  <si>
    <t>HERNANDEZ NAUPAY JORGE LUIS</t>
  </si>
  <si>
    <t>08883420</t>
  </si>
  <si>
    <t>HERNANDEZ SARAVIA PERCY</t>
  </si>
  <si>
    <t>BACHILLER EN INGENIERIA DE SISTEMAS</t>
  </si>
  <si>
    <t>ASISTENTE</t>
  </si>
  <si>
    <t>07643056</t>
  </si>
  <si>
    <t>HERRERA BEHR CYNTHIA CONSUELO</t>
  </si>
  <si>
    <t>AUXILIAR  ADMINISTRATIVO</t>
  </si>
  <si>
    <t>73081681</t>
  </si>
  <si>
    <t>HERRERA GUTIERREZ GIORDANO JOEL</t>
  </si>
  <si>
    <t>06768988</t>
  </si>
  <si>
    <t>HERRERA YACCHI ENRIQUE FERNANDO</t>
  </si>
  <si>
    <t xml:space="preserve">ESPECIALISTA EN COMUNICACIÓN </t>
  </si>
  <si>
    <t>07525039</t>
  </si>
  <si>
    <t>HIDALGO ARCE SUSANA ELIZABETH</t>
  </si>
  <si>
    <t>LICENCIADO EN PERIODISMO</t>
  </si>
  <si>
    <t>ESPECIALISTA LEGAL EN EJECUCIÓN DE PROGRAMAS</t>
  </si>
  <si>
    <t>44786644</t>
  </si>
  <si>
    <t>HIDALGO ORTIZ KATHERINE MELISSA</t>
  </si>
  <si>
    <t>ANALISTA TÉCNICO NORMATIVO</t>
  </si>
  <si>
    <t>45878459</t>
  </si>
  <si>
    <t>HILARIO PINTO JORGE LUIS</t>
  </si>
  <si>
    <t>BACHILLER EN ARQUITECTURA</t>
  </si>
  <si>
    <t>ESPECIALISTA EN CONTRATACIONES CON EL ESTADO</t>
  </si>
  <si>
    <t>10761445</t>
  </si>
  <si>
    <t>HINOSTROZA GARAMENDI LUIS RUBEN</t>
  </si>
  <si>
    <t>DIRECTORA. R.M.Nº481-2017-VIVIENDA</t>
  </si>
  <si>
    <t>07858062</t>
  </si>
  <si>
    <t>HINOSTROZA MORALES MATILDE ELVIRA</t>
  </si>
  <si>
    <t>RESPONSABLE DE LA UNIDAD DE INTERVENCIONES FISICAS</t>
  </si>
  <si>
    <t>40650488</t>
  </si>
  <si>
    <t>HUAMAN LAURENTE KARINA LUZ</t>
  </si>
  <si>
    <t>TÉCNICA  AGROFORESTAL</t>
  </si>
  <si>
    <t>07995282</t>
  </si>
  <si>
    <t>HUAMAN MUÑOZ DE PALOMINO SOFIA IRENE</t>
  </si>
  <si>
    <t>10391325</t>
  </si>
  <si>
    <t>HUAMAN OVALLE FREDY EDWARD</t>
  </si>
  <si>
    <t>EGRESADO DE COMPUTACION E INFORMATICA</t>
  </si>
  <si>
    <t>OPERADOR DE VEHICULO PESADO - UBO LIMA</t>
  </si>
  <si>
    <t>06861554</t>
  </si>
  <si>
    <t>HUAMAN VALLADARES LUIS GUITALDO</t>
  </si>
  <si>
    <t>08681872</t>
  </si>
  <si>
    <t>HUAMANI FLORES EDGAR ARNALDO</t>
  </si>
  <si>
    <t>09681212</t>
  </si>
  <si>
    <t>HUAMANI HUARCAYA REYNA ISABEL</t>
  </si>
  <si>
    <t xml:space="preserve">ESPECIALISTA EN CONTROL INTERNO </t>
  </si>
  <si>
    <t>07441042</t>
  </si>
  <si>
    <t>HUAMANI RODRIGUEZ DE DE LA CRUZ MARIA ELENA</t>
  </si>
  <si>
    <t>ANALISTA PROGRAMADOR EN SISTEMA DE INFORMACIÓN GEOGRAFICA</t>
  </si>
  <si>
    <t>80185994</t>
  </si>
  <si>
    <t>HUANCA QUEA FROILAN EDWIN</t>
  </si>
  <si>
    <t>ESPECIALISTA TÉCNICO NORMATIVO</t>
  </si>
  <si>
    <t>15416029</t>
  </si>
  <si>
    <t>HUAPAYA ARIAS JORGE ANTONIO</t>
  </si>
  <si>
    <t>ESPECIALISTA EN SISTEMAS DE INFORMACIÓN GEOGRAFICA</t>
  </si>
  <si>
    <t>40643692</t>
  </si>
  <si>
    <t>HUAPAYA MAYTA VANESSA DESIREE</t>
  </si>
  <si>
    <t>OPERADOR DE VEHICULO PESADO - CUSCO</t>
  </si>
  <si>
    <t>40160092</t>
  </si>
  <si>
    <t>HUARAKA MAMANI JUVENAL RONNY</t>
  </si>
  <si>
    <t>42344162</t>
  </si>
  <si>
    <t>HUARCAYA RODRIGUEZ MARCO ERIXSON</t>
  </si>
  <si>
    <t>ANALISTA EN GESTIÓN DOCUMENTARIA Y ARCHIVO</t>
  </si>
  <si>
    <t>42877208</t>
  </si>
  <si>
    <t>HUARICAPCHA CORDOVA AMPARO VIOLETA</t>
  </si>
  <si>
    <t>MEDICO OCUPACIONAL</t>
  </si>
  <si>
    <t>44462540</t>
  </si>
  <si>
    <t>HUARINGA HUATUCO ERWIN CRISTEAM</t>
  </si>
  <si>
    <t>ANALISTA EN SEGURIDAD, DEFENSA NACIONAL Y EN GESTIÓN DEL RIESGO DE DESASTRES</t>
  </si>
  <si>
    <t>18029468</t>
  </si>
  <si>
    <t>HUATAY VILLOSLADA WILLIAM ANTONIO</t>
  </si>
  <si>
    <t>07220748</t>
  </si>
  <si>
    <t>HUAYTAN PAJUELO LINA BEATRIZ</t>
  </si>
  <si>
    <t>ASISTENTE EN FORTALECIMIENTO SECTORIAL</t>
  </si>
  <si>
    <t>41750727</t>
  </si>
  <si>
    <t>HUERTAS LEON LIDIA LUZ</t>
  </si>
  <si>
    <t>10299815</t>
  </si>
  <si>
    <t>HUIVIN GAMARRA YRENE XIILUSKA</t>
  </si>
  <si>
    <t>DIRECTOR GENERAL.  R.M. Nº 329-2019-VIVIENDA</t>
  </si>
  <si>
    <t>08209966</t>
  </si>
  <si>
    <t>HUNG FUNG MARIO ALFREDO</t>
  </si>
  <si>
    <t>10100368</t>
  </si>
  <si>
    <t>HUYHUA ZEGARRA RAUL ERNESTO</t>
  </si>
  <si>
    <t>EDUCACIÓN PRIMARIA COMPLETA</t>
  </si>
  <si>
    <t>COORDINADORA DEL EQUIPO FUNCIONAL DE PROGRAMACIÓN</t>
  </si>
  <si>
    <t>08102120</t>
  </si>
  <si>
    <t>IBARRA QUISPE VICTORIA</t>
  </si>
  <si>
    <t>ANALISTA EN EVALUACIÓN DE IMPACTO AMBIENTAL</t>
  </si>
  <si>
    <t>47369475</t>
  </si>
  <si>
    <t>INGA EGOAVIL LUZ MILAGROS</t>
  </si>
  <si>
    <t>BACHILLER EN ING. AMBIENTAL</t>
  </si>
  <si>
    <t>41200716</t>
  </si>
  <si>
    <t>INGAROCA GRANDES ALFREDO MARCOS</t>
  </si>
  <si>
    <t>OPERADOR DE MAQUINARIA PESADA - ANCASH</t>
  </si>
  <si>
    <t>71855359</t>
  </si>
  <si>
    <t>INTI FALCON MAXIMO ANTONIO</t>
  </si>
  <si>
    <t xml:space="preserve">ESPECIALISTA EN REFORZAMIENTO ESTRUCTURAL DE EDIFICACIONES </t>
  </si>
  <si>
    <t>09596349</t>
  </si>
  <si>
    <t>IRRAZABAL IBAÑEZ EDWARD RUBEN</t>
  </si>
  <si>
    <t>10230878</t>
  </si>
  <si>
    <t>ISLA VILCHEZ JULIO ALBERTO</t>
  </si>
  <si>
    <t>1ERO DE SECUNDARIA</t>
  </si>
  <si>
    <t>EDUCACIÓN SECUNDARIA INCOMPLETA</t>
  </si>
  <si>
    <t>RESPONSABLE DE LA UNIDAD DE GESTIÓN TÉCNICA</t>
  </si>
  <si>
    <t>09539503</t>
  </si>
  <si>
    <t>IZAGUIRRE JIMENEZ BORIS JOSE</t>
  </si>
  <si>
    <t>47593028</t>
  </si>
  <si>
    <t>IZAGUIRRE VILLANUEVA ANGELA VALERIA</t>
  </si>
  <si>
    <t>ESPECIALISTA EN GESTIÓN DE GESTIÓN DE PROYECTO</t>
  </si>
  <si>
    <t>20116928</t>
  </si>
  <si>
    <t>IZARRA BEJARANO CARLOS CRISTIAN</t>
  </si>
  <si>
    <t>ESPECIALISTA ADMINISTRATIVO PARA EL AREA DE ADMINISTRACIÓN</t>
  </si>
  <si>
    <t>33674127</t>
  </si>
  <si>
    <t>IZQUIERDO ALVARADO HILDA ESTHER</t>
  </si>
  <si>
    <t>ANALISTA EN EJECUCIÓN CONTRACTUAL</t>
  </si>
  <si>
    <t>40600399</t>
  </si>
  <si>
    <t>JARA AGUIRRE MARGARITA ANELGRIDA</t>
  </si>
  <si>
    <t>ESPECIALISTA EN DEFENSA LEGAL DEL ESTADO</t>
  </si>
  <si>
    <t>10124795</t>
  </si>
  <si>
    <t>JARA RIVERO ODALIS ELIZABETH</t>
  </si>
  <si>
    <t>ASESOR I. R.M. Nº254-2018-VIVIENDA</t>
  </si>
  <si>
    <t>43413757</t>
  </si>
  <si>
    <t>JARA TRUJILLO CESAR STEVE</t>
  </si>
  <si>
    <t>ASESORA II</t>
  </si>
  <si>
    <t>10306982</t>
  </si>
  <si>
    <t>JAUREGUI SCARSI DIANA</t>
  </si>
  <si>
    <t>DIRECTOR DEL SISTEMA ADMINISTRATIVO II. R. M. Nº 220-2018-VIVIENDA</t>
  </si>
  <si>
    <t>20084493</t>
  </si>
  <si>
    <t>JESUSI POMA DENNYS HUGO</t>
  </si>
  <si>
    <t>10867712</t>
  </si>
  <si>
    <t>JHONG COQUIS JUAN RAMON</t>
  </si>
  <si>
    <t>ESPECIALISTA EN FINANZAS</t>
  </si>
  <si>
    <t>09596352</t>
  </si>
  <si>
    <t>JIBAJA PALOMINO CARLOS ALBERTO</t>
  </si>
  <si>
    <t>42152255</t>
  </si>
  <si>
    <t>JIMENEZ FALEN MARTIN BERNARDO</t>
  </si>
  <si>
    <t>MAESTRIA EN DERECHO TRIBUTARIO Y LABORAL</t>
  </si>
  <si>
    <t>ESPECIALISTA TÉCNICO EN GESTIÓN Y HABILITACIÓN URBANA</t>
  </si>
  <si>
    <t>09613690</t>
  </si>
  <si>
    <t>JIMENEZ LLANOS JOSE ARNALDO</t>
  </si>
  <si>
    <t>ANALISTA  EN GESTIÓN ADMINISTRATIVA</t>
  </si>
  <si>
    <t>16790077</t>
  </si>
  <si>
    <t>JIMENEZ MATSUOKA JUVISSA DEL CARMEN</t>
  </si>
  <si>
    <t>46009157</t>
  </si>
  <si>
    <t>JIMENEZ PORTILLA JORGE ISAAC</t>
  </si>
  <si>
    <t>16620585</t>
  </si>
  <si>
    <t>JORDAN LIZA JOSE ULISES</t>
  </si>
  <si>
    <t>COMPUTACION E INFORMATICA</t>
  </si>
  <si>
    <t>09924314</t>
  </si>
  <si>
    <t>JULCA MARTINEZ BRENDA PAMELA</t>
  </si>
  <si>
    <t>BAC. EN ECNONOMÍA</t>
  </si>
  <si>
    <t>06715993</t>
  </si>
  <si>
    <t>JULCA QUEZADA JOSE OSCAR</t>
  </si>
  <si>
    <t>EGRESADO</t>
  </si>
  <si>
    <t>ESPECIALISTA EN COMUNICACIÓN SECTORIAL</t>
  </si>
  <si>
    <t>42256450</t>
  </si>
  <si>
    <t>KANASHIRO DIAZ DANIEL ENRIQUE</t>
  </si>
  <si>
    <t>09391079</t>
  </si>
  <si>
    <t>KOKUBUN GAVANCHO PAVEL YAKOV</t>
  </si>
  <si>
    <t>29537120</t>
  </si>
  <si>
    <t>LA TORRE NUÑEZ FRANCISCO ADAN</t>
  </si>
  <si>
    <t>TECNICO ADMINISTRATIVO II</t>
  </si>
  <si>
    <t>09605252</t>
  </si>
  <si>
    <t>LABERIAN CARRAZCO ORLANDO ALFREDO</t>
  </si>
  <si>
    <t>08770889</t>
  </si>
  <si>
    <t>LAMA LIMA ALEXIS RAINIER</t>
  </si>
  <si>
    <t>DIRECTOR GENERAL. R.M. Nº 262-2019-VIVIENDA</t>
  </si>
  <si>
    <t>07750692</t>
  </si>
  <si>
    <t>LANDAURE OLAVARRIA JUANCARLOS RAFAEL</t>
  </si>
  <si>
    <t>PROFESIONAL EN TASACION</t>
  </si>
  <si>
    <t>10614682</t>
  </si>
  <si>
    <t>LAPA POCOMUCHA NILDA MARLENE</t>
  </si>
  <si>
    <t>20105922</t>
  </si>
  <si>
    <t>LAU BUENDIA CLAUDIA CECILIA</t>
  </si>
  <si>
    <t>ASISTENTE TÉCNICO EN COMUNICACIONES</t>
  </si>
  <si>
    <t>09552280</t>
  </si>
  <si>
    <t>LAURENTE NUÑEZ SERGIO ENRIQUE</t>
  </si>
  <si>
    <t>TECNICO EN RADIO-COMUNICACIONES</t>
  </si>
  <si>
    <t>10730666</t>
  </si>
  <si>
    <t>LAVALLE BRACAMONTE GARY ALEXANDER</t>
  </si>
  <si>
    <t>DIRECTORA. Resolución Ministerial Nº 227-2018-VIVIENDA</t>
  </si>
  <si>
    <t>43752945</t>
  </si>
  <si>
    <t>LAZA MALPARTIDA ALICIA VANESSA</t>
  </si>
  <si>
    <t>40299323</t>
  </si>
  <si>
    <t>LECCA ESPEJO CARLA JENNIPHER</t>
  </si>
  <si>
    <t>18131279</t>
  </si>
  <si>
    <t>LECCA REAÑO MONICA GABRIELA</t>
  </si>
  <si>
    <t>ESPECIALISTA  ADMINISTRATIVA</t>
  </si>
  <si>
    <t>00514078</t>
  </si>
  <si>
    <t>LECUSSAN FERREYRA ERICKA PATRICIA</t>
  </si>
  <si>
    <t>DIRECTORA. R. M. Nº 293-2018-VIVIENDA</t>
  </si>
  <si>
    <t>07874904</t>
  </si>
  <si>
    <t>LEIGH ANGELES WENDY ANNE</t>
  </si>
  <si>
    <t>TÉCNICO EN ARCHIVO</t>
  </si>
  <si>
    <t>08153888</t>
  </si>
  <si>
    <t>LEON BARROS ALEX JESUS</t>
  </si>
  <si>
    <t>COORDINADOR DEL BONO FAMILIAR HABITACIONAL</t>
  </si>
  <si>
    <t>44975209</t>
  </si>
  <si>
    <t>LEON LOPEZ ROBERTO REYMER</t>
  </si>
  <si>
    <t>08713505</t>
  </si>
  <si>
    <t>LEVANO CASTRO CECILIA VICTORIA MARGARITA</t>
  </si>
  <si>
    <t>ESPECIALISTA EN DEFENSA LEGAL</t>
  </si>
  <si>
    <t>40171748</t>
  </si>
  <si>
    <t>LEVERATTO LANDAURO VALERIA</t>
  </si>
  <si>
    <t>ASISTENTE ADMINISTRATIVO EN GESTION DOCUMENTAL Y ARCHIVO</t>
  </si>
  <si>
    <t>10010266</t>
  </si>
  <si>
    <t>LEYVA MALDONADO EDUARDO AUGUSTIN</t>
  </si>
  <si>
    <t>COORDINADORA  DE SOPORTE Y REDES</t>
  </si>
  <si>
    <t>45859295</t>
  </si>
  <si>
    <t>LEZAMA CHUQUISUTA FRANCIS BELISSA</t>
  </si>
  <si>
    <t>ESTUDIANTE DE ING. TELECOMUNICACIONES E INFORMATICA</t>
  </si>
  <si>
    <t>ASISTENTE ADMINISTRATIVA - PUNO</t>
  </si>
  <si>
    <t>47124352</t>
  </si>
  <si>
    <t>LIMACHI LOPEZ MYRIAN YOVANA</t>
  </si>
  <si>
    <t>COORDINADOR GENERAL - PUNO</t>
  </si>
  <si>
    <t>01319836</t>
  </si>
  <si>
    <t>LIMACHI MOZO JORGE EDSON</t>
  </si>
  <si>
    <t>ANALISTA EN PROYECTOS - SAN MARTIN</t>
  </si>
  <si>
    <t>42164112</t>
  </si>
  <si>
    <t>LINARES BOCANEGRA JANS JHONY</t>
  </si>
  <si>
    <t>GESTOR SOCIAL PARA LA REGION SAN MARTIN Y UCAYALI</t>
  </si>
  <si>
    <t>41309360</t>
  </si>
  <si>
    <t>LINARES DIAZ MARIA ELISA</t>
  </si>
  <si>
    <t>46794208</t>
  </si>
  <si>
    <t>LINARES ORMEÑO GLENDY MISHELL</t>
  </si>
  <si>
    <t>ASESOR II. R. M. Nº 267-2018-VIVIENDA</t>
  </si>
  <si>
    <t>06270969</t>
  </si>
  <si>
    <t>LLACZA CAMARGO LUIS ALBERTO</t>
  </si>
  <si>
    <t>40520663</t>
  </si>
  <si>
    <t>LLANOS BUIZA SKARLEY MIRELLY</t>
  </si>
  <si>
    <t>42456255</t>
  </si>
  <si>
    <t>LLANOS VALENCIA MAGNOLIA DEL ROCIO</t>
  </si>
  <si>
    <t>TECNICA PROFESIONAL EN ARCHIVOS</t>
  </si>
  <si>
    <t>ANALISTA EN ATENCIÓN AL CIUDADANO - TACNA</t>
  </si>
  <si>
    <t>40744003</t>
  </si>
  <si>
    <t>LLIPITA GARCIA RENE</t>
  </si>
  <si>
    <t>BIOLOGA</t>
  </si>
  <si>
    <t>45286803</t>
  </si>
  <si>
    <t>LOAYZA MORENO GIANCARLOS</t>
  </si>
  <si>
    <t>10230234</t>
  </si>
  <si>
    <t>LOAYZA VELARDE EDGAR</t>
  </si>
  <si>
    <t>Apoyo Administrativo</t>
  </si>
  <si>
    <t>08031716</t>
  </si>
  <si>
    <t>LOLI CHAVEZ CARLOS CARMELO</t>
  </si>
  <si>
    <t>ESTUDIANTE UNIVERSITARIO</t>
  </si>
  <si>
    <t>ESPECIALISTA EN INTEGRACIÓN CONTABLE</t>
  </si>
  <si>
    <t>28291978</t>
  </si>
  <si>
    <t>LOLI QUIROZ MARIA LUISA</t>
  </si>
  <si>
    <t xml:space="preserve">ESPECIALISTA EN EVALUACION SOCIAL </t>
  </si>
  <si>
    <t>26728594</t>
  </si>
  <si>
    <t>LOPEZ ABANTO JULIO</t>
  </si>
  <si>
    <t>LIC. EN SOCIOLOGIA</t>
  </si>
  <si>
    <t>06848259</t>
  </si>
  <si>
    <t>LOPEZ ALVA FESTO GLICERIO</t>
  </si>
  <si>
    <t>BACHILER EN ADMINISTRACIÓN DE EMPRESAS</t>
  </si>
  <si>
    <t>ESPECIALISTA EN GESTION DE PROGRAMAS SOCIALES E INTERVENCION SOCIAL</t>
  </si>
  <si>
    <t>31037440</t>
  </si>
  <si>
    <t>LOPEZ CLAUDINO ROSANA</t>
  </si>
  <si>
    <t>43176338</t>
  </si>
  <si>
    <t>LOPEZ ESPIRITU JUAN IGNACIO</t>
  </si>
  <si>
    <t>CONDUCTOR DE VEHICULOS</t>
  </si>
  <si>
    <t>07252864</t>
  </si>
  <si>
    <t>LOPEZ FERNANDEZ LUIS FELIPE</t>
  </si>
  <si>
    <t>OPERADOR DE MAQUINARIA PESADA - LIMA</t>
  </si>
  <si>
    <t>41851575</t>
  </si>
  <si>
    <t>LOPEZ GONZALES GILBERTO</t>
  </si>
  <si>
    <t>SOPORTE TECNICO EN SOFTWARE Y HARDWARE</t>
  </si>
  <si>
    <t>45938043</t>
  </si>
  <si>
    <t>LOPEZ MORALES FRANCISCO BRIAN</t>
  </si>
  <si>
    <t>ASISTENTE EN REDES SOCIALES</t>
  </si>
  <si>
    <t>43418461</t>
  </si>
  <si>
    <t>LOPEZ SUYO FRANCISCO ANTONIO TOMAS</t>
  </si>
  <si>
    <t>ESPECIALISTA EN PROYECTOS DE INVERSIÓN</t>
  </si>
  <si>
    <t>44374464</t>
  </si>
  <si>
    <t>LOPEZ VIDAL PASCUAL YONI</t>
  </si>
  <si>
    <t>COORDINADOR DE INTEGRACIÓN CONTABLE</t>
  </si>
  <si>
    <t>08872901</t>
  </si>
  <si>
    <t>LOPEZ ZUÑIGA JUAN CARLOS</t>
  </si>
  <si>
    <t>JEFE DE GABINETE DE ASESORES. R. M. Nº 093-2019-VIVIENDA</t>
  </si>
  <si>
    <t>07885562</t>
  </si>
  <si>
    <t>LOZADA BONILLA ALFREDO ARCADIO</t>
  </si>
  <si>
    <t>ASISTENTE EN SOPORTE TÉCNICO</t>
  </si>
  <si>
    <t>44528773</t>
  </si>
  <si>
    <t>LOZADA COLQUE LUCAS RAUL</t>
  </si>
  <si>
    <t>TÉCNICO EN SERVICIOS GENERALES</t>
  </si>
  <si>
    <t>08609013</t>
  </si>
  <si>
    <t>LOZANO VIERA JAVIER FERNANDO</t>
  </si>
  <si>
    <t>OPERADOR DE MAQUINARIA PESADA - UBO LIMA</t>
  </si>
  <si>
    <t>42232284</t>
  </si>
  <si>
    <t>LOZANO VILCA JUNIOR ALBERTO</t>
  </si>
  <si>
    <t>ASISTENTE ADMINISTRATIVA - AMAZONAS</t>
  </si>
  <si>
    <t>72731386</t>
  </si>
  <si>
    <t>LOZANO ZEGARRA AMBAR NORUSKA</t>
  </si>
  <si>
    <t>44950860</t>
  </si>
  <si>
    <t>LUCIANO VEGA JOEL WILSON</t>
  </si>
  <si>
    <t>ANALISTA EN NORMAS TECNICAS DE CONSTRUCCIÓN Y DE TASACIONES</t>
  </si>
  <si>
    <t>47594348</t>
  </si>
  <si>
    <t>LUGO CHAVEZ YESSENIA KATERINE</t>
  </si>
  <si>
    <t>ESPECIALISTA EVALUADOR DEL CENTRO DE OPERACIONES DE EMERGENCIA</t>
  </si>
  <si>
    <t>80213243</t>
  </si>
  <si>
    <t>LUJAN FLORES CESAR AUGUSTO</t>
  </si>
  <si>
    <t>AUXILIAR EN ALMACEN</t>
  </si>
  <si>
    <t>40460043</t>
  </si>
  <si>
    <t>LUNA ROMERO JOHNNY PIO</t>
  </si>
  <si>
    <t>21545059</t>
  </si>
  <si>
    <t>LUNA VICTORIA MOYANO MIRTHA LIZZA CARMELA</t>
  </si>
  <si>
    <t>40391488</t>
  </si>
  <si>
    <t>LUZQUIÑOS BERASTAIN JUANA CECILIA</t>
  </si>
  <si>
    <t>ADMINISTRACION</t>
  </si>
  <si>
    <t>40008596</t>
  </si>
  <si>
    <t>MACHACA SALE EDWIN ADOLFO</t>
  </si>
  <si>
    <t>ESTUDIANTE EN ADMINISTRACION</t>
  </si>
  <si>
    <t xml:space="preserve">Profesional para Coordinación con el Comité de Gestión de la Iniciativa del Aire Limpio para Lima y Callao </t>
  </si>
  <si>
    <t>28262631</t>
  </si>
  <si>
    <t>MACIZO GOMEZ GLADIS MARITHZA</t>
  </si>
  <si>
    <t>26694355</t>
  </si>
  <si>
    <t>MACO BECERRA ARISTARCO RONALD</t>
  </si>
  <si>
    <t>ANALISTA EN GESTIÓN DE TIERRAS</t>
  </si>
  <si>
    <t>10611416</t>
  </si>
  <si>
    <t>MACOTELA GARCIA CARMEN JESUS</t>
  </si>
  <si>
    <t>06242431</t>
  </si>
  <si>
    <t>MADRID CHUMACERO BERTHA</t>
  </si>
  <si>
    <t>43695017</t>
  </si>
  <si>
    <t>MAGNI BRINGAS PAOLA YOVANA</t>
  </si>
  <si>
    <t>ESPECIALISTA EN CAMBIO CLIMATICO</t>
  </si>
  <si>
    <t>41797758</t>
  </si>
  <si>
    <t>MALAGA CUEVA NELSI ISABEL</t>
  </si>
  <si>
    <t>08860568</t>
  </si>
  <si>
    <t>MALASPINA PANDO ROSA DIGNA</t>
  </si>
  <si>
    <t>ANALISTA DE MONITOREO DE POLÍTICAS, PLANES, PROGRAMAS Y PROYECTOS</t>
  </si>
  <si>
    <t>09956525</t>
  </si>
  <si>
    <t>MALDONADO AVALOS MIRIAN ISABEL</t>
  </si>
  <si>
    <t>BACHILLER EN ESTADISTICA</t>
  </si>
  <si>
    <t xml:space="preserve">ANALISTA DE SISTEMAS </t>
  </si>
  <si>
    <t>42411483</t>
  </si>
  <si>
    <t>MALDONADO CUZCANO ERICK TEODORO</t>
  </si>
  <si>
    <t>10142374</t>
  </si>
  <si>
    <t>MALDONADO RAMÍREZ CARLOS ERNESTO</t>
  </si>
  <si>
    <t>ANALISTA DE PRENSA</t>
  </si>
  <si>
    <t>42950064</t>
  </si>
  <si>
    <t>MALPARTIDA VEGA CLAUDIA LISSET</t>
  </si>
  <si>
    <t xml:space="preserve"> COORDINADOR DE TASACIONES EN PREDIOS RUSTICOS</t>
  </si>
  <si>
    <t>17818751</t>
  </si>
  <si>
    <t>MANRIQUE CASTRO EDUARDO OSWALDO</t>
  </si>
  <si>
    <t>ASISTENTE EN ESTADISTICA</t>
  </si>
  <si>
    <t>46800237</t>
  </si>
  <si>
    <t>MANRIQUE PACHAS CHRISTIAN FERNANDO</t>
  </si>
  <si>
    <t>ESTUDIANTE DE ESTADISTICA</t>
  </si>
  <si>
    <t>TÉCNICO EN PROMOCIÓN Y DIFUSIÓN</t>
  </si>
  <si>
    <t>41436340</t>
  </si>
  <si>
    <t>MANRIQUE VALENTIN ALAN JHEFERSSON</t>
  </si>
  <si>
    <t>TECNICA  ADMINISTRATIVA</t>
  </si>
  <si>
    <t>25762904</t>
  </si>
  <si>
    <t>MANSILLA HERNANDEZ JOHANNA KARIM</t>
  </si>
  <si>
    <t>43062694</t>
  </si>
  <si>
    <t>MANTILLA SALCEDO CINDY LYDA</t>
  </si>
  <si>
    <t>INGENIERA INDUSTRIAL</t>
  </si>
  <si>
    <t>42201950</t>
  </si>
  <si>
    <t>MARCACUZCO QUINTO PATRICIA MILAGROS</t>
  </si>
  <si>
    <t>ASESOR LEGAL EN GESTIÓN ADMINISTRATIVA</t>
  </si>
  <si>
    <t>43318454</t>
  </si>
  <si>
    <t>MARCELO FLORES GILMER</t>
  </si>
  <si>
    <t>APOYO CARTOGRAFICO</t>
  </si>
  <si>
    <t>41958141</t>
  </si>
  <si>
    <t>MARCELO QUEZADA JUDHIT JANETH</t>
  </si>
  <si>
    <t>ESTUDIANTE DE INGENIERIA DE SISTEMAS E INFORMATICA</t>
  </si>
  <si>
    <t>42766144</t>
  </si>
  <si>
    <t>MARCHENA ARBOCCO MARIELL IBETT</t>
  </si>
  <si>
    <t>TECNICO ADMINISTRACION TURISTICA</t>
  </si>
  <si>
    <t>41551790</t>
  </si>
  <si>
    <t>MARCOS MENDOZA JHENIFER KATY</t>
  </si>
  <si>
    <t>25727738</t>
  </si>
  <si>
    <t>MARIMON DIAZ LUIS ANTONIO</t>
  </si>
  <si>
    <t>PROCURADOR PUBLICO ADJUNTO. R.S. Nº 162-2015-JUS</t>
  </si>
  <si>
    <t>10136748</t>
  </si>
  <si>
    <t>MARROQUIN CAMACHO JUAN MANUEL</t>
  </si>
  <si>
    <t>42170642</t>
  </si>
  <si>
    <t>MARTEL AYLLON JOHANA MARGARITA</t>
  </si>
  <si>
    <t>COORDINADOR DEL ARCHIVO CENTRAL</t>
  </si>
  <si>
    <t>10549642</t>
  </si>
  <si>
    <t>MARTEL AYLLON KARINA LISETTY</t>
  </si>
  <si>
    <t>ESPECIALISTA EN GESTIÓN SOCIAL</t>
  </si>
  <si>
    <t>40162979</t>
  </si>
  <si>
    <t>MARTINEZ CANO MELINDA</t>
  </si>
  <si>
    <t>ASISTENTE EN DESARROLLO DE SISTEMAS DE INFORMACIÓN</t>
  </si>
  <si>
    <t>46825196</t>
  </si>
  <si>
    <t>MARTINEZ MARCOS RAFAEL ENRIQUE</t>
  </si>
  <si>
    <t>45315624</t>
  </si>
  <si>
    <t>MARTINEZ SOTO LUIS ALFREDO</t>
  </si>
  <si>
    <t>ESPECIALISTA LEGAL EN TASACIONES</t>
  </si>
  <si>
    <t>44345778</t>
  </si>
  <si>
    <t>MARTINEZ SOTOMAYOR SOLEDAD AISA</t>
  </si>
  <si>
    <t>07807560</t>
  </si>
  <si>
    <t>MARZAL SANCHEZ MARIA VIRGINIA</t>
  </si>
  <si>
    <t>41541311</t>
  </si>
  <si>
    <t>MASSA LOVERA MARLENE BEATRIZ</t>
  </si>
  <si>
    <t>ANALISTA EN NORMATIVA SECTORIAL</t>
  </si>
  <si>
    <t>43170997</t>
  </si>
  <si>
    <t>MATA HUERTA MIGUEL EDWIN</t>
  </si>
  <si>
    <t>RESPONSABLE DEL FORTALECIMIENTO INSTITUCIONAL Y SOCIAL</t>
  </si>
  <si>
    <t>41918209</t>
  </si>
  <si>
    <t>MATIAS PAZ ROSA LUZ</t>
  </si>
  <si>
    <t>42437240</t>
  </si>
  <si>
    <t>MATOS PEÑA LUIS OSWALDO</t>
  </si>
  <si>
    <t>28287675</t>
  </si>
  <si>
    <t>MAURICIO BONIFACIO DAVID</t>
  </si>
  <si>
    <t>ANALISTA EN ATENCION AL CIUDADANO  - ANCASH</t>
  </si>
  <si>
    <t>31653466</t>
  </si>
  <si>
    <t>MAUTINO MINAYA ERIK YURY</t>
  </si>
  <si>
    <t>45382874</t>
  </si>
  <si>
    <t>MAYORGA PEIXOTO YESIKA KAREN</t>
  </si>
  <si>
    <t>06219801</t>
  </si>
  <si>
    <t>MEDINA RAMIREZ HAVILDO STEVENS</t>
  </si>
  <si>
    <t>ASISTENTE EN GESTIÓN ARANCELARIA</t>
  </si>
  <si>
    <t>46286113</t>
  </si>
  <si>
    <t>MEDINA RAMOS CARLOS ALFREDO</t>
  </si>
  <si>
    <t>OPERADOR DE MAQUINARIA  PESADA - LA LIBERTAD</t>
  </si>
  <si>
    <t>27915606</t>
  </si>
  <si>
    <t>MEDINA RIOS NAPOLEON</t>
  </si>
  <si>
    <t>Secretaria, con conocimientos y experiencia en Administración</t>
  </si>
  <si>
    <t>08737354</t>
  </si>
  <si>
    <t>MEDINA RISCO CELIA NIEVES</t>
  </si>
  <si>
    <t>40700617</t>
  </si>
  <si>
    <t>MEDRANO ANCO JESSICA YOLANDA</t>
  </si>
  <si>
    <t>42450697</t>
  </si>
  <si>
    <t>MEJIA CHAVEZ YOBHERT GEORGE</t>
  </si>
  <si>
    <t xml:space="preserve">OPERADOR DE MAQUINARIA PESADA - REGIÓN LIMA PROVINCIAS </t>
  </si>
  <si>
    <t>40421491</t>
  </si>
  <si>
    <t>MEJIA GONZALES AURELIO</t>
  </si>
  <si>
    <t>OPERADOR</t>
  </si>
  <si>
    <t>ANALISTA EN INFRAESTRUCTURA DE PROYECTOS DE INVERSIÓN</t>
  </si>
  <si>
    <t>44828064</t>
  </si>
  <si>
    <t>MEJIA UQUICHE ALEXIS RICARDO</t>
  </si>
  <si>
    <t>00962522</t>
  </si>
  <si>
    <t>MENDIETA MUÑOZ JACINTA MARIBEL</t>
  </si>
  <si>
    <t>ESPECIALISTA EN FORMULACIÓN DE PROYECTOS</t>
  </si>
  <si>
    <t>10000582</t>
  </si>
  <si>
    <t>MENDIOLA PUMA RENZO ENRIQUE</t>
  </si>
  <si>
    <t xml:space="preserve">ESPECIALISTA EN EVALUACIÓN DE IMPACTO Y GESTIÓN DE EVIDENCIAS </t>
  </si>
  <si>
    <t>44746990</t>
  </si>
  <si>
    <t>MENDOZA CALDERON AUGUSTO NOEL</t>
  </si>
  <si>
    <t>COORDINADORA GENERAL - CAJAMARCA</t>
  </si>
  <si>
    <t>18213086</t>
  </si>
  <si>
    <t>MENDOZA DAVILA JULIA CLOTILDE</t>
  </si>
  <si>
    <t>PROFESIONAL ESPECIALISTA ADMINISTRATIVO Y PRESUPUESTAL</t>
  </si>
  <si>
    <t>09225858</t>
  </si>
  <si>
    <t>MENDOZA GOMEZ WILFREDO MARDONIO</t>
  </si>
  <si>
    <t>ESPECIALISTA EN EVALUACIÓN SANITARIA</t>
  </si>
  <si>
    <t>08128468</t>
  </si>
  <si>
    <t>MENDOZA GUIDO JOSE RAFAEL</t>
  </si>
  <si>
    <t>41322245</t>
  </si>
  <si>
    <t>MENDOZA ROQUE KAREN ELIZABETH</t>
  </si>
  <si>
    <t>COORDINADOR GENERAL - AMAZONAS</t>
  </si>
  <si>
    <t>06773979</t>
  </si>
  <si>
    <t>MENDOZA VILCA FELIX HOMERO</t>
  </si>
  <si>
    <t>TÉCNICO EN COMUNICACIONES AUDIOVISUALES</t>
  </si>
  <si>
    <t>42012743</t>
  </si>
  <si>
    <t>MENESES HERMOZA ALEX IVAN</t>
  </si>
  <si>
    <t>PROFESIONAL TÉCNICO EN COMUNICACIÓN AUDIOVISUAL</t>
  </si>
  <si>
    <t>ESPECIALISTA EN TRATAMIENTO DE AGUAS RESIDUALES EN SERVICIOS DE SANEAMIENTO</t>
  </si>
  <si>
    <t>25417310</t>
  </si>
  <si>
    <t>MERA BERRIOS JOSE MOISES</t>
  </si>
  <si>
    <t>Auxiliar Administrativo</t>
  </si>
  <si>
    <t>10340417</t>
  </si>
  <si>
    <t>MERINO MENDEZ MANUEL ANTONIO</t>
  </si>
  <si>
    <t>07739843</t>
  </si>
  <si>
    <t>MERZTHAL SERRANO MARIA EDDA</t>
  </si>
  <si>
    <t>44568563</t>
  </si>
  <si>
    <t>MESTANZA JACOBO ENMANUEL</t>
  </si>
  <si>
    <t>Asesor en la elaboración de planes de contingencia, capacitación, estudio de seguridad y otros</t>
  </si>
  <si>
    <t>25490574</t>
  </si>
  <si>
    <t>MEZA MEDINA MAXIMO JOSE</t>
  </si>
  <si>
    <t>25455601</t>
  </si>
  <si>
    <t>MEZA MUÑOZ MARCOS ANTONIO</t>
  </si>
  <si>
    <t>ESPECIALISTA LEGAL EN NORMAS URBANISTICAS</t>
  </si>
  <si>
    <t>09597210</t>
  </si>
  <si>
    <t>MEZA ZAMBRANO VIRGINIA JESUS</t>
  </si>
  <si>
    <t>07267609</t>
  </si>
  <si>
    <t>MILLA ATAUJE LUIS</t>
  </si>
  <si>
    <t>PRIMARIA - INCOMPLETA</t>
  </si>
  <si>
    <t>09312565</t>
  </si>
  <si>
    <t>MILLA BALDOCEDA MARIA DEL CARMEN</t>
  </si>
  <si>
    <t>09988092</t>
  </si>
  <si>
    <t>MILLAN BAJONERO NORMA MARLENI</t>
  </si>
  <si>
    <t>45195084</t>
  </si>
  <si>
    <t>MIRANDA RIVASPLATA JOEL JAIR</t>
  </si>
  <si>
    <t>COORDINADOR AGROFORESTAL</t>
  </si>
  <si>
    <t>19846322</t>
  </si>
  <si>
    <t>MOLINA RIOS CRISTOBAL MAXIMO</t>
  </si>
  <si>
    <t>AUXILIAR ADMIISTRATIVO</t>
  </si>
  <si>
    <t>40664474</t>
  </si>
  <si>
    <t>MONGRUT PADILLA ISIS ROSA</t>
  </si>
  <si>
    <t>16734485</t>
  </si>
  <si>
    <t>MONJA VALIENTE LUIS ALBERTO</t>
  </si>
  <si>
    <t>TECNICO DOCUMENTARIO</t>
  </si>
  <si>
    <t>40200768</t>
  </si>
  <si>
    <t>MONJA VILCHEZ OSCAR</t>
  </si>
  <si>
    <t>45686249</t>
  </si>
  <si>
    <t>MONTALBAN ZURITA MARIA VERONICA</t>
  </si>
  <si>
    <t>ANALISTA DE CONTROL PREVIO</t>
  </si>
  <si>
    <t>06591813</t>
  </si>
  <si>
    <t>MONTALVO ASTETE LOURDES MARCELINA</t>
  </si>
  <si>
    <t>SUPERVISOR DE TRANSPORTE</t>
  </si>
  <si>
    <t>40966979</t>
  </si>
  <si>
    <t>MONTANO PERALTA PEDRO</t>
  </si>
  <si>
    <t>OPERADOR DE VEHICULO PESADO -PIURA</t>
  </si>
  <si>
    <t>17610521</t>
  </si>
  <si>
    <t>MONTENEGRO AVELLANEDA HECTOR FRANCISCO</t>
  </si>
  <si>
    <t>40691566</t>
  </si>
  <si>
    <t>MONTENEGRO GORDILLO MANUEL RICARDO</t>
  </si>
  <si>
    <t>ESPECIALISTA EN ADMINISTRACIÓN DE BASE DE DATOS</t>
  </si>
  <si>
    <t>43180452</t>
  </si>
  <si>
    <t>MONTENEGRO PEJERREY EDITH</t>
  </si>
  <si>
    <t>ING. DE SISTEMAS</t>
  </si>
  <si>
    <t>COORDINADOR DEL EQUIPO DE SEGUIMIENTO Y EJECUCIÓN CONTRACTUAL</t>
  </si>
  <si>
    <t>10472549</t>
  </si>
  <si>
    <t>MONTES CURIOSO MIGUEL ANGEL</t>
  </si>
  <si>
    <t>ESPECIALISTA ADMINISTRATIVO</t>
  </si>
  <si>
    <t>10221247</t>
  </si>
  <si>
    <t>MONTES VILCHEZ RENZO ALDO</t>
  </si>
  <si>
    <t>07884433</t>
  </si>
  <si>
    <t>MONTOYA SOTO WILLIAM FRED</t>
  </si>
  <si>
    <t>ESPECIALISTA EN DEFENSA LEGAL PARA EL ESTADO</t>
  </si>
  <si>
    <t>45109191</t>
  </si>
  <si>
    <t>MORALES MONDRAGON FRANCISCO JAVIER</t>
  </si>
  <si>
    <t>COORDINADOR REGIONAL DE OPERACIONES - UBO AMAZONAS</t>
  </si>
  <si>
    <t>16629078</t>
  </si>
  <si>
    <t>MORALES TAVARA LUIS DANIEL</t>
  </si>
  <si>
    <t>EJECUTOR COACTIVO</t>
  </si>
  <si>
    <t>08179399</t>
  </si>
  <si>
    <t>MORALES TORRES ROLANDO JOSE MARIA</t>
  </si>
  <si>
    <t>ESPECIALISTA TÉCNICO EN GESTIÓN DE REVISORES URBANOS</t>
  </si>
  <si>
    <t>10603028</t>
  </si>
  <si>
    <t>MORAN JARA EVELYN LUZ</t>
  </si>
  <si>
    <t>ESPECIALISTA EN GESTIÓN ADMINISTRATIVA Y PRESUPUESTAL</t>
  </si>
  <si>
    <t>09073969</t>
  </si>
  <si>
    <t>MORANTE JINES FRANCISCO FERNANDO</t>
  </si>
  <si>
    <t>80209716</t>
  </si>
  <si>
    <t>MORENO ALIANO DARIO VICTOR</t>
  </si>
  <si>
    <t>45737224</t>
  </si>
  <si>
    <t>MORI GUERRA JESSICA DORIS ELIZABETH</t>
  </si>
  <si>
    <t>BACHILLER EN HOTELERIA Y TURISMO</t>
  </si>
  <si>
    <t>DIRECTORA. R. M. Nº 181-2018-VIVIENDA</t>
  </si>
  <si>
    <t>08156844</t>
  </si>
  <si>
    <t>MORILLO VIERA MABEL JUANA</t>
  </si>
  <si>
    <t>45910711</t>
  </si>
  <si>
    <t>MOSCOSO SOTO OSCAR RENATO</t>
  </si>
  <si>
    <t>DIRECTOR EJECUTIVO. R.M. Nº 378-2017-VIVIENDA</t>
  </si>
  <si>
    <t>07943197</t>
  </si>
  <si>
    <t>MOSQUEIRA MEDINA ERNESTO ENRIQUE</t>
  </si>
  <si>
    <t>ANALISTA DE ATENCIÓN AL CIUDADANO - UCAYALI</t>
  </si>
  <si>
    <t>23941434</t>
  </si>
  <si>
    <t>MOTTOCCANCHI BUSTINZA YOLANDA</t>
  </si>
  <si>
    <t>40569926</t>
  </si>
  <si>
    <t>MOYA SANIZO LEONARDY JOSMELL</t>
  </si>
  <si>
    <t>16718826</t>
  </si>
  <si>
    <t>MUÑOZ ALEGRIA TEODORO MARTIN</t>
  </si>
  <si>
    <t>29415192</t>
  </si>
  <si>
    <t>MUÑOZ APAZA FLOR ELIZABETH</t>
  </si>
  <si>
    <t>EXPERTO EN PROYECTOS DE INVERSIÓN</t>
  </si>
  <si>
    <t>09883498</t>
  </si>
  <si>
    <t>MUÑOZ FLORES JOSE ALBERTO</t>
  </si>
  <si>
    <t>ASISTENTE ADMINISTRATIVA - LORETO</t>
  </si>
  <si>
    <t>05403120</t>
  </si>
  <si>
    <t>MUÑOZ MARQUEZ CARMEN LOURDES</t>
  </si>
  <si>
    <t>09232038</t>
  </si>
  <si>
    <t>MUÑOZ ORE ZARELA GULDA</t>
  </si>
  <si>
    <t>COORDINADORA GENERAL - JUNIN</t>
  </si>
  <si>
    <t>41366398</t>
  </si>
  <si>
    <t>MUÑOZ SALINAS LINET YADIRA</t>
  </si>
  <si>
    <t>ASISTENTE EN ARQUITECTURA</t>
  </si>
  <si>
    <t>45760503</t>
  </si>
  <si>
    <t>MUSUCANCHA RESTAURE MIGUEL ANGEL</t>
  </si>
  <si>
    <t>COORDINADOR DE NORMATIVA EN SANEAMIENTO</t>
  </si>
  <si>
    <t>15427210</t>
  </si>
  <si>
    <t>NALDA GAGLIARDI MIGUEL ANGEL</t>
  </si>
  <si>
    <t>45466494</t>
  </si>
  <si>
    <t>NAMUCHE LAVALLE EDUARD JONATHAN</t>
  </si>
  <si>
    <t>ESPECIALISTA ECONÓMICO</t>
  </si>
  <si>
    <t>10311690</t>
  </si>
  <si>
    <t>NAMUCHE TANTA MARGARITA DEL ROSIO</t>
  </si>
  <si>
    <t>INGENIERA ECONOMISTA</t>
  </si>
  <si>
    <t>DIRECTOR DE LA DIRECCIÓN DE GESTIÓN AMBIENTAL. R.M. Nº 328-2016-VIVIENDA</t>
  </si>
  <si>
    <t>06160447</t>
  </si>
  <si>
    <t>NARCISO CHAVEZ JUAN EDGARDO</t>
  </si>
  <si>
    <t>INGENIERO DE HIGIENE Y SEGURIDAD INDUSTRIAL</t>
  </si>
  <si>
    <t>ESPECIALISTA EN EVALUACIÓN SOCIAL</t>
  </si>
  <si>
    <t>07032796</t>
  </si>
  <si>
    <t>NARVAEZ VARGAS PATRICIA EUGENIA</t>
  </si>
  <si>
    <t>LIC. EN TRABAJO SOCIAL</t>
  </si>
  <si>
    <t>ESPECIALISTA EN ADMINISTRACIÓN DE REDES Y SERVIDORES</t>
  </si>
  <si>
    <t>42419473</t>
  </si>
  <si>
    <t>NAVARRO ALLCCA JHON WILLMAN</t>
  </si>
  <si>
    <t>DIRECTOR GENERAL, R.M. Nº 472-2017-VIVIENDA</t>
  </si>
  <si>
    <t>41401129</t>
  </si>
  <si>
    <t>NAVARRO FRANCO HERNAN JESUS</t>
  </si>
  <si>
    <t>COORDINACIÓN DE GESTIÓN DE PROGRAMAS Y PROYECTOS EN VIVIENDA Y URBANISMO</t>
  </si>
  <si>
    <t>10549367</t>
  </si>
  <si>
    <t>NAVARRO MAURIÑO HECTOR OMAR</t>
  </si>
  <si>
    <t>ESPECIALISTA EN AUDIOVISUALES</t>
  </si>
  <si>
    <t>07521132</t>
  </si>
  <si>
    <t>NAVARRO PANDO KAREL KEIL</t>
  </si>
  <si>
    <t>ESPECIALISTA EN EVALUACIÓN SOCIAL PARA LA UNIDAD DE GESTIÓN SOCIAL</t>
  </si>
  <si>
    <t>10235472</t>
  </si>
  <si>
    <t>NAVARRO VELA JORGE EDINSON</t>
  </si>
  <si>
    <t>BACHILLER EN INGENIERIA ZOOCTENIA</t>
  </si>
  <si>
    <t>44109168</t>
  </si>
  <si>
    <t>NEIRA CORRALES OMAR ENRIQUE</t>
  </si>
  <si>
    <t>40707680</t>
  </si>
  <si>
    <t>NEYRA ALVA VANESSA</t>
  </si>
  <si>
    <t>ANALISTA EN ATENCIÓN AL CIUDADANO - AYACUCHO</t>
  </si>
  <si>
    <t>80626078</t>
  </si>
  <si>
    <t>NICOLAS RUIZ HANS CARLOS</t>
  </si>
  <si>
    <t>BIOTECNOLOGIA</t>
  </si>
  <si>
    <t>08770629</t>
  </si>
  <si>
    <t>NICOLAS SANTIAGO ZARA</t>
  </si>
  <si>
    <t>44841882</t>
  </si>
  <si>
    <t>NIEVES LARA JEMIMA CESIA</t>
  </si>
  <si>
    <t>09921182</t>
  </si>
  <si>
    <t>NIEVES MATTA RICARDO GUSTAVO</t>
  </si>
  <si>
    <t>43380746</t>
  </si>
  <si>
    <t>NINA SUTTA ALBINO</t>
  </si>
  <si>
    <t>28228684</t>
  </si>
  <si>
    <t>NOLAZCO ENRIQUEZ NORMA</t>
  </si>
  <si>
    <t>42753339</t>
  </si>
  <si>
    <t>NORABUENA ARANDA RAQUEL SONIA</t>
  </si>
  <si>
    <t>10790693</t>
  </si>
  <si>
    <t>NOREÑA JARA VILMA ROSAURA</t>
  </si>
  <si>
    <t>10723653</t>
  </si>
  <si>
    <t>NORERO JARRIN JAZMIN IVETTE</t>
  </si>
  <si>
    <t>09649247</t>
  </si>
  <si>
    <t>NUÑEZ AMPUERO PATRICIA LUCIA</t>
  </si>
  <si>
    <t>[SIN REGISTRO]</t>
  </si>
  <si>
    <t>10504076</t>
  </si>
  <si>
    <t>NUÑEZ ESPIRITU MAGNOLIA IRENE</t>
  </si>
  <si>
    <t>ESPECIALISTA EN GESTION DE LA SEGURIDAD Y SALUD EN EL TRABAJO</t>
  </si>
  <si>
    <t>40046289</t>
  </si>
  <si>
    <t>NUÑEZ VARILLAS GLADYS DIGNA</t>
  </si>
  <si>
    <t>09408174</t>
  </si>
  <si>
    <t>ÑAURI VELARDE YSAU FORTUNATO</t>
  </si>
  <si>
    <t>EX SUB OFICIAL DE LA PNP</t>
  </si>
  <si>
    <t>ANALISTA DE EJECUCIÓN FINANCIERA</t>
  </si>
  <si>
    <t>09943141</t>
  </si>
  <si>
    <t>OCHOA CUBA WALMER</t>
  </si>
  <si>
    <t>10424821</t>
  </si>
  <si>
    <t>OCHOA MARQUEZ ANDREZ SOSIMO</t>
  </si>
  <si>
    <t>45959687</t>
  </si>
  <si>
    <t>OCHOA RAVELO PAMELA</t>
  </si>
  <si>
    <t>70601997</t>
  </si>
  <si>
    <t>OLAECHEA HEREDIA MARIA CLAUDIA</t>
  </si>
  <si>
    <t>ESPECIALISTA EN GESTIÓN</t>
  </si>
  <si>
    <t>23953899</t>
  </si>
  <si>
    <t>OLARTE PINARES HENRY MIGUEL</t>
  </si>
  <si>
    <t>ASISTENTE DE TESORERIA</t>
  </si>
  <si>
    <t>41629204</t>
  </si>
  <si>
    <t>OLCESE CARRERA CARLA ESTHER</t>
  </si>
  <si>
    <t>ESPECIALISTA EN NORMAS TÉCNICAS Y ESTUDIOS DE GESTIÓN DE RIESGO</t>
  </si>
  <si>
    <t>06076391</t>
  </si>
  <si>
    <t>OLIDEN TORRES JUAN CARLOS FELIPE</t>
  </si>
  <si>
    <t>ASISTENTE ADMINISTRATIVO - LAMBAYEQUE</t>
  </si>
  <si>
    <t>72225292</t>
  </si>
  <si>
    <t>OLIVA VERA DENNIS MANUEL</t>
  </si>
  <si>
    <t>ESPECIALISTA EN RELACIONES PUBLICAS</t>
  </si>
  <si>
    <t>08594606</t>
  </si>
  <si>
    <t>OLIVERA HUERTA DAVID GUILLERMO</t>
  </si>
  <si>
    <t>EDUCACIÓN ESPECIAL COMPLETA</t>
  </si>
  <si>
    <t>42883469</t>
  </si>
  <si>
    <t>OLIVOS VELASQUEZ JOHNNATAN ARTURO</t>
  </si>
  <si>
    <t>46104184</t>
  </si>
  <si>
    <t>OLORTEGUI PIÑA DELIA YESSENIA</t>
  </si>
  <si>
    <t xml:space="preserve">ESPECIALISTA EN COOPERACIÓN INTERNACIONAL </t>
  </si>
  <si>
    <t>40945836</t>
  </si>
  <si>
    <t>ORBEGOSO MESONES PAOLA</t>
  </si>
  <si>
    <t>43305799</t>
  </si>
  <si>
    <t>ORDOÑEZ CHAVEZ MYRIAM ROSA</t>
  </si>
  <si>
    <t>ESPECIALISTA EN CAPACITACIÓN TÉCNICA</t>
  </si>
  <si>
    <t>00794677</t>
  </si>
  <si>
    <t>ORDOÑEZ ESPINOZA JUVENAL IGNACIO</t>
  </si>
  <si>
    <t>ANALISTA EN GESTIÓN ADMINISTRATIVA</t>
  </si>
  <si>
    <t>41856567</t>
  </si>
  <si>
    <t>ORE GUEVARA KATTY PAOLA</t>
  </si>
  <si>
    <t>06703470</t>
  </si>
  <si>
    <t>ORELLANA ESPINOZA LUIS ANTONIO</t>
  </si>
  <si>
    <t>06805452</t>
  </si>
  <si>
    <t>ORELLANA ESPINOZA MARTIN LUIS</t>
  </si>
  <si>
    <t>OPERADOR DE VEHICULO PESADO - LIMA</t>
  </si>
  <si>
    <t>41461255</t>
  </si>
  <si>
    <t>ORELLANA SANCHEZ ALFREDO</t>
  </si>
  <si>
    <t xml:space="preserve">COORDINADORA DE DIFUSIÒN DE NORMAS Y PROMOCIÒN DE DOCUMENTOS TECNICOS </t>
  </si>
  <si>
    <t>09861222</t>
  </si>
  <si>
    <t>OREZZOLI ALVAREZ GIULIANA ESTHER</t>
  </si>
  <si>
    <t>ESPECIALISTA EN EVALUACIÓN DE IMPACTO AMBIENTAL</t>
  </si>
  <si>
    <t>41626777</t>
  </si>
  <si>
    <t>ORIHUELA JULCARIMA JAZMIN CINTYA</t>
  </si>
  <si>
    <t>ESPECIALISTA EN PROCESOS PRESUPUESTARIOS</t>
  </si>
  <si>
    <t>09136849</t>
  </si>
  <si>
    <t>ORMEÑO CRUCES JORGE ENRIQUE</t>
  </si>
  <si>
    <t>09130665</t>
  </si>
  <si>
    <t>ORMEÑO GONZALES VICTOR ADRIAN</t>
  </si>
  <si>
    <t>07713850</t>
  </si>
  <si>
    <t>ORTEGA BOCANEGRA BERTHA GISELLA</t>
  </si>
  <si>
    <t>ASESOR I. R. M. Nº 360-2019-VIVIENDA</t>
  </si>
  <si>
    <t>10701318</t>
  </si>
  <si>
    <t>ORTEGA LOAYZA ALDO OMAR</t>
  </si>
  <si>
    <t>CHOFER DE VEHICULO PESADO - LA LIBERTAD</t>
  </si>
  <si>
    <t>41654498</t>
  </si>
  <si>
    <t>ORTIZ ABANTO EDDER JHONNATAN</t>
  </si>
  <si>
    <t>TECNICO MECANICO DIESEL</t>
  </si>
  <si>
    <t>ESPECIALISTA LEGAL EN NORMATIVA SECTORIAL</t>
  </si>
  <si>
    <t>18211050</t>
  </si>
  <si>
    <t>ORTIZ GALARRETA RUBIO LUIS FRANCISCO</t>
  </si>
  <si>
    <t>COORDINADOR GENERAL - ANCASH</t>
  </si>
  <si>
    <t>31665408</t>
  </si>
  <si>
    <t>ORTIZ REYES JEAN MARAIS</t>
  </si>
  <si>
    <t>ANALISTA EN ATENCIÓN AL CIUDADANO - CAJAMARCA</t>
  </si>
  <si>
    <t>42376446</t>
  </si>
  <si>
    <t>ORTIZ ROJAS ROSA VICTORIA</t>
  </si>
  <si>
    <t>08442608</t>
  </si>
  <si>
    <t>OSCO CALERO VIDAL HECTOR</t>
  </si>
  <si>
    <t xml:space="preserve">COORDINADOR DE ESTUDIOS URBANOS
 </t>
  </si>
  <si>
    <t>06609957</t>
  </si>
  <si>
    <t>OSORES DONAYRE JAVIER IVAN GUSTAVO</t>
  </si>
  <si>
    <t>ASITENTE DE REDES Y COMUNICACIONES</t>
  </si>
  <si>
    <t>44204720</t>
  </si>
  <si>
    <t>OTERO LUJAN JEFFERSSON FRANKLIN</t>
  </si>
  <si>
    <t>ASESOR I.  R.M. Nº 316-2019-VIVIENDA</t>
  </si>
  <si>
    <t>06674259</t>
  </si>
  <si>
    <t>OTSU SANCHEZ GEORGE GEMBEY</t>
  </si>
  <si>
    <t>07197535</t>
  </si>
  <si>
    <t>OVIEDO LA RIVA LYDIA</t>
  </si>
  <si>
    <t xml:space="preserve">ESPECIALISTA EN DIFUSIÓN DE LA INFORMACIÓN </t>
  </si>
  <si>
    <t>40345679</t>
  </si>
  <si>
    <t>OVIEDO VEREAU CYNTHIA ALEXANDRA</t>
  </si>
  <si>
    <t xml:space="preserve">DIRECTOR. R. M. Nº 400-2019-VIVIENDA, </t>
  </si>
  <si>
    <t>08407251</t>
  </si>
  <si>
    <t>OYARCE POSTIGO MANUEL FABIAN</t>
  </si>
  <si>
    <t>ESPECIALISTA EN SEGUIMIENTO Y EVALUACIÓN</t>
  </si>
  <si>
    <t>42532634</t>
  </si>
  <si>
    <t>PABLO CASTILLO EVELYN JANETH</t>
  </si>
  <si>
    <t xml:space="preserve">ESPECIALISTA EN EVALUACIÓN DE POLÍTICAS Y PLANES </t>
  </si>
  <si>
    <t>40256247</t>
  </si>
  <si>
    <t>PACHAO AYALA NADESCA</t>
  </si>
  <si>
    <t>ESPECIALISTA CONTABLE EN CONTROL PATRIMONIAL</t>
  </si>
  <si>
    <t>06280625</t>
  </si>
  <si>
    <t>PACHECO CONCHUCOS DE ZAMALLOA NELIDA</t>
  </si>
  <si>
    <t>TECNICO ADMINISTRATIVO PARA  APOYO EN LA ADMINISTRACIÓN DE RECURSOS MATERIALES</t>
  </si>
  <si>
    <t>09996987</t>
  </si>
  <si>
    <t>PAJUELO CUROTTO JOSE LUIS</t>
  </si>
  <si>
    <t>ANALISTA ADMINISTRATIVA</t>
  </si>
  <si>
    <t>42673287</t>
  </si>
  <si>
    <t>PAJUELO PEREZ DAISY MARIA</t>
  </si>
  <si>
    <t xml:space="preserve">ASESOR II. R. M. Nº 409-2018-VIVIENDA </t>
  </si>
  <si>
    <t>23852396</t>
  </si>
  <si>
    <t>PALACIOS RAYMONDI EFRAIN LEONEL</t>
  </si>
  <si>
    <t>08350873</t>
  </si>
  <si>
    <t>PALOMINO LOPEZ VICTOR RODOLFO</t>
  </si>
  <si>
    <t>SIN PROFESIÓN</t>
  </si>
  <si>
    <t>COORDINADOR REGIONAL DE OPERACIONES - CUSCO</t>
  </si>
  <si>
    <t>23961402</t>
  </si>
  <si>
    <t>PALOMINO OLIVERA HECTOR EFRAIN</t>
  </si>
  <si>
    <t>ESPECIALISTA EN COORDINACION DE OBRAS</t>
  </si>
  <si>
    <t>28286693</t>
  </si>
  <si>
    <t>PALOMINO SANCHEZ HAMILTON HAROLD</t>
  </si>
  <si>
    <t>08575025</t>
  </si>
  <si>
    <t>PANTOJA CADILLO JUDITH MARIA</t>
  </si>
  <si>
    <t xml:space="preserve">ESPECIALISTA LEGAL </t>
  </si>
  <si>
    <t>41265409</t>
  </si>
  <si>
    <t>PAOLILLO TORRES MARIA ISOLINA</t>
  </si>
  <si>
    <t>ASESOR II. R.M. Nº 169-2019-VIVIENDA</t>
  </si>
  <si>
    <t>10549044</t>
  </si>
  <si>
    <t>PARDAVE PINTO DARWIN FRANCISCO</t>
  </si>
  <si>
    <t>40280074</t>
  </si>
  <si>
    <t>PARRA HUAMAN JEFFERSON</t>
  </si>
  <si>
    <t>25772737</t>
  </si>
  <si>
    <t>PARRAGA RODRIGUEZ HECTOR OSWALDO</t>
  </si>
  <si>
    <t>40779094</t>
  </si>
  <si>
    <t>PAZ JULCA ENRIQUE PAUL</t>
  </si>
  <si>
    <t>RESPONSABLE DEL AREA DE GESTIÓN INMOBILIARIA</t>
  </si>
  <si>
    <t>10177380</t>
  </si>
  <si>
    <t>PAZOS BUSTIOS PEDRO ANTONIO</t>
  </si>
  <si>
    <t>09721396</t>
  </si>
  <si>
    <t>PAZOS CRUZ MARLES FABIOLA</t>
  </si>
  <si>
    <t>TECNICO DE PROGRAMACION EN COMPUTACION INTEGRAL</t>
  </si>
  <si>
    <t>ESPECIALISTA TÉCNICO EN INFRAESTRUCTURA</t>
  </si>
  <si>
    <t>08185975</t>
  </si>
  <si>
    <t>PEHOVAZ CARREÑO AUGUSTO MARTIN</t>
  </si>
  <si>
    <t xml:space="preserve">ANALISTA PARA EL MODULO DE OPERACIONES DEL CENTRO DE OPERACIONES DE EMERGENCIA </t>
  </si>
  <si>
    <t>42210859</t>
  </si>
  <si>
    <t>PENACHI VALLE NELSON</t>
  </si>
  <si>
    <t>ESPECIALISTA EN SANEAMIENTO SECTORIAL</t>
  </si>
  <si>
    <t>09790184</t>
  </si>
  <si>
    <t>PEÑA OROCAJA BETTY SOLEDAD</t>
  </si>
  <si>
    <t>ASISTENTE EN COMUNICACIÓN GRÁFICA</t>
  </si>
  <si>
    <t>10281276</t>
  </si>
  <si>
    <t>PERALES DEGREGORI DE FERNANDEZ MALDONADO KARINNA MARIELA</t>
  </si>
  <si>
    <t>BACHILLER EN COMUNICACIÓN</t>
  </si>
  <si>
    <t>23843044</t>
  </si>
  <si>
    <t>PERALTA APARICIO ANIBAL</t>
  </si>
  <si>
    <t>ESPECIALISTA EN COOPERACION INTERNACIONAL</t>
  </si>
  <si>
    <t>40015128</t>
  </si>
  <si>
    <t>PERALTA MENDOZA ALICIA</t>
  </si>
  <si>
    <t>COORDINADOR REGIONAL - AMAZONAS</t>
  </si>
  <si>
    <t>43618145</t>
  </si>
  <si>
    <t>PERALTA VALDIVIEZO JUAN MIGUEL</t>
  </si>
  <si>
    <t>ING. AGRICOLA</t>
  </si>
  <si>
    <t>44020695</t>
  </si>
  <si>
    <t>PEREDA HUAMAN CINTHIA VANESSA</t>
  </si>
  <si>
    <t>ASISTENTE ADMINISTRATIVA - JUNIN</t>
  </si>
  <si>
    <t>43885619</t>
  </si>
  <si>
    <t>PEREZ ALDANA JACKELINE STEPHANI</t>
  </si>
  <si>
    <t>31190546</t>
  </si>
  <si>
    <t>PEREZ ANDIA EDGAR</t>
  </si>
  <si>
    <t>ANALISTA DE CONCILIACION BANCARIA</t>
  </si>
  <si>
    <t>08624838</t>
  </si>
  <si>
    <t>PEREZ BENAVIDES OSCAR AUGUSTO</t>
  </si>
  <si>
    <t>07975907</t>
  </si>
  <si>
    <t>PEREZ CELIS IVONNE YOLANDA</t>
  </si>
  <si>
    <t>00442971</t>
  </si>
  <si>
    <t>PEREZ CHURA FELIPE FELICIANO</t>
  </si>
  <si>
    <t>47407163</t>
  </si>
  <si>
    <t>PEREZ HUARI JAVIER JOSE</t>
  </si>
  <si>
    <t>ASISTENTE CONTABLE</t>
  </si>
  <si>
    <t>06652043</t>
  </si>
  <si>
    <t>PEREZ PALMA CUPE ABRAHAM RUBEN</t>
  </si>
  <si>
    <t>ESPECIALISTA EN MONITOREO Y EVALUACIÓN DE PROGRAMAS</t>
  </si>
  <si>
    <t>07553790</t>
  </si>
  <si>
    <t>PEREZ RIOS ROGER MANUEL</t>
  </si>
  <si>
    <t>OPERADOR DE MAQUINARIA PESADA - JUNIN</t>
  </si>
  <si>
    <t>70060905</t>
  </si>
  <si>
    <t>PEREZ TAPULLIMA SANTIAGO</t>
  </si>
  <si>
    <t>PLANIFICADOR URBANO</t>
  </si>
  <si>
    <t>06231766</t>
  </si>
  <si>
    <t>PIMENTEL HIGUERAS MANUEL GUSTAVO</t>
  </si>
  <si>
    <t>09554742</t>
  </si>
  <si>
    <t>PINEDO NUÑEZ EDGAR ROMULO</t>
  </si>
  <si>
    <t>44757111</t>
  </si>
  <si>
    <t>PINEDO RAVELLO MARCO ANDRE</t>
  </si>
  <si>
    <t>45915543</t>
  </si>
  <si>
    <t>PINEDO RENGIFO KATHERINE ISABEL</t>
  </si>
  <si>
    <t xml:space="preserve">ESPECIALISTA EN LIQUIDACIONES DE PROYECTOS </t>
  </si>
  <si>
    <t>07151381</t>
  </si>
  <si>
    <t>PINEDO YZAGUIRRE NELSON FAUSTINO</t>
  </si>
  <si>
    <t>ESPECIALISTA EN CONTRATACIONES PÚBLICAS (OBRAS)</t>
  </si>
  <si>
    <t>07254491</t>
  </si>
  <si>
    <t>PINTO GARCIA PERCI NORIS</t>
  </si>
  <si>
    <t>08158714</t>
  </si>
  <si>
    <t>PINTO JORDAN ANDRES MARTIN</t>
  </si>
  <si>
    <t xml:space="preserve">COORDINADOR DE VALUACIONES </t>
  </si>
  <si>
    <t>17827453</t>
  </si>
  <si>
    <t>PINTO MELGAREJO FERNANDO CRISTOBAL</t>
  </si>
  <si>
    <t>22755697</t>
  </si>
  <si>
    <t>PIO ESTEBAN JULIO</t>
  </si>
  <si>
    <t>16664160</t>
  </si>
  <si>
    <t>PITA ALBARADO CLODOMIRO</t>
  </si>
  <si>
    <t>TÉCNICO EN DISEÑO GRÁFICO</t>
  </si>
  <si>
    <t>72649417</t>
  </si>
  <si>
    <t>PITA AZO MARIA FERNANDA</t>
  </si>
  <si>
    <t>PROFESIONAL TÉCNICO EN DISEÑO GRAFICO</t>
  </si>
  <si>
    <t>08871624</t>
  </si>
  <si>
    <t>PITTMAN VILLARREAL HECTOR LUIS</t>
  </si>
  <si>
    <t>TECNICO ADMINISTRATIVO PARA EL AREA DE INTERVENCIONES FISICAS- EQUIPO CENTRO</t>
  </si>
  <si>
    <t>25581550</t>
  </si>
  <si>
    <t>PIZARRO GARCIA CARLOS FRANCISCO</t>
  </si>
  <si>
    <t>ESTUDIANTE TÉCNICO DE COMPUTACIÓN E INFORMÁTICA</t>
  </si>
  <si>
    <t>10163710</t>
  </si>
  <si>
    <t>PIZARRO GUZMAN NILTON MODESTO</t>
  </si>
  <si>
    <t>TÉCNICO EN IMAGEN INSTITUCIONAL</t>
  </si>
  <si>
    <t>44959775</t>
  </si>
  <si>
    <t>PIZARRO SILVA ANA CECILIA</t>
  </si>
  <si>
    <t>PROFESIONAL- TECNICO EN COMUNICACION AUDIOVISUAL</t>
  </si>
  <si>
    <t>23554524</t>
  </si>
  <si>
    <t>POMAYA FLORES ALEJANDRO</t>
  </si>
  <si>
    <t>COORDINADOR TECNICO</t>
  </si>
  <si>
    <t>40215244</t>
  </si>
  <si>
    <t>PONCE GAMBINI LUIS ALEJANDRO</t>
  </si>
  <si>
    <t>ESPECIALISTA EN CONTROL INTERNO</t>
  </si>
  <si>
    <t>06054453</t>
  </si>
  <si>
    <t>PORTURAS MALCA AMAVILA JACQUELINE</t>
  </si>
  <si>
    <t>ANALISTA  ADMINISTRATIVA</t>
  </si>
  <si>
    <t>47313118</t>
  </si>
  <si>
    <t>POSO GALLARDO GENESIS CLAUDIA</t>
  </si>
  <si>
    <t>GESTOR ADMINISTRATIVA</t>
  </si>
  <si>
    <t>44319059</t>
  </si>
  <si>
    <t>POTOCINO CHAVEZ GILBERTA</t>
  </si>
  <si>
    <t>40219203</t>
  </si>
  <si>
    <t>PRIETO DEL AGUILA HORTENSIA CECILIA</t>
  </si>
  <si>
    <t>COORDINADOR DE NORMAS</t>
  </si>
  <si>
    <t>09835282</t>
  </si>
  <si>
    <t>PRIETO SANCHEZ ROBERTO RACHID ANTONIO</t>
  </si>
  <si>
    <t>CHOFER DE VEHICULO PESADO - LIMA</t>
  </si>
  <si>
    <t>09896992</t>
  </si>
  <si>
    <t>PROAÑO ALMONACIN NOEL FRAN</t>
  </si>
  <si>
    <t>44061681</t>
  </si>
  <si>
    <t>PROAÑO MORENO JUAN FRANCISCO</t>
  </si>
  <si>
    <t>ANALISTA EN ESTUDIOS TÉCNICOS</t>
  </si>
  <si>
    <t>70693351</t>
  </si>
  <si>
    <t>PRUDENCIO ARENAS JEAN CARLOS</t>
  </si>
  <si>
    <t>41294897</t>
  </si>
  <si>
    <t>PUCCIO PASAPERA BRANDY VANESSA</t>
  </si>
  <si>
    <t>COORDINADORA EJECUTIVA</t>
  </si>
  <si>
    <t>08803934</t>
  </si>
  <si>
    <t>QUEA LAZO PILAR DEL ROSARIO</t>
  </si>
  <si>
    <t>07912287</t>
  </si>
  <si>
    <t>QUEDAS LIENDO ALBERTO AUGUSTO</t>
  </si>
  <si>
    <t>06191549</t>
  </si>
  <si>
    <t>QUEVEDO CACHAY JULIA ROSARIO</t>
  </si>
  <si>
    <t>06696059</t>
  </si>
  <si>
    <t>QUEVEDO CORPUS ENCARNACIÓN LUZ</t>
  </si>
  <si>
    <t>08212969</t>
  </si>
  <si>
    <t>QUICAÑO BARRETO VILMA TEODOMIRA</t>
  </si>
  <si>
    <t>28305701</t>
  </si>
  <si>
    <t>QUICAÑO BARRIENTOS MARIA LUZ</t>
  </si>
  <si>
    <t>09487016</t>
  </si>
  <si>
    <t>QUICHCA MEDINA ROSA LUISA</t>
  </si>
  <si>
    <t>24291879</t>
  </si>
  <si>
    <t>QUICO TTITO HUGO</t>
  </si>
  <si>
    <t>ASISTENTE ADMINISTRATIVO - LIBERTAD</t>
  </si>
  <si>
    <t>72578707</t>
  </si>
  <si>
    <t>QUILICHE MALAVER MAYRA CRISTINA</t>
  </si>
  <si>
    <t>COORDINADOR ZONAL - ICA</t>
  </si>
  <si>
    <t>21458954</t>
  </si>
  <si>
    <t>QUINTEROS GIBAJA MANUEL ANTONIO</t>
  </si>
  <si>
    <t>ESPECIALISTA EN SISTEMAS DE INFORMACIÓN GEOGRÁFICA</t>
  </si>
  <si>
    <t>40988854</t>
  </si>
  <si>
    <t>QUINTO CORTEZ LITTO NILTON</t>
  </si>
  <si>
    <t>42090773</t>
  </si>
  <si>
    <t>QUINTO MATOS MIGUEL ANGEL ANTONIO</t>
  </si>
  <si>
    <t>42531505</t>
  </si>
  <si>
    <t>QUIÑONES VELASQUEZ JORGE OMAR</t>
  </si>
  <si>
    <t>ASISTENTE ADMINISTRATIVA - TUMBES</t>
  </si>
  <si>
    <t>41637627</t>
  </si>
  <si>
    <t>QUIROZ SALDAÑA LIZSETH NATALIA</t>
  </si>
  <si>
    <t>28296605</t>
  </si>
  <si>
    <t>QUISPE CAMACHO VLADIMIR</t>
  </si>
  <si>
    <t>72774073</t>
  </si>
  <si>
    <t>QUISPE CHAVEZ CRISLEY EVELING</t>
  </si>
  <si>
    <t>ASISTENTE ADMINISTRATIVA - HUANUCO</t>
  </si>
  <si>
    <t>44458660</t>
  </si>
  <si>
    <t>QUISPE DURAND ELIZABETH CARLOSA</t>
  </si>
  <si>
    <t>ANALISTA PARA EL MODULO DE MONITOREO Y ANALISIS DEL CENTRO DE OPERACIONES DE EMERGENCIA</t>
  </si>
  <si>
    <t>10077509</t>
  </si>
  <si>
    <t>QUISPE FABIAN LILIANA</t>
  </si>
  <si>
    <t>ASISTENTE ADMINISTRATIVO PARA APOYO EN LAS LIQUIDACIONES DE PROYECTOS EJECUTADOS</t>
  </si>
  <si>
    <t>10164177</t>
  </si>
  <si>
    <t>QUISPE GODIEL CARLOS OCTAVIO</t>
  </si>
  <si>
    <t>ESTUDIANTE DE INGENIERÍA CIVIL</t>
  </si>
  <si>
    <t>10159800</t>
  </si>
  <si>
    <t>QUISPE GODIEL WILMER SANTIAGO</t>
  </si>
  <si>
    <t>42448629</t>
  </si>
  <si>
    <t>QUISPE GUTIERREZ CINTHYA GUISELLA</t>
  </si>
  <si>
    <t>47975951</t>
  </si>
  <si>
    <t>QUISPE HUARIS BRYAN OCTAVIO</t>
  </si>
  <si>
    <t>ESTUDIANTE</t>
  </si>
  <si>
    <t>ESPECIALISTA EN ESTADISTICA</t>
  </si>
  <si>
    <t>07492336</t>
  </si>
  <si>
    <t>QUISPE LAURA AMELIA LILIANA</t>
  </si>
  <si>
    <t>21465379</t>
  </si>
  <si>
    <t>QUISPE MEJIA JUAN MARTIN</t>
  </si>
  <si>
    <t>40115494</t>
  </si>
  <si>
    <t>QUISPE PEREZ HERNAN TITO</t>
  </si>
  <si>
    <t>43178740</t>
  </si>
  <si>
    <t>QUISPE QUILIANO NADIA PAOLA</t>
  </si>
  <si>
    <t>ESPECIALISTA EN GESTIÓN DE INVERSIONES, SEGUIMIENTO, MONITOREO Y TRANSFERENCIAS</t>
  </si>
  <si>
    <t>29628904</t>
  </si>
  <si>
    <t>QUISPE QUISPE CARMEN SUSI</t>
  </si>
  <si>
    <t>46256529</t>
  </si>
  <si>
    <t>QUISPE YACHI RAUL</t>
  </si>
  <si>
    <t xml:space="preserve">EXPERTO EN GESTIÓN DE PROYECTOS DE INVERSIÓN </t>
  </si>
  <si>
    <t>40721370</t>
  </si>
  <si>
    <t>QUITO HUAMAN GASPAR EDILBERTO</t>
  </si>
  <si>
    <t>ANALISTA EN ESTADÍSTICA</t>
  </si>
  <si>
    <t>42348082</t>
  </si>
  <si>
    <t>RAFAEL HERRERA DORA FRIDELY</t>
  </si>
  <si>
    <t>COORDINADORA DE SERVICIOS GENERALES</t>
  </si>
  <si>
    <t>10058169</t>
  </si>
  <si>
    <t>RAMIREZ AVALO BEATRIZ VALENTINA</t>
  </si>
  <si>
    <t>ESPECIALISTA EN GESTIÓN INMOBILIARIA</t>
  </si>
  <si>
    <t>44671082</t>
  </si>
  <si>
    <t>RAMIREZ BENITES JULIO ROMULO</t>
  </si>
  <si>
    <t>80393573</t>
  </si>
  <si>
    <t>RAMIREZ CHAVEZ CARLOS ELIAS</t>
  </si>
  <si>
    <t>DIRECTOR. R. M. Nº 200-2019-VIVIENDA</t>
  </si>
  <si>
    <t>40494209</t>
  </si>
  <si>
    <t>RAMIREZ CORZO NICOLINI DANIEL ALEJANDRO</t>
  </si>
  <si>
    <t>BACHILLER EN CIENCIAS SOCIALES CON MENSION EN ANTROPOLOGIA</t>
  </si>
  <si>
    <t>07769907</t>
  </si>
  <si>
    <t>RAMIREZ LABARTHE LILIANA PATRICIA</t>
  </si>
  <si>
    <t>Profesional en Administración</t>
  </si>
  <si>
    <t>06734916</t>
  </si>
  <si>
    <t>RAMIREZ NOLASCO HUGO AGAPITO</t>
  </si>
  <si>
    <t>ASISTENTE ADMINISTRATIVO - LIMA</t>
  </si>
  <si>
    <t>43904285</t>
  </si>
  <si>
    <t>RAMIREZ OLIVERA ROSARIO YENNI</t>
  </si>
  <si>
    <t>07818230</t>
  </si>
  <si>
    <t>RAMIREZ QUIROZ LUIS ENRIQUE</t>
  </si>
  <si>
    <t>10866004</t>
  </si>
  <si>
    <t>RAMIREZ SANCHEZ CARLOS</t>
  </si>
  <si>
    <t>ESPECIALISTA EN DESARROLLO URBANO - COORDINADOR PROYECTO MALECON ZARUMILLA</t>
  </si>
  <si>
    <t>03889854</t>
  </si>
  <si>
    <t>RAMIREZ SOTOMAYOR CRISTIAN GABRIEL</t>
  </si>
  <si>
    <t>TÉCNICA EN MODERNIZACIÓN Y COSTEO</t>
  </si>
  <si>
    <t>00247557</t>
  </si>
  <si>
    <t>RAMIREZ TAVARA KATTY CELINA</t>
  </si>
  <si>
    <t>COORDINADOR GENERAL - AREQUIPA</t>
  </si>
  <si>
    <t>29517251</t>
  </si>
  <si>
    <t>RAMOS ARAPA JUAN ANDRES</t>
  </si>
  <si>
    <t>45476028</t>
  </si>
  <si>
    <t>RAMOS BERNARDO RUBEN GUILLERMO</t>
  </si>
  <si>
    <t>BACHILLER EN ING. DE SISTEMAS</t>
  </si>
  <si>
    <t>46127662</t>
  </si>
  <si>
    <t>RAMOS DELGADO JORGE LUIS</t>
  </si>
  <si>
    <t xml:space="preserve">PERSONA NATURAL PARA EL TRATAMIENTO DE AGUAS VERDES </t>
  </si>
  <si>
    <t>09283766</t>
  </si>
  <si>
    <t>RAMOS DIONICIO BECQUER GUSTAVO</t>
  </si>
  <si>
    <t>EGRESADO DE  LA CARRERA TÉCNICA DE ELECTRÓNICA</t>
  </si>
  <si>
    <t>Director Ejecutivo. R.M. Nº 263-2019-VIVIENDA</t>
  </si>
  <si>
    <t>23835573</t>
  </si>
  <si>
    <t>RAMOS PASTOR IVAN</t>
  </si>
  <si>
    <t>ANALISTA EN PROYECTOS DE INVERSION</t>
  </si>
  <si>
    <t>44784732</t>
  </si>
  <si>
    <t>RAMOS QUISPE EDGAR LUIS</t>
  </si>
  <si>
    <t>10562342</t>
  </si>
  <si>
    <t>RAMOS RAMOS FREDY GARCIA</t>
  </si>
  <si>
    <t>JEFA DE GABINETE. R.M. Nº 335-2019-VIVIENDA</t>
  </si>
  <si>
    <t>09167382</t>
  </si>
  <si>
    <t>REATEGUI NAPURI ANA GRIMANESA</t>
  </si>
  <si>
    <t>ASISTENTE ADMINISTRATIVO - SAN MARTIN</t>
  </si>
  <si>
    <t>46309922</t>
  </si>
  <si>
    <t>REATEGUI REGUERA ROSSY LUZ</t>
  </si>
  <si>
    <t>47464696</t>
  </si>
  <si>
    <t>RECINAS HUAMANI KATERIN HELEN</t>
  </si>
  <si>
    <t>ANALISTA EN INFORMACIÓN</t>
  </si>
  <si>
    <t>10587137</t>
  </si>
  <si>
    <t>RENGIFO NAKAMA JUAN MANUEL</t>
  </si>
  <si>
    <t>INGENIERO FISICO</t>
  </si>
  <si>
    <t>DIRECTORA GENERAL. R. M. Nº 312-2019-VIVIENDA</t>
  </si>
  <si>
    <t>09829545</t>
  </si>
  <si>
    <t>RENTEROS SALDARRIAGA ALICIA DEL PILAR</t>
  </si>
  <si>
    <t>ANALISTA EN ATENCION AL CIUDADANO - PIURA</t>
  </si>
  <si>
    <t>42610268</t>
  </si>
  <si>
    <t>REQUENA HUAMAN ROGGER</t>
  </si>
  <si>
    <t>46388754</t>
  </si>
  <si>
    <t>REYES SOTO MIRIAM SOCORRO</t>
  </si>
  <si>
    <t>45917287</t>
  </si>
  <si>
    <t>REYNA TENA LORENZO PEDRO</t>
  </si>
  <si>
    <t>ANALISTA EN SUPERVISIÓN DE PROYECTOS</t>
  </si>
  <si>
    <t>07624858</t>
  </si>
  <si>
    <t>RIMAC BOUBY GRACIELA</t>
  </si>
  <si>
    <t>ESPECIALISTA EN FISCALIZACIÓN AMBIENTAL SECTORIAL</t>
  </si>
  <si>
    <t>06450651</t>
  </si>
  <si>
    <t>RIOFRIO CISNEROS MERCEDES VICTORIA</t>
  </si>
  <si>
    <t>ING. PESQUERO</t>
  </si>
  <si>
    <t>10001637</t>
  </si>
  <si>
    <t>RIOS DEPAZ PILAR ISABEL</t>
  </si>
  <si>
    <t>42041401</t>
  </si>
  <si>
    <t>RIOS UTIA MIRIAM DINA</t>
  </si>
  <si>
    <t>ANALISTA DE SISTEMAS DE TECNOLOGÍA DE LA INFORMACIÓN</t>
  </si>
  <si>
    <t>42059126</t>
  </si>
  <si>
    <t>RIOS VALDIVIESO ADMER RAUL</t>
  </si>
  <si>
    <t>ESPECIALISTA EN GESTON DE INVERSIONES, SEGUIMIENTO, MONITOREO Y TRANSFERENCIAS</t>
  </si>
  <si>
    <t>07400214</t>
  </si>
  <si>
    <t>RIOS VARILLAS MARTHA JESUS</t>
  </si>
  <si>
    <t>41336400</t>
  </si>
  <si>
    <t>RIVAS GALARZA JANET</t>
  </si>
  <si>
    <t>74038502</t>
  </si>
  <si>
    <t>RIVERA CABRERA LUDWIG QUINTIN</t>
  </si>
  <si>
    <t>15447170</t>
  </si>
  <si>
    <t>RIVERA MINAYA VIOLETA JHICENIA</t>
  </si>
  <si>
    <t>OPERADOR MAQUINARIA PESADA - UBO ICA</t>
  </si>
  <si>
    <t>04070817</t>
  </si>
  <si>
    <t>RIVERA TIZA JUAN CARLOS</t>
  </si>
  <si>
    <t xml:space="preserve">INGENIERA  AMBIENTAL </t>
  </si>
  <si>
    <t>40307697</t>
  </si>
  <si>
    <t>RODAS OCAMPO SHEILA</t>
  </si>
  <si>
    <t>INGENIERO AMBIENTAL Y DE RECURSOS NATURALES</t>
  </si>
  <si>
    <t>29468612</t>
  </si>
  <si>
    <t>RODRIGUEZ CACERES FRANK ANTONIO</t>
  </si>
  <si>
    <t>70471003</t>
  </si>
  <si>
    <t>RODRIGUEZ CARDENAS CINDY ROSANGELA</t>
  </si>
  <si>
    <t>ASESORA II. R.M. Nº 157-2019-VIVIENDA</t>
  </si>
  <si>
    <t>08784224</t>
  </si>
  <si>
    <t>RODRIGUEZ CUBA MARIA CECILIA</t>
  </si>
  <si>
    <t>ASISTENTE ADMINISTRATIVO - AMAZONAS</t>
  </si>
  <si>
    <t>72026081</t>
  </si>
  <si>
    <t>RODRIGUEZ MENDOZA KELY</t>
  </si>
  <si>
    <t>44041515</t>
  </si>
  <si>
    <t>RODRIGUEZ PAREDES FELIX RODOLFO</t>
  </si>
  <si>
    <t>COORDINADORA GENERAL - MOQUEGUA</t>
  </si>
  <si>
    <t>04742811</t>
  </si>
  <si>
    <t>RODRIGUEZ PUMA MILAGROS DOLORES</t>
  </si>
  <si>
    <t>23248966</t>
  </si>
  <si>
    <t>RODRIGUEZ QUISPE NEDINA</t>
  </si>
  <si>
    <t>ASESOR DE LA DIRECCION EJECUTIVA ESPECIALIZADO EN NUCLEOS EJECUTORES</t>
  </si>
  <si>
    <t>07533605</t>
  </si>
  <si>
    <t>RODRIGUEZ RODRIGUEZ LEONCIO</t>
  </si>
  <si>
    <t>MEDICO VETERINARIO</t>
  </si>
  <si>
    <t>GESTOR SOCIAL</t>
  </si>
  <si>
    <t>42874630</t>
  </si>
  <si>
    <t>RODRIGUEZ SUAREZ ELENA ISABEL</t>
  </si>
  <si>
    <t>10517717</t>
  </si>
  <si>
    <t>RODRIGUEZ VASQUEZ ANTONIO GUILLERMO</t>
  </si>
  <si>
    <t>COORDINADOR GENERAL - SAN MARTIN</t>
  </si>
  <si>
    <t>01187222</t>
  </si>
  <si>
    <t>RODRIGUEZ ZEGARRA DUQUE</t>
  </si>
  <si>
    <t>08398102</t>
  </si>
  <si>
    <t>ROJAS CALDERON BACILIA</t>
  </si>
  <si>
    <t>ESPECIALISTA EN COSTOS Y PRESUPUESTOS DE INFRAESTRUCTURA</t>
  </si>
  <si>
    <t>21137906</t>
  </si>
  <si>
    <t>ROJAS CELESTINO LIDIA YANET</t>
  </si>
  <si>
    <t>ANALISTA DE ATENCIÓN AL CIUDADANO - HUANCAVELICA</t>
  </si>
  <si>
    <t>42913898</t>
  </si>
  <si>
    <t>ROJAS CRUZATTI ROSI EVELYN</t>
  </si>
  <si>
    <t>40923069</t>
  </si>
  <si>
    <t>ROJAS DEZA ALEXIS OMAR</t>
  </si>
  <si>
    <t>COORDINADORA DEL EQUIPO FUNCIONAL DE ADQUISICIONES</t>
  </si>
  <si>
    <t>40225494</t>
  </si>
  <si>
    <t>ROJAS HUERTA LIDIA ROSA</t>
  </si>
  <si>
    <t>ANALISTA DE SELECCION DE PERSONAL</t>
  </si>
  <si>
    <t>41684740</t>
  </si>
  <si>
    <t>ROJAS MALLQUI EDITA MIRIAM</t>
  </si>
  <si>
    <t>46859264</t>
  </si>
  <si>
    <t>ROJAS MARQUILLO RENZO LUIS MIGUEL</t>
  </si>
  <si>
    <t>ANALISTA EN ARCHIVO</t>
  </si>
  <si>
    <t>10525984</t>
  </si>
  <si>
    <t>ROJAS PRESENTACION MIRIAM</t>
  </si>
  <si>
    <t>BACHILLER EN CIENCIAS SOCIALES</t>
  </si>
  <si>
    <t>45447806</t>
  </si>
  <si>
    <t>ROJAS RUIZ OLINDA NOELIA DEL ROCIO</t>
  </si>
  <si>
    <t>Asesor I. R. M. Nº 036-2019-VIVIENDA</t>
  </si>
  <si>
    <t>70439951</t>
  </si>
  <si>
    <t>ROJAS SANCHEZ PIA MARIELLA</t>
  </si>
  <si>
    <t>70753480</t>
  </si>
  <si>
    <t>ROJAS VALDEZ RAYZA VANETY</t>
  </si>
  <si>
    <t>SECRETARIADO EJECUTIVO BILINGUE</t>
  </si>
  <si>
    <t>08097271</t>
  </si>
  <si>
    <t>ROJAS VARGAS DANIEL</t>
  </si>
  <si>
    <t>COORDINADOR ADMINISTRATIVO</t>
  </si>
  <si>
    <t>21575260</t>
  </si>
  <si>
    <t>ROMAN GUILLEN ERIKA JULISSA</t>
  </si>
  <si>
    <t>ESPECIALISTA EN EJECUCIÓN DEL BONO FAMILIAR HABITACIONAL</t>
  </si>
  <si>
    <t>40417394</t>
  </si>
  <si>
    <t>ROMERO ARTEAGA ISRRAEL HERNAN</t>
  </si>
  <si>
    <t>42493480</t>
  </si>
  <si>
    <t>ROMERO BANCES RAUL SLINKY</t>
  </si>
  <si>
    <t>41465418</t>
  </si>
  <si>
    <t>ROMERO JIMENEZ JOSE ANTONIO</t>
  </si>
  <si>
    <t>20087397</t>
  </si>
  <si>
    <t>ROMERO QUISPE MIRIAM</t>
  </si>
  <si>
    <t>07955237</t>
  </si>
  <si>
    <t>RONCAGLIOLO CERUTI CESAR VIRGILIO MATIAS</t>
  </si>
  <si>
    <t>DIRECTOR GENERAL DE LA DIRECCIÓN GENERAL DE ASUNTOS AMBIENTALES. R.M. Nº 262-2016-VIVIENDA</t>
  </si>
  <si>
    <t>07222689</t>
  </si>
  <si>
    <t>RONCAL VERGARA SEGUNDO FAUSTO</t>
  </si>
  <si>
    <t>45899781</t>
  </si>
  <si>
    <t>ROQUE SORIANO ERIKA YESENIA</t>
  </si>
  <si>
    <t>ESTUDIANTE DE INGENIERIA DE TELECOMUNICACIONES</t>
  </si>
  <si>
    <t>21556715</t>
  </si>
  <si>
    <t>ROSALES FLORES CARINA MAGNOLIA</t>
  </si>
  <si>
    <t>41417946</t>
  </si>
  <si>
    <t>ROSALES GONZALES YADIRA ESTHER</t>
  </si>
  <si>
    <t>ANALISTA DE INFORMACIÓN EN CONTROL PREVIO</t>
  </si>
  <si>
    <t>09336435</t>
  </si>
  <si>
    <t>ROSALES MARTINEZ MARIA NOEMI</t>
  </si>
  <si>
    <t>LIC. EN INVESTIGACIÓN OPERATIVA</t>
  </si>
  <si>
    <t>07857249</t>
  </si>
  <si>
    <t>RUBIN VELIZ CECILIA ELOIZA GUADALUPE</t>
  </si>
  <si>
    <t>ESPECIALISTA EN CERTIFICACIÓN AMBIENTAL</t>
  </si>
  <si>
    <t>42211835</t>
  </si>
  <si>
    <t>RUIZ CRISOSTOMO FREDY EDWIN</t>
  </si>
  <si>
    <t>ESPECIALISTA EN GESTIÓN DE PROCESOS</t>
  </si>
  <si>
    <t>40786343</t>
  </si>
  <si>
    <t>RUIZ PONCE IRIS CONSUELO</t>
  </si>
  <si>
    <t xml:space="preserve">TÉCNICO EN PROGRAMACIÓN DE SISTEMAS </t>
  </si>
  <si>
    <t>41142955</t>
  </si>
  <si>
    <t>RUMICHE CHÁVEZ GONZALO JUNIORS</t>
  </si>
  <si>
    <t>PROFESIONAL TECNICO EN COMPUTACIÓN E INFORMATICA</t>
  </si>
  <si>
    <t>45449336</t>
  </si>
  <si>
    <t>SAAVEDRA RIOS ANDREA DEL ROSARIO</t>
  </si>
  <si>
    <t>70430073</t>
  </si>
  <si>
    <t>SAENZ GUEVARA EVELYN DAKLI</t>
  </si>
  <si>
    <t>ASISTENTE DE AUDITORIA</t>
  </si>
  <si>
    <t>46029457</t>
  </si>
  <si>
    <t>SAIRE HORQUE LISETH MARGARITA</t>
  </si>
  <si>
    <t>23977120</t>
  </si>
  <si>
    <t>SALAS NAVARRO WILFREDO</t>
  </si>
  <si>
    <t>40950041</t>
  </si>
  <si>
    <t>SALAS SALAZAR RUBY LIZ</t>
  </si>
  <si>
    <t>43842415</t>
  </si>
  <si>
    <t>SALAS TAPIA MIRNA</t>
  </si>
  <si>
    <t>BACHILLER EN CIENCIAS CONTABLES Y FINANCIERAS</t>
  </si>
  <si>
    <t>ASESOR I DE LA SECRETARIA GENERAL. R.M. Nº 259-2016-VIVIENDA</t>
  </si>
  <si>
    <t>07538715</t>
  </si>
  <si>
    <t>SALAZAR ACOSTA JULIO ANTONIO</t>
  </si>
  <si>
    <t>25849191</t>
  </si>
  <si>
    <t>SALAZAR AGUERO ENMA</t>
  </si>
  <si>
    <t>INGENIERO CIVIL ESPECIALISTA EN PROYECTOS</t>
  </si>
  <si>
    <t>10619127</t>
  </si>
  <si>
    <t>SALAZAR FUERTES LUIS ARTURO</t>
  </si>
  <si>
    <t>09677334</t>
  </si>
  <si>
    <t>SALAZAR LIVELLI CARLOS JAVIER</t>
  </si>
  <si>
    <t>ASESOR II. R. M. Nº 155-2018</t>
  </si>
  <si>
    <t>07807456</t>
  </si>
  <si>
    <t>SALAZAR NEIRA HUGO ENRIQUE</t>
  </si>
  <si>
    <t>46330858</t>
  </si>
  <si>
    <t>SALCEDO LOPEZ GEANNINA STEPHANIE</t>
  </si>
  <si>
    <t>ESTUDIANTE DE ADMINISTRACIÓN DE TURISMO Y HOTELERIA</t>
  </si>
  <si>
    <t>23004491</t>
  </si>
  <si>
    <t>SALDAÑA TARAZONA CECILIA</t>
  </si>
  <si>
    <t>44387653</t>
  </si>
  <si>
    <t>SALINAS VILCA BETZABETH CANDY</t>
  </si>
  <si>
    <t>08538594</t>
  </si>
  <si>
    <t>SALINAS YAURI YUSEP</t>
  </si>
  <si>
    <t>COORDINADOR DEL EQUIPO DE PROCESOS DE SELECCION</t>
  </si>
  <si>
    <t>42433317</t>
  </si>
  <si>
    <t>SALVADOR FABIAN MARTIN</t>
  </si>
  <si>
    <t>ESPECIALISTA LEGAL EN GESTIÓN DE RECURSOS HUMANOS</t>
  </si>
  <si>
    <t>10694045</t>
  </si>
  <si>
    <t>SALVATIERRA CABEZAS EUGENIO VIDAL</t>
  </si>
  <si>
    <t>70292615</t>
  </si>
  <si>
    <t>SAMANE ITUCAYASI MAYRA ODETH</t>
  </si>
  <si>
    <t>27916426</t>
  </si>
  <si>
    <t>SANCHEZ ABANTO NERIO</t>
  </si>
  <si>
    <t>ESPECIALISTA EN GESTIÓN DEL RENDIMIENTO</t>
  </si>
  <si>
    <t>08827337</t>
  </si>
  <si>
    <t>SANCHEZ ARANA MARIO GUILLERMO</t>
  </si>
  <si>
    <t>06103407</t>
  </si>
  <si>
    <t>SANCHEZ CAJAS WALTER ANTONIO</t>
  </si>
  <si>
    <t>43406865</t>
  </si>
  <si>
    <t>SANCHEZ CONTRERAS GUSTAVO ADOLFO</t>
  </si>
  <si>
    <t>10753003</t>
  </si>
  <si>
    <t>SANCHEZ DIAZ GILMER</t>
  </si>
  <si>
    <t>ANALISTA EN ATENCIÓN AL CIUDADANO - CUSCO</t>
  </si>
  <si>
    <t>43165354</t>
  </si>
  <si>
    <t>SANCHEZ HUAMAN PAUL RICARDO</t>
  </si>
  <si>
    <t>07327163</t>
  </si>
  <si>
    <t>SANCHEZ PINTO MARIA ESPERANZA</t>
  </si>
  <si>
    <t>03899165</t>
  </si>
  <si>
    <t>SANCHEZ PURIZACA LUIS ALBERTO</t>
  </si>
  <si>
    <t>41091134</t>
  </si>
  <si>
    <t>SANCHEZ RAMOS AMPARO DEL ROCIO</t>
  </si>
  <si>
    <t>TECNICO ADMINISTRATIVO PARA APOYO EN LIQUIDACIÓN DE PROYECTOS</t>
  </si>
  <si>
    <t>01147642</t>
  </si>
  <si>
    <t>SANCHEZ RUIZ ORLICH</t>
  </si>
  <si>
    <t>TÉCNICO EN COMPUTACIÓN Y SISTEMAS</t>
  </si>
  <si>
    <t>COORDINADOR REGIONAL DE OPERACIONES - UBO LA LIBERTAD</t>
  </si>
  <si>
    <t>42012208</t>
  </si>
  <si>
    <t>SANCHEZ TISNADO PAULO CESAR</t>
  </si>
  <si>
    <t>COORDINADOR ADMINISTRATIVO Y PRESUPUESTAL</t>
  </si>
  <si>
    <t>28286759</t>
  </si>
  <si>
    <t>SANCHEZ TUEROS KILMENY CARMELA</t>
  </si>
  <si>
    <t>RESPONSABLE DEL AREA DE ADMINISTRACIÓN</t>
  </si>
  <si>
    <t>02840996</t>
  </si>
  <si>
    <t>SANDOVAL RETO JESUS PATRICIA</t>
  </si>
  <si>
    <t>ESPECIALISTA EN GESTION PUBLICA Y RACIONALIZACION</t>
  </si>
  <si>
    <t>25651609</t>
  </si>
  <si>
    <t>SANTA CRUZ JAURE ELLIOT AUGUSTO</t>
  </si>
  <si>
    <t>ESTUDIOS DE DOCTORADO INCOMPLETO</t>
  </si>
  <si>
    <t>OPERADORA  DE CENTRAL TELEFONICA</t>
  </si>
  <si>
    <t>08294738</t>
  </si>
  <si>
    <t>SANTANA REATEGUI BLANCA ESTELA</t>
  </si>
  <si>
    <t>20651863</t>
  </si>
  <si>
    <t>SANTOS FERNANDEZ MILAGRITO ELIZABETH</t>
  </si>
  <si>
    <t>46404360</t>
  </si>
  <si>
    <t>SARAVIA VEGA CAROL MARLEN ESTEFANIE</t>
  </si>
  <si>
    <t>COORDINADORA GENERAL - UCAYALI</t>
  </si>
  <si>
    <t>40940180</t>
  </si>
  <si>
    <t>SATO RUIZ SILVIA TAMIKO</t>
  </si>
  <si>
    <t>ING. AGRONOMO</t>
  </si>
  <si>
    <t>23394695</t>
  </si>
  <si>
    <t>SAUCEDO MENDOZA ABRAHAN</t>
  </si>
  <si>
    <t xml:space="preserve">ESPECIALISTA EN GESTIÓN DE OFICINAS DESCONCENTRADAS Y SISTEMAS DE INFORMACIÓN </t>
  </si>
  <si>
    <t>40448062</t>
  </si>
  <si>
    <t>SAURRE VARGAS JONATHAN ULYSES</t>
  </si>
  <si>
    <t>42180135</t>
  </si>
  <si>
    <t>SAYCO HUAMANI ELVIS RAUL</t>
  </si>
  <si>
    <t>70617964</t>
  </si>
  <si>
    <t>SEDANO CABRERA JHONATAN CHRISTIAN</t>
  </si>
  <si>
    <t>BACHILLER EN INGENIERIA CIVIL</t>
  </si>
  <si>
    <t>ESPECIALISTA EN CONTRATACIONES DEL ESTADO</t>
  </si>
  <si>
    <t>44279497</t>
  </si>
  <si>
    <t>SEMINARIO COYCO CRISTHIAN PAVEL</t>
  </si>
  <si>
    <t>42415303</t>
  </si>
  <si>
    <t>SERNA DIAZ WENITU MOISES</t>
  </si>
  <si>
    <t>HISTORIADOR</t>
  </si>
  <si>
    <t>23266572</t>
  </si>
  <si>
    <t>SERPA CARLOS MARCO ANTONIO</t>
  </si>
  <si>
    <t>ANALISTA EN GESTION DE VITRINA INMOVILIARIA</t>
  </si>
  <si>
    <t>43491454</t>
  </si>
  <si>
    <t>SERRANO RAMOS RENATTO MIGUEL</t>
  </si>
  <si>
    <t>COORDINADOR GENERAL - MADRE DE DIOS</t>
  </si>
  <si>
    <t>15758575</t>
  </si>
  <si>
    <t>SILVA ARAGON EDGAR EDUARDO</t>
  </si>
  <si>
    <t>09402059</t>
  </si>
  <si>
    <t>SILVA COELLO MARIA ESTHER</t>
  </si>
  <si>
    <t>45482952</t>
  </si>
  <si>
    <t>SILVA DIAZ ELISBET</t>
  </si>
  <si>
    <t>PROFESIONAL TÉCNICO EN SECRETARIADO EJECUTIVO BILINGUE</t>
  </si>
  <si>
    <t>ESPECIALISTA EN COOPERACIÓN Y ASUNTOS INTERNACIONALES</t>
  </si>
  <si>
    <t>41633921</t>
  </si>
  <si>
    <t>SILVA PACHERRE RUDY MARTIN</t>
  </si>
  <si>
    <t xml:space="preserve">ESPECIALISTA EN DISEÑO DE PROCESOS </t>
  </si>
  <si>
    <t>07468851</t>
  </si>
  <si>
    <t>SILVA VALENZUELA JUAN CARLOS</t>
  </si>
  <si>
    <t>ESPECIALISTA EN PROCESAMIENTO DE DATOS</t>
  </si>
  <si>
    <t>42503484</t>
  </si>
  <si>
    <t>SIVINCHA NINASIVINCHA MARIA INES</t>
  </si>
  <si>
    <t>80076514</t>
  </si>
  <si>
    <t>SOLIER SULCA DAVID DONATO</t>
  </si>
  <si>
    <t>45335831</t>
  </si>
  <si>
    <t>SOLORZANO PRADO ALEXANDER ANTONIO</t>
  </si>
  <si>
    <t>08649655</t>
  </si>
  <si>
    <t>SOMOCURCIO TOMAYLLA OSCAR</t>
  </si>
  <si>
    <t>43599140</t>
  </si>
  <si>
    <t>SORIANO CONTRERAS GIOMAR PAULO</t>
  </si>
  <si>
    <t>08700176</t>
  </si>
  <si>
    <t>SOSA MIRANDA BALDOMERO OSCAR</t>
  </si>
  <si>
    <t>ANALISTA EN SISTEMATIZACION Y PLANIFICACION</t>
  </si>
  <si>
    <t>41893328</t>
  </si>
  <si>
    <t>SOTO HUAMANI CARMEN OFELIA</t>
  </si>
  <si>
    <t>BACHILLER EN ING. INDUSTRIAL</t>
  </si>
  <si>
    <t>TECNICA EN ENFERMERIA</t>
  </si>
  <si>
    <t>08067799</t>
  </si>
  <si>
    <t>SOTO HUARANGA DE MAURICIO HAYDEE</t>
  </si>
  <si>
    <t>16433805</t>
  </si>
  <si>
    <t>SOTO SOLANO MARIA ESFILIA</t>
  </si>
  <si>
    <t>ASESORA EN GESTIÓN AMBIENTAL</t>
  </si>
  <si>
    <t>09842176</t>
  </si>
  <si>
    <t>SOTO TORRES RAQUEL HILIANOVA</t>
  </si>
  <si>
    <t>CIENCIAS BIOLÓGICAS</t>
  </si>
  <si>
    <t xml:space="preserve">ANALISTA EN EVALUACIÓN DE IMPACTO AMBIENTAL </t>
  </si>
  <si>
    <t>10705471</t>
  </si>
  <si>
    <t>SOTO TUERO ELIAS</t>
  </si>
  <si>
    <t>ASISTENTE ADMINITRATIVO EN ACCESO A LA INFORMACIÓN PÚBLICA</t>
  </si>
  <si>
    <t>06770523</t>
  </si>
  <si>
    <t>STUCCHI ARCE CARMEN ELIZABETH</t>
  </si>
  <si>
    <t>ESPECIALISTA EN COORDINACIÓN PARLAMENTARIA</t>
  </si>
  <si>
    <t>00477325</t>
  </si>
  <si>
    <t>SUAREZ BERENGUELA JESUS ALBERTO</t>
  </si>
  <si>
    <t>ESPECIALISTA EN INFRAESTRUCTURA</t>
  </si>
  <si>
    <t>20031513</t>
  </si>
  <si>
    <t>SUAREZ CONDOR MARIA</t>
  </si>
  <si>
    <t>07551349</t>
  </si>
  <si>
    <t>SUHUAN NORABUENA MAXIMO ANTONIO</t>
  </si>
  <si>
    <t>ANALISTA EN GESTION DE ARCHIVO</t>
  </si>
  <si>
    <t>41705876</t>
  </si>
  <si>
    <t>SULCA CARBAJAL JIMMY RONNIE</t>
  </si>
  <si>
    <t>LIC. EN HISTORIA</t>
  </si>
  <si>
    <t>COORDINADOR GENERAL - CUSCO</t>
  </si>
  <si>
    <t>23864578</t>
  </si>
  <si>
    <t>SUMA TAIRO YHOBED GOHOMER</t>
  </si>
  <si>
    <t>DIRECTOR GENERAL. R.M. Nº 252-2018-VIVIENDA</t>
  </si>
  <si>
    <t>24883168</t>
  </si>
  <si>
    <t>TACO LLAVE JOSE</t>
  </si>
  <si>
    <t>ANALISTA EN INTEGRACIÓN CONTABLE</t>
  </si>
  <si>
    <t>70433008</t>
  </si>
  <si>
    <t>TACURI TORRES AMERICA FLOR</t>
  </si>
  <si>
    <t xml:space="preserve">ANALISTA EN PLANEAMIENTO Y EVALUACION </t>
  </si>
  <si>
    <t>43609178</t>
  </si>
  <si>
    <t>TAICO ZEVALLOS YAZU MASHAN</t>
  </si>
  <si>
    <t>45481574</t>
  </si>
  <si>
    <t>TALANCHA HUARCAYA DIEGO RAFAEL</t>
  </si>
  <si>
    <t>DIRECTORA. R.M: Nº 367-2017-VIVIENDA</t>
  </si>
  <si>
    <t>07593390</t>
  </si>
  <si>
    <t>TALAVERA AGUIRRE ANA CECILIA</t>
  </si>
  <si>
    <t>COORDINADORA DEL EQUIPO DE SEGUIMIENTO Y EJECUCIÓN CONTRACTUAL</t>
  </si>
  <si>
    <t>41632479</t>
  </si>
  <si>
    <t>TALLEDO GARCIA CYNTHIA</t>
  </si>
  <si>
    <t>ASISTENTE ADMINISTRATIVO - UCAYALI</t>
  </si>
  <si>
    <t>45130358</t>
  </si>
  <si>
    <t>TANG AREVALO PRISILA</t>
  </si>
  <si>
    <t>COORDINADOR REGIONAL DE OPERACIONES - ANCASH</t>
  </si>
  <si>
    <t>15298799</t>
  </si>
  <si>
    <t>TAPIA CADILLO CRISANTO ANIBAL</t>
  </si>
  <si>
    <t>ANALISTA DE SUPERVISIÓN AMBIENTAL</t>
  </si>
  <si>
    <t>46306581</t>
  </si>
  <si>
    <t>TAPIA JAIME XIOMARA LUCIA</t>
  </si>
  <si>
    <t>BACHILLER EN INGENIERIA AMBIENTAL</t>
  </si>
  <si>
    <t>DIRECTOR DE LA OFICINA DE SEGURIDAD Y DEFENSA NACIONAL. R.M.Nº 291-2016-VIVIENDA</t>
  </si>
  <si>
    <t>42762302</t>
  </si>
  <si>
    <t>TAPIA ZANABRIA WALTER JOSE</t>
  </si>
  <si>
    <t>07903983</t>
  </si>
  <si>
    <t>TARAZONA JARA RAFAEL EDUARDO</t>
  </si>
  <si>
    <t>40055901</t>
  </si>
  <si>
    <t>TARIFEÑO RAMIREZ MARCO ANTONIO</t>
  </si>
  <si>
    <t>DIRECTORA. R. M. Nº 319-2018-VIVIENDA.</t>
  </si>
  <si>
    <t>40214714</t>
  </si>
  <si>
    <t>TARRILLO FLORES SANTOS GRIMANES</t>
  </si>
  <si>
    <t>ESPECIALISTA EN MANEJO DE CARTOGRAFIA E IMAGENES SATELITALES</t>
  </si>
  <si>
    <t>07567151</t>
  </si>
  <si>
    <t>TAVARA MA SAN VICTOR IGNACIO</t>
  </si>
  <si>
    <t>TÉCNICO EN DISEÑO ARQUITECTÓNICO</t>
  </si>
  <si>
    <t>ANALISTA DE SISTEMAS DE TECNOLOGIA DE LA INFORMACIÒN</t>
  </si>
  <si>
    <t>10357449</t>
  </si>
  <si>
    <t>TELLO ESTELA ANGELICA MARIA</t>
  </si>
  <si>
    <t>ANALISTA EN PROYECTOS DE INVERSIÓN</t>
  </si>
  <si>
    <t>44768562</t>
  </si>
  <si>
    <t>TELLO GONZALES JACQUELINE NIEVES</t>
  </si>
  <si>
    <t>DIRECTORA. R-.M. Nº 262-2018-VIVIENDA</t>
  </si>
  <si>
    <t>43553982</t>
  </si>
  <si>
    <t>TELLO YZAGUIRRE BRENDA MURIEL</t>
  </si>
  <si>
    <t>10009574</t>
  </si>
  <si>
    <t>TENORIO ESCALANTE RENE</t>
  </si>
  <si>
    <t>09868169</t>
  </si>
  <si>
    <t>TESEN ROMERO MARY JUSTINA</t>
  </si>
  <si>
    <t>09196768</t>
  </si>
  <si>
    <t>TICLLACURI RAMOS MISEGROMO</t>
  </si>
  <si>
    <t>06765915</t>
  </si>
  <si>
    <t>TICONA PILCO NESTOR SANTIAGO</t>
  </si>
  <si>
    <t xml:space="preserve">ESPECIALISTA LEGAL EN SANEAMIENTO </t>
  </si>
  <si>
    <t>43707141</t>
  </si>
  <si>
    <t>TIMANA RUIZ GUSTAVO ADOLFO</t>
  </si>
  <si>
    <t>10491895</t>
  </si>
  <si>
    <t>TINCO CURI FREDDY ANGEL</t>
  </si>
  <si>
    <t>DIRECTORA. R. M. Nº 370-2019-VIVIENDA</t>
  </si>
  <si>
    <t>41618299</t>
  </si>
  <si>
    <t>TIRADO QUIROZ ANA ROXANA</t>
  </si>
  <si>
    <t>AUXILIAR DE ARCHIVO Y GESTIÓN DOCUMENTARIA</t>
  </si>
  <si>
    <t>09580960</t>
  </si>
  <si>
    <t>TOCRE DELGADO AILTON ALBERTO</t>
  </si>
  <si>
    <t>ESTUDIANTE DE ADMINISTRACIÓN Y FINANZAS</t>
  </si>
  <si>
    <t>41552172</t>
  </si>
  <si>
    <t>TOMASTO PIZANGO ERICKA ESTRELLA</t>
  </si>
  <si>
    <t>DIRECTOR. R.M. Nº 164-2019-VIVIENDA</t>
  </si>
  <si>
    <t>41262829</t>
  </si>
  <si>
    <t>TOMATIS RIOFRIO ENZO ALDO</t>
  </si>
  <si>
    <t>ANALISTA EN SISTEMAS DE INFORMACIÓN</t>
  </si>
  <si>
    <t>41417780</t>
  </si>
  <si>
    <t>TOMAYLLA CASTILLO ALEX JAVIER</t>
  </si>
  <si>
    <t>ESPECIALISTA  ASISTENTE SOCIAL</t>
  </si>
  <si>
    <t>08065268</t>
  </si>
  <si>
    <t>TORRALBA ESPINOZA ROSARIO</t>
  </si>
  <si>
    <t>LICENCIADA EN TRABAJO SOCIAL
MAESTRA EN ADMINISTRACION Y GERENCIA SOCIAL</t>
  </si>
  <si>
    <t>SOPORTE TÉCNICO Y PROCESAMIENTO DE INFORMACIÓN</t>
  </si>
  <si>
    <t>44801076</t>
  </si>
  <si>
    <t>TORRES ALEGRIA JONATAN</t>
  </si>
  <si>
    <t>ESTUDIANTE DE INGENIERIA DE SISTEMAS</t>
  </si>
  <si>
    <t>10682164</t>
  </si>
  <si>
    <t>TORRES CHAMBILLA SANDRA MARGOT</t>
  </si>
  <si>
    <t>ASISTENTE ADMINISTRATIVO - TACNA</t>
  </si>
  <si>
    <t>70187221</t>
  </si>
  <si>
    <t>TORRES FLORES HELEN PAOLA</t>
  </si>
  <si>
    <t>TÉCNICO ESPECIALISTA EN DIFUSIÓN</t>
  </si>
  <si>
    <t>09872243</t>
  </si>
  <si>
    <t>TORRES MARTINEZ EDDY JAVIER</t>
  </si>
  <si>
    <t>TECNICO EN DISEÑO GRÁFICO</t>
  </si>
  <si>
    <t>40404467</t>
  </si>
  <si>
    <t>TORRES MILLA JAIME RUBEN</t>
  </si>
  <si>
    <t>DIRECTOR. R.M. Nº 346-2019-VIVIENDA</t>
  </si>
  <si>
    <t>09994981</t>
  </si>
  <si>
    <t>TORRES MITCHELL SHARON CAROLINA</t>
  </si>
  <si>
    <t>ESPECIALISTA TÉCNICO EN RENOVACIÓN URBANA</t>
  </si>
  <si>
    <t>09023545</t>
  </si>
  <si>
    <t>TORRES MUNDACA LEYLA LILIANA</t>
  </si>
  <si>
    <t>URBANISTA</t>
  </si>
  <si>
    <t>08988404</t>
  </si>
  <si>
    <t>TORRES QUISPE JUAN JUSTO</t>
  </si>
  <si>
    <t>25760644</t>
  </si>
  <si>
    <t>TORRES SOTO MIMSY VELDA</t>
  </si>
  <si>
    <t>DIRECTORA. R. M. Nº 238-2019-VIVIENDA</t>
  </si>
  <si>
    <t>16727735</t>
  </si>
  <si>
    <t>TRASMONTE ABANTO TERESA LILIANA</t>
  </si>
  <si>
    <t>COORDINADORA EN FORTALECIMIENTO SECTORIAL</t>
  </si>
  <si>
    <t>10643799</t>
  </si>
  <si>
    <t>TRUJILLO MORI MARITZA</t>
  </si>
  <si>
    <t>INGENIERO AMBIENTAL Y SEGURIDAD INDUSTRIAL</t>
  </si>
  <si>
    <t>COORDINADOR ZONAL - LIMA</t>
  </si>
  <si>
    <t>09788168</t>
  </si>
  <si>
    <t>TRUJILLO TORRES WALTER MAURICIO</t>
  </si>
  <si>
    <t>10328486</t>
  </si>
  <si>
    <t>TRUJILLO VALVERDE WILLMAR DAVID</t>
  </si>
  <si>
    <t>76606868</t>
  </si>
  <si>
    <t>UBIA ANGELES XIOMARA FELICIA</t>
  </si>
  <si>
    <t>ESPECIALISTA EN PROGRAMACIÓN</t>
  </si>
  <si>
    <t>46084698</t>
  </si>
  <si>
    <t>UCAÑAY BARNUEVO LUIS MIGUEL</t>
  </si>
  <si>
    <t>BACHILLER EN ADMINISTRACION DE NEGOCIOS</t>
  </si>
  <si>
    <t>45687401</t>
  </si>
  <si>
    <t>ULLOA LLANOS SAYRA MELISSA</t>
  </si>
  <si>
    <t>ESPECIALISTA EN SEGURIDAD, DEFENSA NACIONAL Y EN GESTON DEL RIESGO DE DESASTRES</t>
  </si>
  <si>
    <t>08465191</t>
  </si>
  <si>
    <t>URBANO MUSCCO CARMELO PEDRO</t>
  </si>
  <si>
    <t>42545024</t>
  </si>
  <si>
    <t>URCOHUARANGA ORIHUELA FRANK</t>
  </si>
  <si>
    <t>ESPECIALISTA EN GESTION DE PROYECTOS</t>
  </si>
  <si>
    <t>29657825</t>
  </si>
  <si>
    <t>URDAY CARBAJAL MAURICIO CESAR</t>
  </si>
  <si>
    <t>44944782</t>
  </si>
  <si>
    <t>VALDERA MONTENEGRO JULIO CESAR</t>
  </si>
  <si>
    <t>COORDINADOR REGIONAL - AYACUCHO</t>
  </si>
  <si>
    <t>07488035</t>
  </si>
  <si>
    <t>VALDERRAMA LLERENA JUAN RAMIRO</t>
  </si>
  <si>
    <t>08879915</t>
  </si>
  <si>
    <t>VALDEZ HURTADO JUAN FRANCISCO</t>
  </si>
  <si>
    <t>TÉCNICO EN COMPUTACIÓN</t>
  </si>
  <si>
    <t>42603148</t>
  </si>
  <si>
    <t>VALDIVIA JAIMES ERIKA CORADA</t>
  </si>
  <si>
    <t>ANALISTA DE SISTEMAS DE INFORMACIÓN GEOGRAFICA</t>
  </si>
  <si>
    <t>47139617</t>
  </si>
  <si>
    <t>VALDIVIEZO CHAUPIS ANTONIO AGUSTIN</t>
  </si>
  <si>
    <t>ESPECIALISTA EN CONTROL PATRIMONIAL - INVENTARIOS</t>
  </si>
  <si>
    <t>17541278</t>
  </si>
  <si>
    <t>VALDIVIEZO HIDALGO LUIS FELIPE</t>
  </si>
  <si>
    <t>ESPECIALISTA LABORAL</t>
  </si>
  <si>
    <t>09933845</t>
  </si>
  <si>
    <t>VALENCIA CORNEJO OLGA JULIA</t>
  </si>
  <si>
    <t xml:space="preserve">TECNICO ADMINISTRATIVO </t>
  </si>
  <si>
    <t>46744496</t>
  </si>
  <si>
    <t>VALENCIA GOMEZ ESTEFANIA MEY LIN</t>
  </si>
  <si>
    <t>ANALISTA  EN SUPERVISIÓN AMBIENTAL</t>
  </si>
  <si>
    <t>70251931</t>
  </si>
  <si>
    <t>VALENCIA PADILLA MERY JULITH</t>
  </si>
  <si>
    <t>ESPECIALISTA EN PROYECTOS DE INVERSION PUBLICA</t>
  </si>
  <si>
    <t>40925150</t>
  </si>
  <si>
    <t>VALENTIN TACUNAN ISAAC DARIO</t>
  </si>
  <si>
    <t>ASISTENTE ADMINISTRATIVO - MADRE DE DIOS</t>
  </si>
  <si>
    <t>44454202</t>
  </si>
  <si>
    <t>VALIENTE GUTIERREZ RAQUEL TSUKIMARO</t>
  </si>
  <si>
    <t>TÉCNICO EN DESARROLLO DE SISTEMAS</t>
  </si>
  <si>
    <t>73006775</t>
  </si>
  <si>
    <t>VALLE ALVARADO JILLIAN STEPHANIE</t>
  </si>
  <si>
    <t>COORDINADOR DE TASACIONES EN PREDIOS URBANOS</t>
  </si>
  <si>
    <t>06148974</t>
  </si>
  <si>
    <t>VALLEJO CHAVEZ ARTEMIO GUILLERMO</t>
  </si>
  <si>
    <t>31652880</t>
  </si>
  <si>
    <t>VALVERDE SALAZAR HECTOR WILDER</t>
  </si>
  <si>
    <t>31673263</t>
  </si>
  <si>
    <t>VALVERDE VALVERDE JULIO IGNACIO</t>
  </si>
  <si>
    <t>22422137</t>
  </si>
  <si>
    <t>VAREA RATTO DIDKO</t>
  </si>
  <si>
    <t>08160990</t>
  </si>
  <si>
    <t>VARGAS ANCCO MANUEL JESUS</t>
  </si>
  <si>
    <t>22431782</t>
  </si>
  <si>
    <t>VARGAS CABELLO HERCILIO</t>
  </si>
  <si>
    <t>46742725</t>
  </si>
  <si>
    <t>VARGAS CANCINO FRANK ITALO JUNIOR</t>
  </si>
  <si>
    <t>Profesional con experiencia en Formulación de Proyectos de Inversión en el Sector de Agua Potable y Alcantarillado y/o de otros servicios públicos</t>
  </si>
  <si>
    <t>09048126</t>
  </si>
  <si>
    <t>VARGAS CARMONA CECILIA JESUS</t>
  </si>
  <si>
    <t>10105430</t>
  </si>
  <si>
    <t>VARGAS CHAVARRI EDELMIRA</t>
  </si>
  <si>
    <t>TECNICO EN ADMINISTRACION DE NEGOCIOS, FINANZAS, MARKETING, COMERCIO EXTERIOR Y ADUANAS</t>
  </si>
  <si>
    <t>40639736</t>
  </si>
  <si>
    <t>VARGAS DE LA CRUZ DAVID</t>
  </si>
  <si>
    <t>08128851</t>
  </si>
  <si>
    <t>VARGAS MERCADES CARLOS TORIBIO</t>
  </si>
  <si>
    <t>06667192</t>
  </si>
  <si>
    <t>VARGAS MONTALVA JOHNNY DANIEL</t>
  </si>
  <si>
    <t>47620878</t>
  </si>
  <si>
    <t>VARGAS PADILLA JENNIFER ROCIO</t>
  </si>
  <si>
    <t>DIRECTOR. R. M. Nº 492-2017-VIVIENDA</t>
  </si>
  <si>
    <t>08786730</t>
  </si>
  <si>
    <t>VARGAS PAREDES ADOLFO JULIAN</t>
  </si>
  <si>
    <t>23947125</t>
  </si>
  <si>
    <t>VARGAS QUISPE FREDY</t>
  </si>
  <si>
    <t>ESPECIALISTA LEGAL EN EVALUACION AMBIENTAL</t>
  </si>
  <si>
    <t>43494739</t>
  </si>
  <si>
    <t>VARILLAS BORJA VICTOR ALBERTO</t>
  </si>
  <si>
    <t>07225694</t>
  </si>
  <si>
    <t>VASQUEZ ACEVEDO JOSE LUIS</t>
  </si>
  <si>
    <t>09676204</t>
  </si>
  <si>
    <t>VASQUEZ ALVARADO ROSARIO</t>
  </si>
  <si>
    <t>ESPECIALISTA EN ADQUISCIONES</t>
  </si>
  <si>
    <t>10578917</t>
  </si>
  <si>
    <t>VASQUEZ CHAVEZ PATRICIA ROSSIO</t>
  </si>
  <si>
    <t>COORDINADOR GENERAL - ICA</t>
  </si>
  <si>
    <t>21489460</t>
  </si>
  <si>
    <t>VASQUEZ ESCATE MIGUEL ANGEL</t>
  </si>
  <si>
    <t>COORDINADOR GENERAL - PIURA</t>
  </si>
  <si>
    <t>16700136</t>
  </si>
  <si>
    <t>VASQUEZ EXEBIO JAVIER ENRIQUE</t>
  </si>
  <si>
    <t>ESPECIALISTA EN AISTENCIA TECNICA PARA LA UNIDAD DE ASISTENCIA TÉCNICA Y SOSTENIBILIDAD</t>
  </si>
  <si>
    <t>02792631</t>
  </si>
  <si>
    <t>VASQUEZ FARFAN VIOLETA MARTINA</t>
  </si>
  <si>
    <t>10037703</t>
  </si>
  <si>
    <t>VASQUEZ ROBLES CESAR</t>
  </si>
  <si>
    <t>ASESOR II. R. M. Nº 167-2018-VIVIENDA</t>
  </si>
  <si>
    <t>09295626</t>
  </si>
  <si>
    <t>VASQUEZ RODRIGUEZ RAFAEL</t>
  </si>
  <si>
    <t>ASESOR II. R.M. Nº 167-2019-VIVIENDA</t>
  </si>
  <si>
    <t>07503036</t>
  </si>
  <si>
    <t>VASQUEZ ROJAS GUILLERMO RODRIGO</t>
  </si>
  <si>
    <t>ANALISTA EN GESTION DEL RENDIMIENTO</t>
  </si>
  <si>
    <t>45259143</t>
  </si>
  <si>
    <t>VASQUEZ RUIZ MARIELEINE SHEYLA</t>
  </si>
  <si>
    <t>FISCALIZADOR AMBIENTAL</t>
  </si>
  <si>
    <t>46303232</t>
  </si>
  <si>
    <t>VEGA FARRO MARIA PAMELA</t>
  </si>
  <si>
    <t>ESPECIALISTA EN MONITOREO DE INDICADORES DE LOS PROGRAMAS DE VIVIENDA</t>
  </si>
  <si>
    <t>22513625</t>
  </si>
  <si>
    <t>VEGA RAMOS FREDDY ROBERTO</t>
  </si>
  <si>
    <t>ANALISTA REGIONAL DE OPERACIONES DE LA UNIDAD BASICA OPERATIVA - LAMBAYEQUE</t>
  </si>
  <si>
    <t>17521025</t>
  </si>
  <si>
    <t>VEGA VARIAS MIGUEL ANGEL</t>
  </si>
  <si>
    <t>ASISTENTE ADMINISTRATIVO - PASCO</t>
  </si>
  <si>
    <t>41148194</t>
  </si>
  <si>
    <t>VEGA YANAYACO MARCOS</t>
  </si>
  <si>
    <t>ANALISTA EN ATENCIÓN AL CIUDADANO - SAN MARTIN</t>
  </si>
  <si>
    <t>00859776</t>
  </si>
  <si>
    <t>VELA NORIEGA EMERSON</t>
  </si>
  <si>
    <t>05380421</t>
  </si>
  <si>
    <t>VELA PACAYA MONICA INES</t>
  </si>
  <si>
    <t>07529399</t>
  </si>
  <si>
    <t>VELAPATIÑO BARRIENTOS JOHN VÍCTOR</t>
  </si>
  <si>
    <t>ESPECIALISTA DE CONTROL DE INFRAESTRUCTURA</t>
  </si>
  <si>
    <t>06847217</t>
  </si>
  <si>
    <t>VELARDE HUAPAYA RICARDO LEON</t>
  </si>
  <si>
    <t>ESPECIALISTA EN GESTIÓN Y MONITOREO</t>
  </si>
  <si>
    <t>25217989</t>
  </si>
  <si>
    <t>VELASQUEZ NIETO FREDDY</t>
  </si>
  <si>
    <t>DIRECTOR GENERAL.  R. M. Nº 379-2019-VIVIENDA</t>
  </si>
  <si>
    <t>09151117</t>
  </si>
  <si>
    <t>VELEZ SALINAS ROBERTO GERMAN</t>
  </si>
  <si>
    <t>COORDINADORA  GENERAL - LIMA</t>
  </si>
  <si>
    <t>40205862</t>
  </si>
  <si>
    <t>VELEZMORO DELGADO MIRTHA ENITH</t>
  </si>
  <si>
    <t>OPERADOR DE MAQUINARIA PESADA - UBO JUNIN</t>
  </si>
  <si>
    <t>09765373</t>
  </si>
  <si>
    <t>VELIZ CERRON VICTOR RAUL</t>
  </si>
  <si>
    <t>ESPECIALISTA EN INVENTARIO DE INVERSIONES PÚBLICAS</t>
  </si>
  <si>
    <t>10244602</t>
  </si>
  <si>
    <t>VELIZ ROJAS MARIA ISABEL</t>
  </si>
  <si>
    <t>25631434</t>
  </si>
  <si>
    <t>VENTURA CAVERO GUSTAVO PATRICIO</t>
  </si>
  <si>
    <t>09932251</t>
  </si>
  <si>
    <t>VERA ARROYO ALICIA JANET</t>
  </si>
  <si>
    <t>DIRECTOR GENERAL. R. M. Nº 148-2019-VIVIENDA</t>
  </si>
  <si>
    <t>18080113</t>
  </si>
  <si>
    <t>VERGARA GERSTEIN JUAN JORGE</t>
  </si>
  <si>
    <t>45051547</t>
  </si>
  <si>
    <t>VERGARAY BARRENA ARNALDO ALONSO</t>
  </si>
  <si>
    <t>ASISTENTE ARANCELARIO</t>
  </si>
  <si>
    <t>08116855</t>
  </si>
  <si>
    <t>VERGARAY CHANG RODOLFO MESIAS</t>
  </si>
  <si>
    <t>44026251</t>
  </si>
  <si>
    <t>VICENTE CRUZ VANESSA YULIANA</t>
  </si>
  <si>
    <t>10043877</t>
  </si>
  <si>
    <t>VICTORIA AYALA ZENON ELOY</t>
  </si>
  <si>
    <t>INGENIERO GEOGRAFO.</t>
  </si>
  <si>
    <t>08605124</t>
  </si>
  <si>
    <t>VIDAL CASUSOL RUTH MILAGROS</t>
  </si>
  <si>
    <t>DIRECTORA. R. M. Nº 375-2019-VIVIENDA</t>
  </si>
  <si>
    <t>41420982</t>
  </si>
  <si>
    <t>VIDAL VILLAORDUÑA YULIANA DALMIRA</t>
  </si>
  <si>
    <t>ANALISTA ADMINISTRATIVO - SIGA</t>
  </si>
  <si>
    <t>42766023</t>
  </si>
  <si>
    <t>VIERA CARREÑO JEAN EDINSON</t>
  </si>
  <si>
    <t>03679548</t>
  </si>
  <si>
    <t>VIERA SOCOLA MARIA ELBA</t>
  </si>
  <si>
    <t>COORDINADOR GENERAL DEL CENTRO DE ATENCIÓN AL CIUDADANO - LA LIBERTAD</t>
  </si>
  <si>
    <t>17851470</t>
  </si>
  <si>
    <t>VILCA ALFARO AUREA PETRONILA</t>
  </si>
  <si>
    <t>42480693</t>
  </si>
  <si>
    <t>VILCAPOMA PEDEMONTE CARLOS</t>
  </si>
  <si>
    <t>10147953</t>
  </si>
  <si>
    <t>VILCAS HUAMANI MARCIAL</t>
  </si>
  <si>
    <t>41596149</t>
  </si>
  <si>
    <t>VILELA GIRON GUILLERMO DANIEL</t>
  </si>
  <si>
    <t>09461481</t>
  </si>
  <si>
    <t>VILLA LUCHINI YOBANA MARIBEL</t>
  </si>
  <si>
    <t>45272421</t>
  </si>
  <si>
    <t>VILLACIS DEL CASTILLO SUSANA</t>
  </si>
  <si>
    <t>40219681</t>
  </si>
  <si>
    <t>VILLAFANI SERRANO ETHEL YENNY</t>
  </si>
  <si>
    <t>ANALISTA EN PROYECTOS - LORETO</t>
  </si>
  <si>
    <t>24003051</t>
  </si>
  <si>
    <t>VILLAFUERTE CONDORI HENRY ENGELS</t>
  </si>
  <si>
    <t>ANALISTA DE INGRESOS</t>
  </si>
  <si>
    <t>70441355</t>
  </si>
  <si>
    <t>VILLAFUERTE FERNANDEZ KEYLA SANNY</t>
  </si>
  <si>
    <t>44995303</t>
  </si>
  <si>
    <t>VILLANUEVA OSORES DINA</t>
  </si>
  <si>
    <t xml:space="preserve">ESPECIALISTA EN TASACIONES </t>
  </si>
  <si>
    <t>40870309</t>
  </si>
  <si>
    <t>VILLAROEL PAUCAR JIMMY PAULINO</t>
  </si>
  <si>
    <t xml:space="preserve">EXPERTO PARA EL PROCESO DE ADECUACIÓN PROGRESIVA DE LOS PRESTADORES DE SERVICIO DE SANEAMIENTO A NIVEL NACIONAL. </t>
  </si>
  <si>
    <t>10064143</t>
  </si>
  <si>
    <t>VILLENA CHAVEZ JORGE ALBERTO</t>
  </si>
  <si>
    <t>EGRESADO EN MAESTRIA EN TRATAMIENTO DE AGUAS Y REUSO DE DESECHOS</t>
  </si>
  <si>
    <t>06871392</t>
  </si>
  <si>
    <t>VIVANCO ROJAS OSCAR</t>
  </si>
  <si>
    <t>ASESOR II. R. M. Nº 187-2018-VIVIENDA</t>
  </si>
  <si>
    <t>07859216</t>
  </si>
  <si>
    <t>VIZCARRA ALVIZURI JENNIE VIOLETA</t>
  </si>
  <si>
    <t>10200270</t>
  </si>
  <si>
    <t>WILSON CAÑOTE JUAN CARLOS</t>
  </si>
  <si>
    <t>ASISTENTE ADMINISTRATIVO - CUSCO</t>
  </si>
  <si>
    <t>46706054</t>
  </si>
  <si>
    <t>YANQUE SOTO VANESA ERIKA</t>
  </si>
  <si>
    <t>10626305</t>
  </si>
  <si>
    <t>YARO ULLOA OMAR</t>
  </si>
  <si>
    <t>DIRECTOR GENERAL. R.M. Nº 181-2019-VIVIENDA</t>
  </si>
  <si>
    <t>10225598</t>
  </si>
  <si>
    <t>YATACO PEREZ LUIS AUGUSTO</t>
  </si>
  <si>
    <t>40801001</t>
  </si>
  <si>
    <t>YAURI CUETO BLADIMIR TALES</t>
  </si>
  <si>
    <t>16018346</t>
  </si>
  <si>
    <t>YAURI RAMIREZ FLOR MERY</t>
  </si>
  <si>
    <t>RESPONSABLE DEL AREA DE TIERRAS Y RESERVA TERRITORIAL</t>
  </si>
  <si>
    <t>10305294</t>
  </si>
  <si>
    <t>YAYA LEPE CHRISTIAN ALBERTO</t>
  </si>
  <si>
    <t>ESPECIALISTA EN RACIONALIZACIÓN</t>
  </si>
  <si>
    <t>08153829</t>
  </si>
  <si>
    <t>YONG ESPINO FERNANDO WILDER</t>
  </si>
  <si>
    <t>ASESOR I. R. M. Nº 286-2019-VIVIENDA</t>
  </si>
  <si>
    <t>09558164</t>
  </si>
  <si>
    <t>YOPLAC BAZALAR CARLOS ENRIQUE</t>
  </si>
  <si>
    <t>45086573</t>
  </si>
  <si>
    <t>YOPLAC VARGAS ALEX MERCEDES</t>
  </si>
  <si>
    <t>40164289</t>
  </si>
  <si>
    <t>YUCRA QUISPE OSWALDO</t>
  </si>
  <si>
    <t>07687589</t>
  </si>
  <si>
    <t>YUPANQUI TELLO PEDRO FERNANDO</t>
  </si>
  <si>
    <t>ANALISTA EN PROGRAMACIÒN</t>
  </si>
  <si>
    <t>31674336</t>
  </si>
  <si>
    <t>YZAGUIRRE FIGUEROA ERIBERTO JOSE</t>
  </si>
  <si>
    <t>ESTUDIANTE CARRERA TECNICA DE ADMINISTRACION DE NEGOCIOS</t>
  </si>
  <si>
    <t>ESPECIALISTA EN EJCUCIÓN Y SEGUIMIENTO DEL PROGRAMA BONO FAMILIAR HABITACIONAL</t>
  </si>
  <si>
    <t>43535278</t>
  </si>
  <si>
    <t>ZAANONI LOAYZA MARCO ANTONIO</t>
  </si>
  <si>
    <t>42920462</t>
  </si>
  <si>
    <t>ZAMBRANO FERRO JOSE LUIS</t>
  </si>
  <si>
    <t>RESPONSABLE DEL AREA DE PLANEAMIENTO, ASESORAMIENTO, SEGUIMIENTO Y EVALUACION</t>
  </si>
  <si>
    <t>02888665</t>
  </si>
  <si>
    <t>ZAPATA CARRASCO PEDRO EMILIANO</t>
  </si>
  <si>
    <t>ASESOR II. R. M. Nº 388-2018-VIVIENDA</t>
  </si>
  <si>
    <t>03668351</t>
  </si>
  <si>
    <t>ZAPATA GALLO JORGE ALBERTO</t>
  </si>
  <si>
    <t>09759406</t>
  </si>
  <si>
    <t>ZARATE DIAZ CARLOS</t>
  </si>
  <si>
    <t>10413964</t>
  </si>
  <si>
    <t>ZARATE DIAZ LEONIDAS</t>
  </si>
  <si>
    <t>ANALISTA DE GESTIÓN DE SERVICIOS DE TECNOLOGÍAS DE INFORMACIÓN</t>
  </si>
  <si>
    <t>40842828</t>
  </si>
  <si>
    <t>ZARATE INFANTE ERIK</t>
  </si>
  <si>
    <t>COORDINADOR DE EVENTOS</t>
  </si>
  <si>
    <t>23015694</t>
  </si>
  <si>
    <t>ZARATE RUIZ CESAR ALFREDO</t>
  </si>
  <si>
    <t>EGRESADO EN DERECHO Y CIENCIAS POLITICAS</t>
  </si>
  <si>
    <t>Bachiller en Ingeniería</t>
  </si>
  <si>
    <t>07763771</t>
  </si>
  <si>
    <t>ZARZOSA LOPEZ CESAR ADRIAN</t>
  </si>
  <si>
    <t>INGENIERO MECANICO ELECTRICO</t>
  </si>
  <si>
    <t>ANALISTA DE ATENCIÓN AMBIENTAL</t>
  </si>
  <si>
    <t>44761783</t>
  </si>
  <si>
    <t>ZAVALAGA TALLEDO ERIKA NOELIA</t>
  </si>
  <si>
    <t>RESPONSABLE DE LA UNIDAD DE GESTIÓN SOCIAL</t>
  </si>
  <si>
    <t>25718055</t>
  </si>
  <si>
    <t>ZEÑA GIRALDO SANDRA ANGELITA</t>
  </si>
  <si>
    <t>ESPECIALISTA EN EXPEDIENTE TÉCNICO</t>
  </si>
  <si>
    <t>20015041</t>
  </si>
  <si>
    <t>ZEVALLOS GUADALUPE DAVID BRUNO</t>
  </si>
  <si>
    <t>ANALISTA EN SEGUIMIENTO CONTRACTUAL</t>
  </si>
  <si>
    <t>10347327</t>
  </si>
  <si>
    <t>ZEVALLOS RAMOS JUAN CARLOS</t>
  </si>
  <si>
    <t>10196969</t>
  </si>
  <si>
    <t>ZUMAETA JAUREGUI EDWIN AUGUSTO</t>
  </si>
  <si>
    <t>COORDINADOR REGIONAL PUNO</t>
  </si>
  <si>
    <t>01327437</t>
  </si>
  <si>
    <t>DUEÑAS GUTIERREZ PERCY</t>
  </si>
  <si>
    <t>PRIMARIA - COMPLETA</t>
  </si>
  <si>
    <t>OPERADOR DE VEHICULO PESADO - UBO PUNO</t>
  </si>
  <si>
    <t>01777968</t>
  </si>
  <si>
    <t>JIMENEZ APAZA DEMETRIO</t>
  </si>
  <si>
    <t>OPERADOR DE VEHICULO PESADO - UBO AREQUIPA</t>
  </si>
  <si>
    <t>02364935</t>
  </si>
  <si>
    <t>NUÑEZ ACEITUNO LUCIO MARINO</t>
  </si>
  <si>
    <t>OPERADOR DE VEHICULO PESADO - UBO LORETO</t>
  </si>
  <si>
    <t>05274014</t>
  </si>
  <si>
    <t>MORI PINEDO CARLOS</t>
  </si>
  <si>
    <t>COORDINADOR REGIONAL TACNA</t>
  </si>
  <si>
    <t>07336168</t>
  </si>
  <si>
    <t>CAÑARI CAÑARI HENRY ANTONIO</t>
  </si>
  <si>
    <t>ASESORA II.  R.M. Nº 021-2020-VIVIENDA</t>
  </si>
  <si>
    <t>07732457</t>
  </si>
  <si>
    <t>GONZALEZ TORO MARITZA ISABEL</t>
  </si>
  <si>
    <t>ESPECIALISTA EN PROYECTOS DE INVERSIÓN EN DESARROLLO URBANO</t>
  </si>
  <si>
    <t>08442884</t>
  </si>
  <si>
    <t>TICLLACURI ROMERO ABEL FRANCISCO</t>
  </si>
  <si>
    <t>ESPECIALISTA EN SEGURIDAD Y SALUD EN EL TRABAJO</t>
  </si>
  <si>
    <t>08887188</t>
  </si>
  <si>
    <t>MELCHOR GOMEZ RAUL OMAR</t>
  </si>
  <si>
    <t>ESPECIALISTA  SOCIAL</t>
  </si>
  <si>
    <t>09674168</t>
  </si>
  <si>
    <t>HUAMAN RODRIGUEZ JORGE FIDEL</t>
  </si>
  <si>
    <t>10002524</t>
  </si>
  <si>
    <t>RIVERA VASQUEZ SAMUEL ENRIQUE</t>
  </si>
  <si>
    <t>10003208</t>
  </si>
  <si>
    <t>CASTAÑEDA MARTINEZ JOSEFA YSABEL</t>
  </si>
  <si>
    <t>ASISTENTE TÉCNICO EN SERVICIOS GENERALES</t>
  </si>
  <si>
    <t>10036098</t>
  </si>
  <si>
    <t>LUJAN ORRILLO KATHERINE JANNET</t>
  </si>
  <si>
    <t>EGRESADO EN ADMINISTRACION DE NEGOCIOS</t>
  </si>
  <si>
    <t>TÉCNICO EN COMUNICACIÓN ESTRATÉGICA</t>
  </si>
  <si>
    <t>10303381</t>
  </si>
  <si>
    <t>GARCIA ZAPATERO URIONA CECILIA AMELIA</t>
  </si>
  <si>
    <t>ASESORA II. R.M.N° 108-2020-VIVIENDA</t>
  </si>
  <si>
    <t>10477441</t>
  </si>
  <si>
    <t>LEIVA ALE VIRGINIA EMILIA</t>
  </si>
  <si>
    <t>ASESOR II. R. M. Nº 001-2020-VIVIENDA</t>
  </si>
  <si>
    <t>10558176</t>
  </si>
  <si>
    <t>ALMEIDA RAMOS GIOVANNA DE LOURDES</t>
  </si>
  <si>
    <t>DIRECTORA. R. M. Nº 003-2020-VIVIENDA</t>
  </si>
  <si>
    <t>10660218</t>
  </si>
  <si>
    <t>NERIO PONCE MARIA ANTONIETA</t>
  </si>
  <si>
    <t>OPERADOR DE VEHICULO PESADO - UBO - JUNIN</t>
  </si>
  <si>
    <t>10705115</t>
  </si>
  <si>
    <t>SIMBRON MEJIA JUAN CARLOS</t>
  </si>
  <si>
    <t xml:space="preserve">ESPECIALISTA EN PLANEAMIENTO </t>
  </si>
  <si>
    <t>10744307</t>
  </si>
  <si>
    <t>CARRASCO GUTIERREZ GABRIELA</t>
  </si>
  <si>
    <t>OPERADOR DE MAQUINARIA PESADA - UBO TUMBES</t>
  </si>
  <si>
    <t>19323548</t>
  </si>
  <si>
    <t>VERGARA COSCOL JORGE LUIS</t>
  </si>
  <si>
    <t>19869041</t>
  </si>
  <si>
    <t>SANTOS MUCHA HUGO EDGAR</t>
  </si>
  <si>
    <t>ESPECIALISTA EN CONTROL DE INFRAESTRUCTURA</t>
  </si>
  <si>
    <t>21574112</t>
  </si>
  <si>
    <t>SORIA QUISPE JOSE LUIS</t>
  </si>
  <si>
    <t>ESPECIALISTA EN GESTIÓN DE RECURSOS HUMANOS</t>
  </si>
  <si>
    <t>22514227</t>
  </si>
  <si>
    <t>CHUQUIAURI COTRINA YENITH</t>
  </si>
  <si>
    <t>COORDINADOR REGIONAL CAJAMARCA</t>
  </si>
  <si>
    <t>26646158</t>
  </si>
  <si>
    <t>ALVARADO NOVOA JORGE</t>
  </si>
  <si>
    <t>OPERADOR DE VEHICULO PESADO - UBO AYACUCHO</t>
  </si>
  <si>
    <t>31171397</t>
  </si>
  <si>
    <t>AIQUIPA DELGADO MOISES</t>
  </si>
  <si>
    <t>COORDINADOR REGIONAL PIURA</t>
  </si>
  <si>
    <t>32972690</t>
  </si>
  <si>
    <t>PANTA ALAMA JOSE CARLOS</t>
  </si>
  <si>
    <t>OPERADOR DE VEHICULO PESADO - UBO TUMBES</t>
  </si>
  <si>
    <t>40613008</t>
  </si>
  <si>
    <t>GONZALEZ RETO POOL RICARDO</t>
  </si>
  <si>
    <t>40804071</t>
  </si>
  <si>
    <t>VALVERDE TORRES RICHARD JHONNY</t>
  </si>
  <si>
    <t>41046301</t>
  </si>
  <si>
    <t>HUATAQUISPE VASQUEZ MARGOT</t>
  </si>
  <si>
    <t>OPERADOR DE VEHICULO PESADO- UBO AMAZONAS</t>
  </si>
  <si>
    <t>41232661</t>
  </si>
  <si>
    <t>RUIZ TARAZONA MIGUEL ANGEL</t>
  </si>
  <si>
    <t xml:space="preserve">MÉDICO OCUPACIONAL </t>
  </si>
  <si>
    <t>41582216</t>
  </si>
  <si>
    <t>RUEDA GARCIA DORIS LUZ GUISELL</t>
  </si>
  <si>
    <t>MEDICO CIRUJANO</t>
  </si>
  <si>
    <t>ASESOR II. R. .M. Nº 057-2020-VIVIENDA</t>
  </si>
  <si>
    <t>41817438</t>
  </si>
  <si>
    <t>ROTTA FARROMEQUE WILLIAM RENATO</t>
  </si>
  <si>
    <t>ESPECIALISTA EN INNOVACIÓN Y DESARROLLO TECNOLÓGICO</t>
  </si>
  <si>
    <t>42307680</t>
  </si>
  <si>
    <t>DONGO HERRERA KATLEN LEIGH</t>
  </si>
  <si>
    <t>42428923</t>
  </si>
  <si>
    <t>VERGARAY D'ARRIGO PERLA GIULIANA</t>
  </si>
  <si>
    <t>OPERADOR DE VEHICULOS PESADOS - UBO CAJAMARCA</t>
  </si>
  <si>
    <t>42531248</t>
  </si>
  <si>
    <t>GUAYAC ESCOBAR SIXTO</t>
  </si>
  <si>
    <t>COORDINADOR REGIONAL LAMBAYEQUE</t>
  </si>
  <si>
    <t>42696538</t>
  </si>
  <si>
    <t>WAN TUÑOQUE JORGE CESAR</t>
  </si>
  <si>
    <t>COORDINADOR REGIONAL JUNIN</t>
  </si>
  <si>
    <t>44099294</t>
  </si>
  <si>
    <t>VIVANCO VERANO RICARDO MIGUEL</t>
  </si>
  <si>
    <t>OPERADOR VEHICULO PESADO - UBO ANCASH</t>
  </si>
  <si>
    <t>44265378</t>
  </si>
  <si>
    <t>MALLQUI CUELLAR JOSUE IVAN</t>
  </si>
  <si>
    <t>COORDINADOR REGIONAL LORETO</t>
  </si>
  <si>
    <t>44370654</t>
  </si>
  <si>
    <t>VARGAS CARDENAS MILAGROS</t>
  </si>
  <si>
    <t>44743521</t>
  </si>
  <si>
    <t>GUZMAN SAAVEDRA VANESSA SARA</t>
  </si>
  <si>
    <t>OPERADOR DE VEHICULO PESADO - UBO PIURA</t>
  </si>
  <si>
    <t>44893283</t>
  </si>
  <si>
    <t>VITE ALDANA JAVIER</t>
  </si>
  <si>
    <t>47800020</t>
  </si>
  <si>
    <t>GONGORA CHIGUAMAN LORENA</t>
  </si>
  <si>
    <t>48449840</t>
  </si>
  <si>
    <t>VASQUEZ MEJIA AUNER JHOAN</t>
  </si>
  <si>
    <t>ANALISTA EN ACCESIBILIDAD</t>
  </si>
  <si>
    <t>70319876</t>
  </si>
  <si>
    <t>LINARES CALLALLI CARLA ISABEL</t>
  </si>
  <si>
    <t>71789964</t>
  </si>
  <si>
    <t>FLORES SALDAÑA MELISSA</t>
  </si>
  <si>
    <t>OPERADOR DE MAQUINARIA PESADA - UBO LORETO</t>
  </si>
  <si>
    <t>72271143</t>
  </si>
  <si>
    <t>LOPEZ GONZALES ARNOL DILAN</t>
  </si>
  <si>
    <t>OPERADOR DE MAQUINARIA PESADA - UBO PUNO</t>
  </si>
  <si>
    <t>72561076</t>
  </si>
  <si>
    <t>MERMA CONDORI CECILIO</t>
  </si>
  <si>
    <t>COORDINADORA REGIONAL TUMBES</t>
  </si>
  <si>
    <t>72893945</t>
  </si>
  <si>
    <t>ISHIKAWA VILLAR ANA PRISCILA</t>
  </si>
  <si>
    <t>EJECUTORA 004 - PNSU</t>
  </si>
  <si>
    <t>ESPECIALISTA EN ESTUDIOS PARA LA REGIÓN PASCO</t>
  </si>
  <si>
    <t>04014659</t>
  </si>
  <si>
    <t>ABAL RAMOS EUGENIO RAUL</t>
  </si>
  <si>
    <t>Ing. Civil</t>
  </si>
  <si>
    <t>Titulo</t>
  </si>
  <si>
    <t>ESPECIALISTA DE ESTUDIOS</t>
  </si>
  <si>
    <t>03887481</t>
  </si>
  <si>
    <t>ACHA ZAPATA JESUS MARTIN</t>
  </si>
  <si>
    <t>Ing. Sanitario</t>
  </si>
  <si>
    <t>ESPECIALISTA EN INGENIERIA</t>
  </si>
  <si>
    <t>10688451</t>
  </si>
  <si>
    <t>ACOSTA QUISPE JOHANN OMAR</t>
  </si>
  <si>
    <t>Ing. Sanitaria</t>
  </si>
  <si>
    <t>AUXILIAR DE OFICINA</t>
  </si>
  <si>
    <t>70269575</t>
  </si>
  <si>
    <t>ACOSTA TALLEDO JEFFERSON EDUARDO</t>
  </si>
  <si>
    <t>Estudiante en Administración y Negocios</t>
  </si>
  <si>
    <t>Tecnico</t>
  </si>
  <si>
    <t>10586449</t>
  </si>
  <si>
    <t>AGRADA CASTRO GIANNA SUJEY</t>
  </si>
  <si>
    <t>Tec. Administracion</t>
  </si>
  <si>
    <t>PROFESIONAL ESPECIALISTA EN MOVIMIENTO DE TIERRAS</t>
  </si>
  <si>
    <t>43280510</t>
  </si>
  <si>
    <t>AGUILAR PLASENCIA MIGUEL ANGEL</t>
  </si>
  <si>
    <t>ESPECIALISTA TÉCNICO EN INFRAESTRUCTURA DE SANEAMIENTO</t>
  </si>
  <si>
    <t>09653605</t>
  </si>
  <si>
    <t>AGUIRRE MORENO ALICIA OFELIA</t>
  </si>
  <si>
    <t>28314420</t>
  </si>
  <si>
    <t>ALANYA TICLLA LUCAS</t>
  </si>
  <si>
    <t>ANALISTA DE REDES E INFRAESTRUCTURA</t>
  </si>
  <si>
    <t>73950982</t>
  </si>
  <si>
    <t>ALCANTARA RIVERA JOSE ALEXANDER</t>
  </si>
  <si>
    <t>Ing. Mecatronico</t>
  </si>
  <si>
    <t>ASESOR TÉCNICO</t>
  </si>
  <si>
    <t>10075827</t>
  </si>
  <si>
    <t>ALVARO HEREDIA JUDITH AMPARO</t>
  </si>
  <si>
    <t>ASISTENTE DE ALMACEN</t>
  </si>
  <si>
    <t>41201539</t>
  </si>
  <si>
    <t>AMAYA AGUIRRE CESAR ADHEMIR</t>
  </si>
  <si>
    <t>Asistente de Almacen</t>
  </si>
  <si>
    <t>ESPECIALISTA EN CONTRATACIONES</t>
  </si>
  <si>
    <t>70319598</t>
  </si>
  <si>
    <t>AMPUERO ESTRADA ROSALIA MILAGROS</t>
  </si>
  <si>
    <t>Abogada</t>
  </si>
  <si>
    <t>41899529</t>
  </si>
  <si>
    <t>ANAYA COLONIA NELLS FABIO</t>
  </si>
  <si>
    <t>ANALISTA DESARROLLADOR DE SISTEMAS</t>
  </si>
  <si>
    <t>70970299</t>
  </si>
  <si>
    <t>ANCHAYHUA QUIQUI NICANOR</t>
  </si>
  <si>
    <t>Ing. De Sistemas</t>
  </si>
  <si>
    <t>ESPECIALISTA EN GESTIÓN DE PROYECTOS Y TRATAMIENTO DE AGUAS RESIDUALES</t>
  </si>
  <si>
    <t>40835749</t>
  </si>
  <si>
    <t>ANCHIRAICO CRUZ YURI ALBERT</t>
  </si>
  <si>
    <t>ESPECIALISTA SENIOR DE ESTUDIOS Y MONITOREO</t>
  </si>
  <si>
    <t>06132962</t>
  </si>
  <si>
    <t>ANGELES LAVERIANO FAUSTINO EPIMACO</t>
  </si>
  <si>
    <t>10670771</t>
  </si>
  <si>
    <t>APARICIO ZEA VICTOR</t>
  </si>
  <si>
    <t>Ing. Mecanica de Fluidos</t>
  </si>
  <si>
    <t>ESPECIALISTA EN MONITOREO PARA LA REGIÓN LIMA</t>
  </si>
  <si>
    <t>42779243</t>
  </si>
  <si>
    <t>APAZA ROMERO AARON DARIO</t>
  </si>
  <si>
    <t>ESPECIALISTA EN ESTUDIOS</t>
  </si>
  <si>
    <t>00244576</t>
  </si>
  <si>
    <t>APOLO MARCHAN JOSE LUIS</t>
  </si>
  <si>
    <t>44210176</t>
  </si>
  <si>
    <t>ARANA GUTIERREZ JOHN WALTER</t>
  </si>
  <si>
    <t>Lic. En Administración</t>
  </si>
  <si>
    <t>45596888</t>
  </si>
  <si>
    <t>ARANA ROSADO JUAN CARLOS</t>
  </si>
  <si>
    <t>Estud.Administracion III</t>
  </si>
  <si>
    <t>COORDINADOR DE AREA DE EJECUCION DE PROYECTOS</t>
  </si>
  <si>
    <t>07766823</t>
  </si>
  <si>
    <t>ARBILDO ARROYO DANTE HENRY</t>
  </si>
  <si>
    <t>ESPECIALISTA DE PLANEAMIENTO</t>
  </si>
  <si>
    <t>10248442</t>
  </si>
  <si>
    <t>ARESTEGUI PULLO JAVIER EULOGIO</t>
  </si>
  <si>
    <t>ESPECIALISTA EN LIQUIDACIÓN DE OBRAS PUBLICAS</t>
  </si>
  <si>
    <t>23002359</t>
  </si>
  <si>
    <t>ARROYO BEDOYA JORGE LUIS</t>
  </si>
  <si>
    <t>CPC</t>
  </si>
  <si>
    <t>ESPECIALISTA EN ASISTENCIA TECNICA</t>
  </si>
  <si>
    <t>32800891</t>
  </si>
  <si>
    <t>ARROYO MESTANZA MARCO ANTONIO</t>
  </si>
  <si>
    <t>COORDINADOR DE ESTUDIOS Y MONITOREO</t>
  </si>
  <si>
    <t>41019402</t>
  </si>
  <si>
    <t>ASTOCAZA FLORES JAVIER ANTONIO</t>
  </si>
  <si>
    <t>42446666</t>
  </si>
  <si>
    <t>AVILA ARMAS DEIMER IVAN</t>
  </si>
  <si>
    <t>09425642</t>
  </si>
  <si>
    <t>AYON SARMIENTO ALEX HELI</t>
  </si>
  <si>
    <t>ESPECIALISTA EN EJECUCIÓN SUPERVISION</t>
  </si>
  <si>
    <t>08647582</t>
  </si>
  <si>
    <t>BALBUENA MONZON VICTOR MANUEL</t>
  </si>
  <si>
    <t>ANALISTAS DE PROYECTOS DE INVERSIÓN PÚBLICA EN SANEAMIENTO</t>
  </si>
  <si>
    <t>43665260</t>
  </si>
  <si>
    <t>BALDEON ESPINOZA JOSE GONZALO</t>
  </si>
  <si>
    <t>Bach. Ing. Sanitaria</t>
  </si>
  <si>
    <t>ESPECIALISTA EN ADMINISTRACIÓN DE CONTRATOS DE OBRAS II</t>
  </si>
  <si>
    <t>08690955</t>
  </si>
  <si>
    <t>BALLARDO REYES RUBEN ERNESTO</t>
  </si>
  <si>
    <t>Ing.  Civil</t>
  </si>
  <si>
    <t>ESPECIALISTA EN ESTUDIOS PARA LA REGIÓN LIMA</t>
  </si>
  <si>
    <t>10397361</t>
  </si>
  <si>
    <t>BALLENA RODRIGUEZ HERNAN MIGUEL</t>
  </si>
  <si>
    <t>TÉCNICO EN MATENIMIENTO Y SERVICIOS GENERALES</t>
  </si>
  <si>
    <t>42841004</t>
  </si>
  <si>
    <t>BALTAZAR PAUCAR JOEL RICARDO</t>
  </si>
  <si>
    <t>Tec. Electricista Industrial</t>
  </si>
  <si>
    <t>32111561</t>
  </si>
  <si>
    <t>BALTODANO CERVERA MELIZA VERONICA</t>
  </si>
  <si>
    <t>Computacion e Informatica</t>
  </si>
  <si>
    <t>DIBUJANTE CAD</t>
  </si>
  <si>
    <t>08718440</t>
  </si>
  <si>
    <t>BANCAYAN HERRERA EZEQUIEL ERNESTO</t>
  </si>
  <si>
    <t>Dibujante CAD</t>
  </si>
  <si>
    <t>ESPECIALISTA EN ASISTENCIA TÉCNICA DE OBRAS PARALIZADAS</t>
  </si>
  <si>
    <t>10053579</t>
  </si>
  <si>
    <t>BARAHONA GARCIA PETER JOHN</t>
  </si>
  <si>
    <t>ASISTENTE DE PRESUPUESTO</t>
  </si>
  <si>
    <t>42268378</t>
  </si>
  <si>
    <t>BARCO CORONADO SILVIA KARINA</t>
  </si>
  <si>
    <t>8 Ciclo Administracion</t>
  </si>
  <si>
    <t>09870454</t>
  </si>
  <si>
    <t>BARRANTES HUAMANI ROCIO MARISOL</t>
  </si>
  <si>
    <t>Lic.en Nutrición</t>
  </si>
  <si>
    <t>ESPECIALISTA EN MONITOREO</t>
  </si>
  <si>
    <t>40391169</t>
  </si>
  <si>
    <t>BARRERA VILLACORTA BENJAMIN BELTRAN</t>
  </si>
  <si>
    <t>PROFESIONAL JUNIOR 2 EN EVALUACIÓN DE PROYECTOS DE INVERSIÓN PÚBLICA EN SANEAMIENTO</t>
  </si>
  <si>
    <t>41417112</t>
  </si>
  <si>
    <t>BARRETO SAENZ JOSE ANTONIO</t>
  </si>
  <si>
    <t>25657605</t>
  </si>
  <si>
    <t>BARRIGA CIUDAD GUSTAVO FELIPE</t>
  </si>
  <si>
    <t>ANALISTA DE REDES</t>
  </si>
  <si>
    <t>10669226</t>
  </si>
  <si>
    <t>BARTOLO SORIA CARLOS ANDRES</t>
  </si>
  <si>
    <t>26695060</t>
  </si>
  <si>
    <t>BASAURI BECERRA WILLIAM RAFAEL</t>
  </si>
  <si>
    <t>44491360</t>
  </si>
  <si>
    <t>BAYONA PEREZ JESUS EDDER</t>
  </si>
  <si>
    <t>ESPECIALISTA EN MATERIA DE DERECHO ADMINISTRATIVO</t>
  </si>
  <si>
    <t>40603284</t>
  </si>
  <si>
    <t>BEJARANO CABREJOS MIRYAM DEL CARMEN</t>
  </si>
  <si>
    <t>COORDINADOR DE ASISTENCIA TECNICA</t>
  </si>
  <si>
    <t>09930764</t>
  </si>
  <si>
    <t>BELLIDO KUNZ MARIO RODOLFO</t>
  </si>
  <si>
    <t>ESPECIALISTA EN EJECUCIÓN DE PROYECTOS</t>
  </si>
  <si>
    <t>02446250</t>
  </si>
  <si>
    <t>BENAVENTE ROMERO CARLOS EDY FRANCISCO</t>
  </si>
  <si>
    <t>ESPECIALISTA EN ESTUDIOS PARA LA REGIÓN LORETO</t>
  </si>
  <si>
    <t>05394917</t>
  </si>
  <si>
    <t>BENDEZU GARAYAR LUIS ANDRES</t>
  </si>
  <si>
    <t>PROFESIONAL EN DISEÑO EN AUTOCAD</t>
  </si>
  <si>
    <t>08318491</t>
  </si>
  <si>
    <t>BENDEZU ÑAÑEZ JULIO CESAR</t>
  </si>
  <si>
    <t>Ing. Agronomo</t>
  </si>
  <si>
    <t>70145621</t>
  </si>
  <si>
    <t>BENITES PANIAGUA LISBERTH KEVELIN</t>
  </si>
  <si>
    <t>ESPECIALISTA SANITARIO DE OBRAS PARALIZADAS</t>
  </si>
  <si>
    <t>43839962</t>
  </si>
  <si>
    <t>BENITES PRINCIPE JHON MAXWELL</t>
  </si>
  <si>
    <t>41316276</t>
  </si>
  <si>
    <t>BERNABE TAPARA EDITH GLADYS</t>
  </si>
  <si>
    <t>45894767</t>
  </si>
  <si>
    <t>BRAN YARLEQUE NILVER JOAN</t>
  </si>
  <si>
    <t>RESPONSABLE DE LA UNIDAD DE ASESORÍA LEGAL</t>
  </si>
  <si>
    <t>43013668</t>
  </si>
  <si>
    <t>BRAVO CHAVEZ ROY DANY</t>
  </si>
  <si>
    <t>ANALISTA EN IMPLEMENTACIÓN DE PROCESOS</t>
  </si>
  <si>
    <t>07963794</t>
  </si>
  <si>
    <t>BUENO SALDAÑA JOSE LUIS</t>
  </si>
  <si>
    <t>Ing. Industrial</t>
  </si>
  <si>
    <t>PROFESIONAL ESPECIALISTA</t>
  </si>
  <si>
    <t>17528735</t>
  </si>
  <si>
    <t>BULNES PAICO MARIO FIDEL</t>
  </si>
  <si>
    <t>RESPONSABLE DE UNIDAD</t>
  </si>
  <si>
    <t>16678343</t>
  </si>
  <si>
    <t>BUSTAMANTE MONDRAGON NORBERTH MOISES</t>
  </si>
  <si>
    <t>28273268</t>
  </si>
  <si>
    <t>BUSTIOS DIAZ HUGO</t>
  </si>
  <si>
    <t>22516868</t>
  </si>
  <si>
    <t>CABALLERO ESPINOZA WALDO OTONIEL</t>
  </si>
  <si>
    <t>31664591</t>
  </si>
  <si>
    <t>CABELLO ANDIA VICTOR JAVIER</t>
  </si>
  <si>
    <t>04430566</t>
  </si>
  <si>
    <t>CABELLO DIAZ MERCEDES DEL CARMEN SALOME</t>
  </si>
  <si>
    <t>10531588</t>
  </si>
  <si>
    <t>CACCIRE MELGAREJO MILAGROS GABRIELA</t>
  </si>
  <si>
    <t>00515417</t>
  </si>
  <si>
    <t>CACERES ARENAS ALEJANDRO CARLOS</t>
  </si>
  <si>
    <t>09230091</t>
  </si>
  <si>
    <t>CAHUANTICO OSTOS SANTOS EDGARD</t>
  </si>
  <si>
    <t>CHOFER</t>
  </si>
  <si>
    <t>09729391</t>
  </si>
  <si>
    <t>CALLAÑAUPA CHOQQUECONZA JULIO WALTER</t>
  </si>
  <si>
    <t>Secundaria</t>
  </si>
  <si>
    <t>09936569</t>
  </si>
  <si>
    <t>CALLIRGOS DURAND ELENA GABRIELA</t>
  </si>
  <si>
    <t>IV Ciclo Administracion</t>
  </si>
  <si>
    <t>31668638</t>
  </si>
  <si>
    <t>CALVO SANTOS ROCIO NORKA</t>
  </si>
  <si>
    <t>ESPECIALISTA EN MECÁNICA DE FLUIDOS</t>
  </si>
  <si>
    <t>10660459</t>
  </si>
  <si>
    <t>CANCHO QUISPE ABELARDO ANTONIO</t>
  </si>
  <si>
    <t>Ing. Mecanico de Fluidos</t>
  </si>
  <si>
    <t>10647723</t>
  </si>
  <si>
    <t>CAPCHA ESPINOZA YESENIA GLADYS</t>
  </si>
  <si>
    <t>41664139</t>
  </si>
  <si>
    <t>CAPCHA MACURI DALINA LIZETT</t>
  </si>
  <si>
    <t>Tec. Contabilidad</t>
  </si>
  <si>
    <t>ESPECIALISTA DE INGENIERÍA III</t>
  </si>
  <si>
    <t>10362725</t>
  </si>
  <si>
    <t>CARBAJAL JURADO LUIS RONALD</t>
  </si>
  <si>
    <t>02440895</t>
  </si>
  <si>
    <t>CARCASI CUTIPA ROGER</t>
  </si>
  <si>
    <t>17608201</t>
  </si>
  <si>
    <t>CARDENAS CASTILLO LUIS FERNANDO</t>
  </si>
  <si>
    <t>07501116</t>
  </si>
  <si>
    <t>CARDENAS SULCARAY CONSUELO</t>
  </si>
  <si>
    <t>40834231</t>
  </si>
  <si>
    <t>CARO SOLIS JACKELINE ELENA</t>
  </si>
  <si>
    <t>21575266</t>
  </si>
  <si>
    <t>CARPIO CALDERON GUALBERTO ARMANDO</t>
  </si>
  <si>
    <t>Ing. Economista</t>
  </si>
  <si>
    <t>ESPECIALISTA DE INGENIERÍA I</t>
  </si>
  <si>
    <t>45225278</t>
  </si>
  <si>
    <t>CARPIO GONZALES JULIO ALBERTO</t>
  </si>
  <si>
    <t>ESPECIALISTA EN SEGUIMIENTO TECNICO DE INVERISONES</t>
  </si>
  <si>
    <t>10790213</t>
  </si>
  <si>
    <t>CARPIO MANSEN DE SANCHEZ JENNY</t>
  </si>
  <si>
    <t>ESPECIALISTA EN SEGUIMIENTO DE PROGRAMAS Y PROYECTOS DE COOPERACIÓN INTERNACIONAL</t>
  </si>
  <si>
    <t>09544873</t>
  </si>
  <si>
    <t>CARRILLO ALEMAN GUILLERMO SEGUNDO</t>
  </si>
  <si>
    <t>31033391</t>
  </si>
  <si>
    <t>CARRION UMERES YURY</t>
  </si>
  <si>
    <t>ESPECIALISTA EN ELECTROMECÁNICA Y AUTOMATIZACIÓN</t>
  </si>
  <si>
    <t>40472452</t>
  </si>
  <si>
    <t>CASTRO HUANCA JOEL</t>
  </si>
  <si>
    <t>Ing. Mecanico Electricista</t>
  </si>
  <si>
    <t>ESPECIALISTA EN SISTEMA ALCANTARILLADO</t>
  </si>
  <si>
    <t>07027972</t>
  </si>
  <si>
    <t>CASTRO VILLEGAS JULIO ANGEL</t>
  </si>
  <si>
    <t>41936827</t>
  </si>
  <si>
    <t>CCAHUANTICO MAMANI JUAN CARLOS</t>
  </si>
  <si>
    <t>ESPECIALISTA EN MONITOREO DE PROYECTOS</t>
  </si>
  <si>
    <t>00474785</t>
  </si>
  <si>
    <t>CCALLI GUTIERREZ WILSON ALEX</t>
  </si>
  <si>
    <t>ESPECIALISTA EN EVALUACIÓN Y SEGUIMIENTO DE PROYECTOS</t>
  </si>
  <si>
    <t>28268986</t>
  </si>
  <si>
    <t>CCASANI SIERRA MANUEL</t>
  </si>
  <si>
    <t>41802516</t>
  </si>
  <si>
    <t>CELIS INGA ZENAIDA MARISOL</t>
  </si>
  <si>
    <t>Bach. En Archivistica y Gestión Documental</t>
  </si>
  <si>
    <t>Bachiller</t>
  </si>
  <si>
    <t>40558169</t>
  </si>
  <si>
    <t>CESPEDES TALLEDO MARIA ELENA</t>
  </si>
  <si>
    <t>ESPECIALISTA EN ESTUDIOS PARA LA REGIÓN ICA</t>
  </si>
  <si>
    <t>21521915</t>
  </si>
  <si>
    <t>CHACALTANA PON TANIA ZULENA</t>
  </si>
  <si>
    <t>ANALISTA EN SEGUIMIENTO DE MONITOREO</t>
  </si>
  <si>
    <t>72680891</t>
  </si>
  <si>
    <t>CHAPOÑAN MENDOZA LUZ MARIANA</t>
  </si>
  <si>
    <t>ESPECIALISTA LEGAL EN CONTRATACIONES DEL ESTADO</t>
  </si>
  <si>
    <t>09672734</t>
  </si>
  <si>
    <t>CHAVEZ MIRANDA MONICA LUZ</t>
  </si>
  <si>
    <t>AUXILIAR DE PATRIMONIO Y SERVICIOS GENERALES</t>
  </si>
  <si>
    <t>06756204</t>
  </si>
  <si>
    <t>CHERRES VALVERDE EDUARDO</t>
  </si>
  <si>
    <t>Tecnico en Computacion</t>
  </si>
  <si>
    <t>10493901</t>
  </si>
  <si>
    <t>CHINCHIHUALPA MONTES JESUS DANIEL</t>
  </si>
  <si>
    <t>INGENIERO ESPECIALISTA EN DISEÑO DE PLANTAS DE TRATAMIENTO DE AGUA RESIDUAL</t>
  </si>
  <si>
    <t>10348816</t>
  </si>
  <si>
    <t>CHINO IMAN ARTURO AGUSTIN</t>
  </si>
  <si>
    <t>PROFESIONAL ESPECIALISTA EN GESTIÓN POR PROCESOS</t>
  </si>
  <si>
    <t>41351726</t>
  </si>
  <si>
    <t>CISNEROS CUSTODIO CARLOS ALBERTO</t>
  </si>
  <si>
    <t>Ing. Industrial y Sistemas</t>
  </si>
  <si>
    <t>ESPECIALISTA EN ASISTENCIA TÉCNICA EN SANEAMIENTO</t>
  </si>
  <si>
    <t>09654668</t>
  </si>
  <si>
    <t>CLEMENTE NINALAYA TONY RICHARD</t>
  </si>
  <si>
    <t>ESPECIALISTA EN SISTEMA DE AGUA POTABLE</t>
  </si>
  <si>
    <t>10532814</t>
  </si>
  <si>
    <t>CONDORI LUCA LUIS ALFREDO</t>
  </si>
  <si>
    <t>40779059</t>
  </si>
  <si>
    <t>CONDORI SALAS ESTEBAN</t>
  </si>
  <si>
    <t>ESPECIALISTA EN ADMINISTRACIÓN DE CONTRATO DE OBRA</t>
  </si>
  <si>
    <t>10261467</t>
  </si>
  <si>
    <t>CONTRERAS VELASQUEZ JOSE ANTONIO</t>
  </si>
  <si>
    <t>COORDINADOR</t>
  </si>
  <si>
    <t>15867820</t>
  </si>
  <si>
    <t>CORDERO LAOS LIDIA SILVANA</t>
  </si>
  <si>
    <t>08490298</t>
  </si>
  <si>
    <t>CRUZ RAMIREZ GABRIEL ANGEL</t>
  </si>
  <si>
    <t>29691404</t>
  </si>
  <si>
    <t>CUBA BERNEDO CARLOS ALBERTO</t>
  </si>
  <si>
    <t>PROFESIONALES ESPECIALISTAS EN ADMINISTRACIÓN DE CONTRATO DE OBRA DE SANEAMIENTO</t>
  </si>
  <si>
    <t>09629096</t>
  </si>
  <si>
    <t>CUENTAS LEANDRO GILMAR JORGE</t>
  </si>
  <si>
    <t>08131037</t>
  </si>
  <si>
    <t>DE AMAT PEREZ YANET YVONNE</t>
  </si>
  <si>
    <t>Bach en Administracion</t>
  </si>
  <si>
    <t>COORDINADORA DE AREA</t>
  </si>
  <si>
    <t>24005171</t>
  </si>
  <si>
    <t>DE LA CRUZ ARELLANO LIZBETH</t>
  </si>
  <si>
    <t>ESPECIALISTA DE PRESUPUESTO</t>
  </si>
  <si>
    <t>46483182</t>
  </si>
  <si>
    <t>DE LA CRUZ ROJAS PAOLA CINDY</t>
  </si>
  <si>
    <t>41905477</t>
  </si>
  <si>
    <t>DEL AGUILA VELA HAROLD TOBIAS</t>
  </si>
  <si>
    <t>ESPECIALISTA EN TESORERIA</t>
  </si>
  <si>
    <t>10002882</t>
  </si>
  <si>
    <t>DEL ALAMO COLL CARDENAS NILDA</t>
  </si>
  <si>
    <t>Lic. Administracion E.</t>
  </si>
  <si>
    <t>ESPECIALISTA EN EJECUCIÓN Y SUPERVISION DE OBRA</t>
  </si>
  <si>
    <t>07862792</t>
  </si>
  <si>
    <t>DEL RIO COTRINA FERNANDO ENRIQUE</t>
  </si>
  <si>
    <t>ANALISTA II REDES</t>
  </si>
  <si>
    <t>46460955</t>
  </si>
  <si>
    <t>DEL RIO RICCE CESAR MARTIN ROCKY</t>
  </si>
  <si>
    <t>ESPECIALISTA CONTABLE FINANCIERO</t>
  </si>
  <si>
    <t>06285998</t>
  </si>
  <si>
    <t>DEL ROSARIO PANDO JULIA YOLANDA</t>
  </si>
  <si>
    <t>23888221</t>
  </si>
  <si>
    <t>DELGADO OLIVERA HERNAN</t>
  </si>
  <si>
    <t>PROFESIONAL EN INGENIERIA</t>
  </si>
  <si>
    <t>41129092</t>
  </si>
  <si>
    <t>DESTEFANO MOLERO JAVIER ADOLFO</t>
  </si>
  <si>
    <t>ANALISTA EN CONTROL PRESUPUESTAL</t>
  </si>
  <si>
    <t>10810083</t>
  </si>
  <si>
    <t>DIAZ MIRANDA ANA MARIA</t>
  </si>
  <si>
    <t>07842751</t>
  </si>
  <si>
    <t>DIAZ PEDEMONTE MIRIAM NELLY</t>
  </si>
  <si>
    <t>Secretaria</t>
  </si>
  <si>
    <t>ESPECIALISTA EN ESTUDIOS PARA LA REGIÓN AMAZONAS</t>
  </si>
  <si>
    <t>16702568</t>
  </si>
  <si>
    <t>EFFIO CHANAME JOSE LUIS</t>
  </si>
  <si>
    <t>21571608</t>
  </si>
  <si>
    <t>ESCARCENA CANCHARI JOSUE</t>
  </si>
  <si>
    <t>ESPECIALISTA EN ASISTENCIA TÉCNICA CAC LIMA</t>
  </si>
  <si>
    <t>28286842</t>
  </si>
  <si>
    <t>ESCARCENA PURILLA MARCIAL IVAN</t>
  </si>
  <si>
    <t>ANALISTA EN SEGUIMIENTO Y MONITOREO</t>
  </si>
  <si>
    <t>46007547</t>
  </si>
  <si>
    <t>ESPINOZA LAUS VALERIA DEL PILAR</t>
  </si>
  <si>
    <t>Ing. Ambiental</t>
  </si>
  <si>
    <t>71969719</t>
  </si>
  <si>
    <t>ESPINOZA PEÑA ANDREA ESTEFANIA GUADALUPE</t>
  </si>
  <si>
    <t>ninguna</t>
  </si>
  <si>
    <t>41582308</t>
  </si>
  <si>
    <t>ESPINOZA SUMARAN GERARDO HENRY</t>
  </si>
  <si>
    <t>29287843</t>
  </si>
  <si>
    <t>ESQUIA MOROCCO JOSE ROLANDO</t>
  </si>
  <si>
    <t>10379268</t>
  </si>
  <si>
    <t>ESQUICHE BECERRA ELVIRA LIZETH</t>
  </si>
  <si>
    <t>20659826</t>
  </si>
  <si>
    <t>ESTEBAN HILARIO GALDINO RIOS</t>
  </si>
  <si>
    <t>ANALISTA EN CONTRATACIONES</t>
  </si>
  <si>
    <t>09733342</t>
  </si>
  <si>
    <t>ESTRADA MARTINEZ JAQUELINE JOSEFINA</t>
  </si>
  <si>
    <t>ESPECIALISTA DE INGENIERÍA II</t>
  </si>
  <si>
    <t>07071749</t>
  </si>
  <si>
    <t>EURIBE FLORES MARIA CONSUELO</t>
  </si>
  <si>
    <t>42029625</t>
  </si>
  <si>
    <t>FARFAN ORTIZ DE ORUE ELAR</t>
  </si>
  <si>
    <t>40867470</t>
  </si>
  <si>
    <t>FELIPE INCA LEOPOLDO ADOLFO</t>
  </si>
  <si>
    <t>16765361</t>
  </si>
  <si>
    <t>FERNANDEZ AREVALO CESAR AUGUSTO</t>
  </si>
  <si>
    <t>08127074</t>
  </si>
  <si>
    <t>FLORES FIGUEROA CARLOS ANTONIO</t>
  </si>
  <si>
    <t>PROFESIONAL CONTABLE</t>
  </si>
  <si>
    <t>25585052</t>
  </si>
  <si>
    <t>FLORES MONTERO HECTOR</t>
  </si>
  <si>
    <t>08396200</t>
  </si>
  <si>
    <t>FLORES PEREZ GABRIELA FLORA</t>
  </si>
  <si>
    <t>Profesora</t>
  </si>
  <si>
    <t>29395885</t>
  </si>
  <si>
    <t>FLORES VIZCARRA PABLO ROLANDO</t>
  </si>
  <si>
    <t>25003781</t>
  </si>
  <si>
    <t>FRANCO VILLAFUERTE ABEL</t>
  </si>
  <si>
    <t>ESPECIALISTA EN CONTROL PREVIO</t>
  </si>
  <si>
    <t>20068836</t>
  </si>
  <si>
    <t>GALDOS VADILLO YESSENIA GUADALUPE</t>
  </si>
  <si>
    <t>ESPECIALISTA LICITACIONES II</t>
  </si>
  <si>
    <t>23975777</t>
  </si>
  <si>
    <t>GALLARDO DEL CASTILLO JORGE ALFREDO</t>
  </si>
  <si>
    <t>08927956</t>
  </si>
  <si>
    <t>GAMERO CAPCHA EVANGELINA</t>
  </si>
  <si>
    <t>ESPECIALISTA EN MONITOREO PARA LA REGIÓN PIURA</t>
  </si>
  <si>
    <t>02818852</t>
  </si>
  <si>
    <t>GARCIA BENITES ANA MARIA</t>
  </si>
  <si>
    <t>07404045</t>
  </si>
  <si>
    <t>GARCIA QUIROZ FERNANDO ENRIQUE</t>
  </si>
  <si>
    <t>41111415</t>
  </si>
  <si>
    <t>GARIBAY CCOLQUE JORGE ERMES</t>
  </si>
  <si>
    <t>41211713</t>
  </si>
  <si>
    <t>GOMEZ BASAURI LUCIA</t>
  </si>
  <si>
    <t>01126733</t>
  </si>
  <si>
    <t>GOMEZ FASANANDO JARWY ARTURO</t>
  </si>
  <si>
    <t>71254028</t>
  </si>
  <si>
    <t>GOMEZ SOLANO CRISTHIAN MANUEL</t>
  </si>
  <si>
    <t>Bachiller en Historia</t>
  </si>
  <si>
    <t>10239456</t>
  </si>
  <si>
    <t>GONZALES ARMAS JENIFFER HORTENSIA</t>
  </si>
  <si>
    <t>44773832</t>
  </si>
  <si>
    <t>GONZALES MORE FERNANDO</t>
  </si>
  <si>
    <t>40732995</t>
  </si>
  <si>
    <t>GONZALES SANCHEZ LIZ GERALDINE</t>
  </si>
  <si>
    <t>RELACIONISTA PUBLICO</t>
  </si>
  <si>
    <t>44671437</t>
  </si>
  <si>
    <t>GRANDEZ RODRIGUEZ GABRIEL</t>
  </si>
  <si>
    <t>Lic. Administracion de Hotelera y Turismo</t>
  </si>
  <si>
    <t>ESPECIALISTA EN DISEÑO DE SISTEMAS DE REDES DE AGUA POTABLE Y ALCANTARILLADO</t>
  </si>
  <si>
    <t>09829713</t>
  </si>
  <si>
    <t>GUERRA ALVARADO LIVIA LUZ</t>
  </si>
  <si>
    <t>06005794</t>
  </si>
  <si>
    <t>GUERRERO PANTA RODOLFO</t>
  </si>
  <si>
    <t>41121592</t>
  </si>
  <si>
    <t>GUEVARA GUEVARA JESUS ERNESTO</t>
  </si>
  <si>
    <t>05412942</t>
  </si>
  <si>
    <t>GUEVARA PEÑA AUGUSTO</t>
  </si>
  <si>
    <t>ESPECIALISTA II EN TESORERIA</t>
  </si>
  <si>
    <t>08803032</t>
  </si>
  <si>
    <t>GUTIERREZ ALARCON OLGA BEATRIZ</t>
  </si>
  <si>
    <t>ESPECIALISTA EN INGENIERÍA</t>
  </si>
  <si>
    <t>45747220</t>
  </si>
  <si>
    <t>GUTIERREZ CANALES ELIZABETH CARMEN</t>
  </si>
  <si>
    <t>41517544</t>
  </si>
  <si>
    <t>GUTIERREZ IPARRAGUIRRE ISABEL</t>
  </si>
  <si>
    <t>Lic en educacion</t>
  </si>
  <si>
    <t>41624098</t>
  </si>
  <si>
    <t>GUTIERREZ PEÑA JULIANA ROSARIO</t>
  </si>
  <si>
    <t>06742050</t>
  </si>
  <si>
    <t>GUTIERREZ SANDOVAL ANGEL GONZALO</t>
  </si>
  <si>
    <t>Estud.Administracion</t>
  </si>
  <si>
    <t>COORDINADOR DEL AREA DE CONTABILIDAD</t>
  </si>
  <si>
    <t>16596972</t>
  </si>
  <si>
    <t>HERNANDEZ VALDEZ JORGE LUIS</t>
  </si>
  <si>
    <t>09462702</t>
  </si>
  <si>
    <t>HERRERA CASTRO MARCOS EDUARDO</t>
  </si>
  <si>
    <t>32031235</t>
  </si>
  <si>
    <t>HERRERA COPITAN JULIAN MACARIO</t>
  </si>
  <si>
    <t>TECNICO EN TRAMITE DOCUMENTARIO</t>
  </si>
  <si>
    <t>10805792</t>
  </si>
  <si>
    <t>HIDALGO ASCARATE RAQUEL DIANA</t>
  </si>
  <si>
    <t>8vo. Escuela Prof. Historia</t>
  </si>
  <si>
    <t>08598958</t>
  </si>
  <si>
    <t>HIDALGO COLQUICOCHA LUIS ALBERTO</t>
  </si>
  <si>
    <t>ANALISTA DE PRESUPUESTO</t>
  </si>
  <si>
    <t>44778731</t>
  </si>
  <si>
    <t>HORNA LEON CESAR ANDRES</t>
  </si>
  <si>
    <t>ESPECIALISTA SENIOR DE INGENIERÍA</t>
  </si>
  <si>
    <t>07749648</t>
  </si>
  <si>
    <t>HUAMAN BALDEON JOSE LUIS</t>
  </si>
  <si>
    <t>COORDINADOR DE AREA</t>
  </si>
  <si>
    <t>10192019</t>
  </si>
  <si>
    <t>HUAMAN FUERTES FRANZ ABRAHAM</t>
  </si>
  <si>
    <t>ESPECIALISTA DE INGENIERIA II</t>
  </si>
  <si>
    <t>45665997</t>
  </si>
  <si>
    <t>HUAMAN MACHACA BITHER ANDREE</t>
  </si>
  <si>
    <t>45563794</t>
  </si>
  <si>
    <t>HUANCA CUSI JOSE ANTONIO</t>
  </si>
  <si>
    <t>ESPECIALISTA ESTRUCTURAL</t>
  </si>
  <si>
    <t>00495830</t>
  </si>
  <si>
    <t>HUANCA MAMANI JUAN ALFREDO</t>
  </si>
  <si>
    <t>ESPECIALISTA EN LLANTAS DE TRATAMIENTO DE AGUA RESIDUAL</t>
  </si>
  <si>
    <t>HUATAQUISPE VASQUEZ DE GUERRERO MARGOT</t>
  </si>
  <si>
    <t>ESPECIALISTA EN PROYECTOS DE SANEAMIENTO</t>
  </si>
  <si>
    <t>70455574</t>
  </si>
  <si>
    <t>HUERTA RAMIREZ ADRIAN ARMANDO</t>
  </si>
  <si>
    <t>07778344</t>
  </si>
  <si>
    <t>HUGO NEYRA VICTOR WILLY</t>
  </si>
  <si>
    <t>08466441</t>
  </si>
  <si>
    <t>HURTADO CAMAYOC JAMES CARLOS LUIS</t>
  </si>
  <si>
    <t>ESPECIALISTA ELECTROMECÁNICA Y AUTOMATIZACION</t>
  </si>
  <si>
    <t>16736339</t>
  </si>
  <si>
    <t>HURTADO GUERRERO ALDO MAURICIO</t>
  </si>
  <si>
    <t>Ing. Mecanico Electrico</t>
  </si>
  <si>
    <t>ESPECIALISTA EN ESTUDIOS PARA LA REGIÓN TUMBES</t>
  </si>
  <si>
    <t>41612095</t>
  </si>
  <si>
    <t>INFANTES PAREDES LUIS ARMANDO</t>
  </si>
  <si>
    <t>40391377</t>
  </si>
  <si>
    <t>JACOME FERNANDEZ VLADIMIR LENIN</t>
  </si>
  <si>
    <t>ESPECIALISTA SANITARIO I</t>
  </si>
  <si>
    <t>41195527</t>
  </si>
  <si>
    <t>JANAMPA TORRES WILLIAM RAUL</t>
  </si>
  <si>
    <t>ESPECIALISTA SENIOR OBRAS PARALIZADAS</t>
  </si>
  <si>
    <t>07638911</t>
  </si>
  <si>
    <t>JIMENEZ BORDA NATILDINA DIONISIA</t>
  </si>
  <si>
    <t>41580832</t>
  </si>
  <si>
    <t>JIMENEZ CAYO EDER GUZMAN</t>
  </si>
  <si>
    <t>ESPECIALISTA EN COSTOS Y PRESUPUESTOS</t>
  </si>
  <si>
    <t>20594585</t>
  </si>
  <si>
    <t>JURADO CABEZAS JUAN RUPERTO</t>
  </si>
  <si>
    <t>42595533</t>
  </si>
  <si>
    <t>JUSCAMAITA ARTEAGA VICTOR JOSUE</t>
  </si>
  <si>
    <t>40514259</t>
  </si>
  <si>
    <t>LAZA MALPARTIDA MONICA IVETTE</t>
  </si>
  <si>
    <t>Secretariado Gerencial</t>
  </si>
  <si>
    <t>41478341</t>
  </si>
  <si>
    <t>LAZARTE SCHIAPPACASSE FRANCO FELIX</t>
  </si>
  <si>
    <t>ANALISTA DE RECURSOS HUMANOS</t>
  </si>
  <si>
    <t>10643025</t>
  </si>
  <si>
    <t>LEANDRO MELGAREJO RAUL SANTOS</t>
  </si>
  <si>
    <t>43143708</t>
  </si>
  <si>
    <t>LEON ALVAREZ DANIEL ENRRIQUE</t>
  </si>
  <si>
    <t>PROFESIONAL ESPECIALISTA EN ADMINISTRACIÓN DE CONTRATO DE OBRA DE SANEAMIENTO</t>
  </si>
  <si>
    <t>08581066</t>
  </si>
  <si>
    <t>LEON LAPA ROBERTO</t>
  </si>
  <si>
    <t>PROFESIONAL ESPECIALISTA LEGAL EN SEGUIMIENTO DE CONVENIOS Y PROYECTOS</t>
  </si>
  <si>
    <t>09371317</t>
  </si>
  <si>
    <t>LINARES TEJADA MARIA LOURDES</t>
  </si>
  <si>
    <t>ANALISTA JUNIOR EN MESA DE AYUDA</t>
  </si>
  <si>
    <t>40989408</t>
  </si>
  <si>
    <t>LIZA QUISPE ENRIQUE SALVADOR</t>
  </si>
  <si>
    <t>Bach. Ingenieria Sist. e Informatica</t>
  </si>
  <si>
    <t>ANALISTA CONTABLE</t>
  </si>
  <si>
    <t>71638474</t>
  </si>
  <si>
    <t>LLAXA SALAZAR CAROLINA</t>
  </si>
  <si>
    <t>Bachiller en Contabilidad</t>
  </si>
  <si>
    <t>ESPECIALISTA DE CONVENIO NER</t>
  </si>
  <si>
    <t>10266499</t>
  </si>
  <si>
    <t>LOAYZA MADARIAGA CLEVER</t>
  </si>
  <si>
    <t>ADMINISTRADOR DE CONTRATO SENIOR</t>
  </si>
  <si>
    <t>21886305</t>
  </si>
  <si>
    <t>LOPEZ BENAVIDES AMARU</t>
  </si>
  <si>
    <t>40075565</t>
  </si>
  <si>
    <t>LOPEZ FLORES DANIEL FRANCISCO</t>
  </si>
  <si>
    <t>42786969</t>
  </si>
  <si>
    <t>LOPEZ MAUTINO MARCO EDSON</t>
  </si>
  <si>
    <t>ESPECIALISTA MECANICO</t>
  </si>
  <si>
    <t>01319208</t>
  </si>
  <si>
    <t>LOZA URRETA JUAN BAUTISTA</t>
  </si>
  <si>
    <t>Ing. Mecanico</t>
  </si>
  <si>
    <t>45145271</t>
  </si>
  <si>
    <t>LUCERO HUAMAN HOMER MANASES</t>
  </si>
  <si>
    <t>08394482</t>
  </si>
  <si>
    <t>LUJAN ACUÑA LIONEL FERNANDO</t>
  </si>
  <si>
    <t>23874151</t>
  </si>
  <si>
    <t>LUNA LOAYZA CARLOS</t>
  </si>
  <si>
    <t>22762605</t>
  </si>
  <si>
    <t>MALLQUI ESTACIO DANIEL</t>
  </si>
  <si>
    <t>29385486</t>
  </si>
  <si>
    <t>MAMANI MAMANI EDUARDO</t>
  </si>
  <si>
    <t>16525427</t>
  </si>
  <si>
    <t>MANAYALLE MANAY BILLY ULISES</t>
  </si>
  <si>
    <t>44125799</t>
  </si>
  <si>
    <t>MANRIQUE MENDIETA MELISSA FIORELLA</t>
  </si>
  <si>
    <t>ANALISTA EN GESTIÓN DOCUMENTARÍA Y ARCHIVO</t>
  </si>
  <si>
    <t>46096276</t>
  </si>
  <si>
    <t>MARTEL AYLLON DE ASTO ROSA ELVIRA</t>
  </si>
  <si>
    <t>PROFESIONAL ESPECIALISTA EN FORMULACION DE ESTUDIOS DE IMPACTO AMBIENTAL</t>
  </si>
  <si>
    <t>10735573</t>
  </si>
  <si>
    <t>MARTINEZ GOMEZ ANASTACIO</t>
  </si>
  <si>
    <t>Ing. Ambientaly Recursos Naturales</t>
  </si>
  <si>
    <t>ESPECIALISTA DE ESTUDIOS Y MONITOREO</t>
  </si>
  <si>
    <t>10135615</t>
  </si>
  <si>
    <t>MARTINEZ NUÑEZ JUAN JOSE</t>
  </si>
  <si>
    <t>ESPECIALISTA LEGAL EN CONTRATACIONES</t>
  </si>
  <si>
    <t>46482425</t>
  </si>
  <si>
    <t>MATEO LA TORRE MARIO ABRAHAM</t>
  </si>
  <si>
    <t>RESPONSABLE DE LA UNIDAD DE ADMINISTRACION</t>
  </si>
  <si>
    <t>07713334</t>
  </si>
  <si>
    <t>MEDINA BEDOYA RONALD HUMBERTO</t>
  </si>
  <si>
    <t>10550924</t>
  </si>
  <si>
    <t>MEDINA CABRERA CESAR AUGUSTO</t>
  </si>
  <si>
    <t>PROFESIONAL ESTADISTICO</t>
  </si>
  <si>
    <t>07344918</t>
  </si>
  <si>
    <t>MEDINA RISCO CESAR LEONARDO</t>
  </si>
  <si>
    <t>Ing. Estadistica</t>
  </si>
  <si>
    <t>44137754</t>
  </si>
  <si>
    <t>MELGAREJO GASPAR FLORCITA MARIA</t>
  </si>
  <si>
    <t>06746032</t>
  </si>
  <si>
    <t>MENDOZA MENDOZA MIGUEL ANTONIO</t>
  </si>
  <si>
    <t>ESPECIALISTA II EN SANEAMIENTO FÍSICO LEGAL</t>
  </si>
  <si>
    <t>40840244</t>
  </si>
  <si>
    <t>MERCADO SANCHEZ RENATO ALONSO</t>
  </si>
  <si>
    <t>16736475</t>
  </si>
  <si>
    <t>MERCEDES TELLO MARCO DOMICHELLI</t>
  </si>
  <si>
    <t>ESPECIALISTA EN GESTIÓN DE RIEGOS DE DESASTRES</t>
  </si>
  <si>
    <t>43492157</t>
  </si>
  <si>
    <t>MEZA CERNA HOEL MAXIMO</t>
  </si>
  <si>
    <t>PROFESIONALES ESPECIALISTAS EN FORMULACIÓN DE PROYECTOS DE INVERSIÓN PÚBLICA</t>
  </si>
  <si>
    <t>09689652</t>
  </si>
  <si>
    <t>MEZA ESPINOZA SOLEDAD EDDY</t>
  </si>
  <si>
    <t>26622790</t>
  </si>
  <si>
    <t>MINCHAN PAJARES JOSE HILDEBRANDO</t>
  </si>
  <si>
    <t>45487784</t>
  </si>
  <si>
    <t>MIRANDA LUYO GIAN MARCOS PEDRO</t>
  </si>
  <si>
    <t>22511239</t>
  </si>
  <si>
    <t>MODESTO RIVERA JOSE MANUEL</t>
  </si>
  <si>
    <t>Lic.Psicologia</t>
  </si>
  <si>
    <t>07374218</t>
  </si>
  <si>
    <t>MOLINA MENDOZA HECTOR</t>
  </si>
  <si>
    <t>41983669</t>
  </si>
  <si>
    <t>MOLINA QUIZA WILFREDO</t>
  </si>
  <si>
    <t>ANALISTA DE OBRAS PARALIZADAS</t>
  </si>
  <si>
    <t>46865807</t>
  </si>
  <si>
    <t>MONTALVO RUIZ ALICIA ESTHER</t>
  </si>
  <si>
    <t>08692198</t>
  </si>
  <si>
    <t>MORALES LLERENA FELIX MARTIN</t>
  </si>
  <si>
    <t>10035297</t>
  </si>
  <si>
    <t>MORAN ACUÑA JORGE ANTONIO</t>
  </si>
  <si>
    <t>ESPECIALISTA EN SEGUIMIENTO Y ANALISIS</t>
  </si>
  <si>
    <t>09859053</t>
  </si>
  <si>
    <t>MORENO DIAZ FIDEL HJALMAR</t>
  </si>
  <si>
    <t>ASISTENTE DE ARCHIVO</t>
  </si>
  <si>
    <t>25516852</t>
  </si>
  <si>
    <t>MORENO PUCA ALVINO</t>
  </si>
  <si>
    <t>8 Ciclo Contabilidad</t>
  </si>
  <si>
    <t>ESPECIALISTA SENIOR</t>
  </si>
  <si>
    <t>16673189</t>
  </si>
  <si>
    <t>MORI QUIROZ DENNISS</t>
  </si>
  <si>
    <t>16631709</t>
  </si>
  <si>
    <t>MUÑOZ DELGADO WALTER JAVIER</t>
  </si>
  <si>
    <t>ESPECIALISTA EN TRATAMIENTO Y REUSO DE AGUAS RESIDUALES</t>
  </si>
  <si>
    <t>PROFESIONAL ESPECIALISTA EN ADMINISTRACION DE PROYECTOS DE INVERSION PUBLICA</t>
  </si>
  <si>
    <t>07289029</t>
  </si>
  <si>
    <t>MUÑOZ PAREDES CARMEN ROSA</t>
  </si>
  <si>
    <t>40712454</t>
  </si>
  <si>
    <t>NAJARRO ROJAS JULIO</t>
  </si>
  <si>
    <t>ESPECIALISTA EN ESTUDIOS Y MONITOREO</t>
  </si>
  <si>
    <t>40923778</t>
  </si>
  <si>
    <t>NIÑO FERNANDEZ LUIS BALTAZAR</t>
  </si>
  <si>
    <t>42048301</t>
  </si>
  <si>
    <t>NORABUENA SEGOVIA GICELL MILAGROS</t>
  </si>
  <si>
    <t>ESPECIALISTA EN SISTEMAS DE AGUA POTABLE</t>
  </si>
  <si>
    <t>06761559</t>
  </si>
  <si>
    <t>NUÑEZ ALFARO CARLOS JAVIER</t>
  </si>
  <si>
    <t>ESPECIALISTA EN MECÁNICA DE SUELOS</t>
  </si>
  <si>
    <t>40144130</t>
  </si>
  <si>
    <t>OCAÑA MEJIA RENATO</t>
  </si>
  <si>
    <t>18857853</t>
  </si>
  <si>
    <t>OCAS OCAS VICTOR</t>
  </si>
  <si>
    <t>21432985</t>
  </si>
  <si>
    <t>OLAECHEA GAMEROS YSAIAS CESAR</t>
  </si>
  <si>
    <t>40594996</t>
  </si>
  <si>
    <t>OLIVARES JIMENEZ SUSANA EDITH</t>
  </si>
  <si>
    <t>ASESOR TÉCNICO DIRECCIÓN EJECUTIVA</t>
  </si>
  <si>
    <t>10621329</t>
  </si>
  <si>
    <t>ORELLANA COZ BETSABE MURIEL</t>
  </si>
  <si>
    <t>ASISTENTE DMINISTRATIVO</t>
  </si>
  <si>
    <t>40555607</t>
  </si>
  <si>
    <t>ORMACHEA INOCENTE YOLANDA</t>
  </si>
  <si>
    <t>ESPECIALISTA EN ESTUDIOS PARA LA REGIÓN CUSCO</t>
  </si>
  <si>
    <t>42276981</t>
  </si>
  <si>
    <t>ORMACHEA ZANABRIA IVAN</t>
  </si>
  <si>
    <t>07180215</t>
  </si>
  <si>
    <t>ORTIZ RODRIGUEZ JAVIER HERNAN</t>
  </si>
  <si>
    <t>43674515</t>
  </si>
  <si>
    <t>OSCANOA SANCHEZ PETER YOEL</t>
  </si>
  <si>
    <t>Tec.Computacion</t>
  </si>
  <si>
    <t>PROFESIONAL ESPECIALISTA EN COSTOS Y PRESUPUESTOS</t>
  </si>
  <si>
    <t>06749148</t>
  </si>
  <si>
    <t>OSORES SOPLOPUCO ROBERTO ERIC</t>
  </si>
  <si>
    <t>07724108</t>
  </si>
  <si>
    <t>PACHAS LOZANO LIZANDRO MIGUEL</t>
  </si>
  <si>
    <t>21551998</t>
  </si>
  <si>
    <t>PACO CHIPANA WILLIAM</t>
  </si>
  <si>
    <t>43797574</t>
  </si>
  <si>
    <t>PADILLA ALMEYDA ABEL</t>
  </si>
  <si>
    <t>ESPECIALISTA EN PRESUPUESTO Y MONITOREO</t>
  </si>
  <si>
    <t>09432928</t>
  </si>
  <si>
    <t>PAJUELO PADILLA MIGUEL ANGEL</t>
  </si>
  <si>
    <t>08174785</t>
  </si>
  <si>
    <t>PALACIOS YABAR BORIS IBO</t>
  </si>
  <si>
    <t>PROFESIONAL ESPECIALISTA EN EVALUACION DE PROYECTOS</t>
  </si>
  <si>
    <t>41849524</t>
  </si>
  <si>
    <t>PALOMINO TINOCO CARMEN AMALIA</t>
  </si>
  <si>
    <t>41530530</t>
  </si>
  <si>
    <t>PARCO SOSA RICARDO MARIO</t>
  </si>
  <si>
    <t>ESPECIALISTA EN OBRAS DE NÚCLEOS EJECUTORES</t>
  </si>
  <si>
    <t>40703382</t>
  </si>
  <si>
    <t>PAREDES ALARCON PAUL ROBINSON</t>
  </si>
  <si>
    <t>ESPECIALISTA GESTIÓN PROCESOS MOD</t>
  </si>
  <si>
    <t>10139782</t>
  </si>
  <si>
    <t>PAREDES HINOJOSA RAUL GILBERTO</t>
  </si>
  <si>
    <t>PROFESIONAL ESPECIALISTA EN FORMULACIÓN Y GESTIÓN DE PROYECTOS DE INVERSIÓN PÚBLICA</t>
  </si>
  <si>
    <t>08195312</t>
  </si>
  <si>
    <t>PAREDES KURIYAMA JOSE MANUEL</t>
  </si>
  <si>
    <t>09466005</t>
  </si>
  <si>
    <t>PARRAGA CARDENAS EDILBERTO</t>
  </si>
  <si>
    <t>Ing. Agricola</t>
  </si>
  <si>
    <t>43311414</t>
  </si>
  <si>
    <t>PATIÑO MENDOZA CARMEN</t>
  </si>
  <si>
    <t>PROCESAMIENTO DE INFORMACION</t>
  </si>
  <si>
    <t>71003252</t>
  </si>
  <si>
    <t>PAYTAN ORDOÑEZ DANNY DINOV</t>
  </si>
  <si>
    <t>Bachiller Ing. Sanit</t>
  </si>
  <si>
    <t>21485932</t>
  </si>
  <si>
    <t>PAYTAN ROCA RAFAEL HECTOR</t>
  </si>
  <si>
    <t>44656752</t>
  </si>
  <si>
    <t>PEDRAZA MILLIO ZENAIDA</t>
  </si>
  <si>
    <t>Bach. Economia</t>
  </si>
  <si>
    <t>07455748</t>
  </si>
  <si>
    <t>PEDRESCHI PLASENCIA ROBERTO CARLOS</t>
  </si>
  <si>
    <t>20080637</t>
  </si>
  <si>
    <t>PEÑA ORREGO EDUARDO FLORENTINO</t>
  </si>
  <si>
    <t>01314501</t>
  </si>
  <si>
    <t>PEÑARANDA PACHO RICHARD HENRY</t>
  </si>
  <si>
    <t>ESPECIALISTA EN ESTUDIOS PARA LA REGIÓN UCAYALI</t>
  </si>
  <si>
    <t>27168314</t>
  </si>
  <si>
    <t>PEREZ SAGASTEGUI JORGE</t>
  </si>
  <si>
    <t>43118751</t>
  </si>
  <si>
    <t>PEREZ SANTA CRUZ STALIN ABRAHAM</t>
  </si>
  <si>
    <t>40112635</t>
  </si>
  <si>
    <t>PEREZ SAYAVERDE ALEX JOSE</t>
  </si>
  <si>
    <t>24468814</t>
  </si>
  <si>
    <t>PEZO DIAZ MARTIN</t>
  </si>
  <si>
    <t>10153817</t>
  </si>
  <si>
    <t>PICOY INOCENTE IVAN MOISES</t>
  </si>
  <si>
    <t>Estud.Computacion</t>
  </si>
  <si>
    <t>10042465</t>
  </si>
  <si>
    <t>PINAO ATANACIO ANTIDIO WILMER</t>
  </si>
  <si>
    <t>72038938</t>
  </si>
  <si>
    <t>PINEDO REYES MIGUEL ANGEL</t>
  </si>
  <si>
    <t>18208404</t>
  </si>
  <si>
    <t>POMA DIAZ GUILLERMO</t>
  </si>
  <si>
    <t>ANALISTA DE SANEAMIENTO DE TERRENOS</t>
  </si>
  <si>
    <t>42287859</t>
  </si>
  <si>
    <t>PUPUCHE CARRANZA JHONATHAN GENARO</t>
  </si>
  <si>
    <t>42658096</t>
  </si>
  <si>
    <t>QUINTANILLA AYCA GAUDY EDITH</t>
  </si>
  <si>
    <t>43047775</t>
  </si>
  <si>
    <t>QUINTANILLA MENDOZA CARLOS ARTURO</t>
  </si>
  <si>
    <t>COORDINADOR DEL AREA DE ABASTECIMIENTO Y CONTROL PATRIMONIAL</t>
  </si>
  <si>
    <t>41486759</t>
  </si>
  <si>
    <t>QUIROZ YERREN CARMEN GISSELLY</t>
  </si>
  <si>
    <t>Ing. Informatico y de Sistemas</t>
  </si>
  <si>
    <t>PROFESIONAL EN DERECHO</t>
  </si>
  <si>
    <t>09915806</t>
  </si>
  <si>
    <t>QUISPE ARONES WILMER</t>
  </si>
  <si>
    <t>46603570</t>
  </si>
  <si>
    <t>QUISPE HUAYLLA SHIRLEY</t>
  </si>
  <si>
    <t>Ing. Ambiental y Sanitario</t>
  </si>
  <si>
    <t>44284745</t>
  </si>
  <si>
    <t>QUISPE LIVISI JUAN ALONSO</t>
  </si>
  <si>
    <t>ESPECIALISTA EN LIQUIDACIÓN DE OBRAS</t>
  </si>
  <si>
    <t>44143923</t>
  </si>
  <si>
    <t>QUISPE LOPEZ JOSE MIGUEL</t>
  </si>
  <si>
    <t>29496585</t>
  </si>
  <si>
    <t>QUISPITUPAC SOTO ANGEL AMERICO</t>
  </si>
  <si>
    <t>40448864</t>
  </si>
  <si>
    <t>RAMAL CAMPOMANES PEDRO MANUEL</t>
  </si>
  <si>
    <t>Ing. Administrativa</t>
  </si>
  <si>
    <t>41296534</t>
  </si>
  <si>
    <t>RAMIREZ TORRES MIGUEL ANGEL</t>
  </si>
  <si>
    <t>30837500</t>
  </si>
  <si>
    <t>RAMOS ZAMBRANO RAUL ALEXANDER</t>
  </si>
  <si>
    <t>07022343</t>
  </si>
  <si>
    <t>RETAMOZO ARRIETA LUIS</t>
  </si>
  <si>
    <t>09258451</t>
  </si>
  <si>
    <t>REYNOSO RODRIGUEZ JOSE ANTONIO</t>
  </si>
  <si>
    <t>26690851</t>
  </si>
  <si>
    <t>RIMARACHIN CABRERA SEGUNDO VIRGILIO</t>
  </si>
  <si>
    <t>ESPECIALISTA ASISTENCIA TÉCNICA OBRAS PARALIZADAS</t>
  </si>
  <si>
    <t>03564488</t>
  </si>
  <si>
    <t>RIOS LABRIN MARTIN</t>
  </si>
  <si>
    <t>09658274</t>
  </si>
  <si>
    <t>RIVERA CHUNGA EDWARD RICARDO</t>
  </si>
  <si>
    <t>LIQUIDADOR - HUARMACA</t>
  </si>
  <si>
    <t>00369206</t>
  </si>
  <si>
    <t>RIVERA ESPINOZA ALEJANDRO</t>
  </si>
  <si>
    <t>ESPECIALISTA I EN GESTIÓN DE PROYECTOS</t>
  </si>
  <si>
    <t>06608961</t>
  </si>
  <si>
    <t>ROBLES MORI MERCEDES CARMEN</t>
  </si>
  <si>
    <t>ESPECIALISTA EN SANEAMIENTO FÍSICO LEGAL</t>
  </si>
  <si>
    <t>09067134</t>
  </si>
  <si>
    <t>ROBLES MORI MYRIAM PATRICIA</t>
  </si>
  <si>
    <t>07590545</t>
  </si>
  <si>
    <t>RODRIGUEZ CAJAVILCA ELA JESUS</t>
  </si>
  <si>
    <t>ASESOR</t>
  </si>
  <si>
    <t>08124775</t>
  </si>
  <si>
    <t>RODRIGUEZ MOTA HERNAN ALFREDO</t>
  </si>
  <si>
    <t>COORDINADOR DE PRESUPUESTO</t>
  </si>
  <si>
    <t>09597126</t>
  </si>
  <si>
    <t>RODRIGUEZ NEGRON GERARDO EGBERTO</t>
  </si>
  <si>
    <t>ESPECIALISTA EN GESTIÓN POR PROCESOS Y MODERNIZACIÓN</t>
  </si>
  <si>
    <t>32961403</t>
  </si>
  <si>
    <t>RODRIGUEZ RIVADENEIRA JOHN WILFREDO</t>
  </si>
  <si>
    <t>25634949</t>
  </si>
  <si>
    <t>ROJAS OVALLE VLADIMIR DAVID</t>
  </si>
  <si>
    <t>10216711</t>
  </si>
  <si>
    <t>ROLDAN SALAZAR CARLOS ALBERTO</t>
  </si>
  <si>
    <t>06163808</t>
  </si>
  <si>
    <t>ROMERO RABI CESAR AUGUSTO</t>
  </si>
  <si>
    <t>09257159</t>
  </si>
  <si>
    <t>ROSPIGLIOSI MORAZZANI BETTY GRACIELA</t>
  </si>
  <si>
    <t>09542325</t>
  </si>
  <si>
    <t>SAENZ LOPEZ RODOLFO ARMANDO</t>
  </si>
  <si>
    <t>Ing. Sistemas</t>
  </si>
  <si>
    <t>18070441</t>
  </si>
  <si>
    <t>SALCEDO CRUZ DANNY RICHARD</t>
  </si>
  <si>
    <t>28292007</t>
  </si>
  <si>
    <t>SALCEDO MALDONADO JUVENAL</t>
  </si>
  <si>
    <t>08121192</t>
  </si>
  <si>
    <t>SALVADOR DE LA CRUZ JORGE LUIS</t>
  </si>
  <si>
    <t>ESPECIALISTA EN PROGRAMAS Y PROYECTOS DE TRATAMIENTO DE AGUAS RESIDUALES</t>
  </si>
  <si>
    <t>41212576</t>
  </si>
  <si>
    <t>SANCHEZ ANDERSON MIGUEL</t>
  </si>
  <si>
    <t>ESPECIALISTA EN CONTROL ADMINISTRATIVO</t>
  </si>
  <si>
    <t>46690977</t>
  </si>
  <si>
    <t>SANCHEZ CANDELA RAUL ARMANDO</t>
  </si>
  <si>
    <t>40781378</t>
  </si>
  <si>
    <t>SANCHEZ DEDIOS LUIS ALONSO</t>
  </si>
  <si>
    <t>Ing. Mecanico-Electrico</t>
  </si>
  <si>
    <t>41138283</t>
  </si>
  <si>
    <t>SANCHEZ MARIN ELSA MAIBEE</t>
  </si>
  <si>
    <t>DIBUJANTE CADISTA</t>
  </si>
  <si>
    <t>25717340</t>
  </si>
  <si>
    <t>SANCHEZ QUILLA EDGAR VICENTE</t>
  </si>
  <si>
    <t>Tec.Construccion Civil</t>
  </si>
  <si>
    <t>16474935</t>
  </si>
  <si>
    <t>SANCHEZ VILLANUEVA MAXIMILIANO JESUS</t>
  </si>
  <si>
    <t>27042731</t>
  </si>
  <si>
    <t>SANCHEZ ZUMARAN CESAR ADOLFO</t>
  </si>
  <si>
    <t>07974960</t>
  </si>
  <si>
    <t>SANTIAGO HUAMAN GODOY OSCAR</t>
  </si>
  <si>
    <t>ESPECIALISTA SENIOR DE PRESUPUESTO</t>
  </si>
  <si>
    <t>09900524</t>
  </si>
  <si>
    <t>SANTOS CURO JORGE LUIS</t>
  </si>
  <si>
    <t>PROFESIONAL JUNIOR EN ADMINISTRACIÓN DE CONTRATO DE OBRA DE SANEAMIENTO</t>
  </si>
  <si>
    <t>42042565</t>
  </si>
  <si>
    <t>SANTOS SOTO FRANKLIN EMERSON</t>
  </si>
  <si>
    <t>ESPECIALISTA EN GESTIÓN PUBLICA Y DERECHO ADMINISTRATIVO</t>
  </si>
  <si>
    <t>10736083</t>
  </si>
  <si>
    <t>SEMPERTEGUI POLO LUIS ALBERTO</t>
  </si>
  <si>
    <t>ANALISTA EN PLANEAMIENTO Y PROCESOS ESTADÍSTICOS</t>
  </si>
  <si>
    <t>10043498</t>
  </si>
  <si>
    <t>SERNA JHERRY LUIS ENRIQUE</t>
  </si>
  <si>
    <t>70668780</t>
  </si>
  <si>
    <t>SERQUEN SALAS JUDIT ESTER</t>
  </si>
  <si>
    <t>Bachiller en Psicologia</t>
  </si>
  <si>
    <t>26619701</t>
  </si>
  <si>
    <t>SERRANO MORENO ROBERTO MALCOM</t>
  </si>
  <si>
    <t>PROFESIONAL ESPECIALISTA EN GESTIÓN DE PROYECTOS DE AGUA Y SANEAMIENTO</t>
  </si>
  <si>
    <t>07522107</t>
  </si>
  <si>
    <t>SILUPU ALVARADO SARA EDITH</t>
  </si>
  <si>
    <t>41210671</t>
  </si>
  <si>
    <t>SILUPU GUINEA CARLOS MIGUEL</t>
  </si>
  <si>
    <t>ESPECIALISTA EN CONTROL PATRIMONIAL</t>
  </si>
  <si>
    <t>09555945</t>
  </si>
  <si>
    <t>SILVA ESCALANTE VICENTE MAURO</t>
  </si>
  <si>
    <t>Administrador de Empresas</t>
  </si>
  <si>
    <t>72644882</t>
  </si>
  <si>
    <t>SILVA SENADOR LUIS ENRIQUE</t>
  </si>
  <si>
    <t>09475638</t>
  </si>
  <si>
    <t>SIMION TAPIA AYDE MERCEDES</t>
  </si>
  <si>
    <t>10093104</t>
  </si>
  <si>
    <t>SOCOLA INGA DE PAZ SARA MELVA</t>
  </si>
  <si>
    <t>Secretariado</t>
  </si>
  <si>
    <t>07475083</t>
  </si>
  <si>
    <t>SOLIS GOZAR VILMA NANCY</t>
  </si>
  <si>
    <t>08116071</t>
  </si>
  <si>
    <t>SOLIS VELEZ JUAN MANUEL</t>
  </si>
  <si>
    <t>ESPECIALISTA EN ASISTENCIA TÉCNICA PARA LA REGIÓN LA LIBERTAD</t>
  </si>
  <si>
    <t>72029876</t>
  </si>
  <si>
    <t>SOLORZANO ESPARZA MILTON ALEJANDRO</t>
  </si>
  <si>
    <t>ESPECIALISTA EN ASISTENCIA TÉCNICA PARA LA REGIÓN LAMBAYEQUE</t>
  </si>
  <si>
    <t>17525790</t>
  </si>
  <si>
    <t>SOSA TEMOCHE JUAN</t>
  </si>
  <si>
    <t>08803746</t>
  </si>
  <si>
    <t>SOSAYA VARGAS DE CANEPA SILVIA SOLEDAD</t>
  </si>
  <si>
    <t>ESPECIALISTA EN REDES DE AGUA POTABLE Y ALCANTARILLADO</t>
  </si>
  <si>
    <t>42916548</t>
  </si>
  <si>
    <t>SOTELO PACHACAMA GIANCARLO EDISSON</t>
  </si>
  <si>
    <t>ESPECIALISTA EN PROGRAMACIÓN LOGÍSTICA</t>
  </si>
  <si>
    <t>46303318</t>
  </si>
  <si>
    <t>SOTO BERNAL MARCO ANTONIO</t>
  </si>
  <si>
    <t>00062778</t>
  </si>
  <si>
    <t>SOUZA SANCHEZ JULIO SEGUNDO</t>
  </si>
  <si>
    <t>ESPECIALISTA EN MONITOREO PARA LA EJECUCIÓN DE PROYECTOS</t>
  </si>
  <si>
    <t>45926206</t>
  </si>
  <si>
    <t>SUAREZ JANAMPA HENRY ANDRE</t>
  </si>
  <si>
    <t>ANALISTA EN PLANEAMIENTO</t>
  </si>
  <si>
    <t>43134205</t>
  </si>
  <si>
    <t>SUAREZ MOLINA JAVIER</t>
  </si>
  <si>
    <t>ANALISTA EN SANEAMIENTO DE REDES DE AGUA Y ALCANTARILLADO</t>
  </si>
  <si>
    <t>72177320</t>
  </si>
  <si>
    <t>SULLCA ARAPA EDER RAFAEL</t>
  </si>
  <si>
    <t>ESPECIALISTA EN REDES Y SEGURIDAD INFORMATICA</t>
  </si>
  <si>
    <t>42975771</t>
  </si>
  <si>
    <t>TABOADA FERNANDEZ FERNANDO DAVID</t>
  </si>
  <si>
    <t>Ing. En Computación e Informática</t>
  </si>
  <si>
    <t>06057672</t>
  </si>
  <si>
    <t>TARMEÑO BERNUY PEDRO ESTEBAN</t>
  </si>
  <si>
    <t>80549130</t>
  </si>
  <si>
    <t>TEMOCHE PECHE JOSE AGUSTIN</t>
  </si>
  <si>
    <t>RESPONSABLE DE LA UNIDAD DE PROYECTOS</t>
  </si>
  <si>
    <t>ESPECIALISTA I EN GESTIÓN DE RIESGO DE DESASTRE</t>
  </si>
  <si>
    <t>09315064</t>
  </si>
  <si>
    <t>TICSE LIVIA ALEJANDRO ISAIAS</t>
  </si>
  <si>
    <t>ANALISTA I - TÉCNICO SANEAMIENTO FÍSICO LEGAL DE PREDIOS Y SERVIDUMBRES</t>
  </si>
  <si>
    <t>40237551</t>
  </si>
  <si>
    <t>TIMOTEO JAIMES WILLDER PIERO</t>
  </si>
  <si>
    <t>Ing. Geografo</t>
  </si>
  <si>
    <t>40811231</t>
  </si>
  <si>
    <t>TIPIANI RODRIGUEZ HUMBERTO GUSTAVO</t>
  </si>
  <si>
    <t>Ing.Mecanico de Fluidos</t>
  </si>
  <si>
    <t>RESPONSABLE DE COORDINACIÓN TÉCNICA</t>
  </si>
  <si>
    <t>06165117</t>
  </si>
  <si>
    <t>TOLEDO QUIÑONEZ FREDDY JULIAN</t>
  </si>
  <si>
    <t>LIQUIDADOR</t>
  </si>
  <si>
    <t>22508337</t>
  </si>
  <si>
    <t>TOLENTINO LEON ZENAIDA GLADIS</t>
  </si>
  <si>
    <t>16016313</t>
  </si>
  <si>
    <t>TORRE GONZALES MARIO ABELARDO</t>
  </si>
  <si>
    <t>28290413</t>
  </si>
  <si>
    <t>TORRES ALTAMIRANO GIOVANNA</t>
  </si>
  <si>
    <t>ESPECIALISTA EN INGENIERÍA SANITARIA</t>
  </si>
  <si>
    <t>44601854</t>
  </si>
  <si>
    <t>TORRES CABELLO SHIRLEY YESSENIA</t>
  </si>
  <si>
    <t>72892987</t>
  </si>
  <si>
    <t>TORRES HURTADO CHRISTIAN ALFONSO</t>
  </si>
  <si>
    <t>ESPECIALISTA TÉCNICO PARA PROCESOS DE SELECCIÓN</t>
  </si>
  <si>
    <t>06194215</t>
  </si>
  <si>
    <t>TORRES MATOS LAURA ALEJANDRINA</t>
  </si>
  <si>
    <t>PROFESIONAL EN CONTABILIDAD</t>
  </si>
  <si>
    <t>29486101</t>
  </si>
  <si>
    <t>TORRES MENDOZA NELIDA LUPE</t>
  </si>
  <si>
    <t>01110031</t>
  </si>
  <si>
    <t>TORRES VILLACORTA NIXON AMADEO</t>
  </si>
  <si>
    <t>01307033</t>
  </si>
  <si>
    <t>TUMI FIGUEROA EDGARDO</t>
  </si>
  <si>
    <t>ESPECIALISTA LEGAL DE OBRAS PARALIZADAS</t>
  </si>
  <si>
    <t>10159473</t>
  </si>
  <si>
    <t>URBANO MALASQUEZ RAFAEL MANUEL</t>
  </si>
  <si>
    <t>06664995</t>
  </si>
  <si>
    <t>URBINA ARIAS PABLO SILVERIO</t>
  </si>
  <si>
    <t>ESPECIALISTA PARA EL MONITOREO DE PROGRAMAS, PROYECTOS O ACTIVIDADES DE LA UNIDAD</t>
  </si>
  <si>
    <t>46282370</t>
  </si>
  <si>
    <t>URIARTE DIAZ MELISSA</t>
  </si>
  <si>
    <t>09985069</t>
  </si>
  <si>
    <t>URIARTE RODRIGUEZ CECILIA PATRICIA</t>
  </si>
  <si>
    <t>PROFESIONAL ESPECIALISTA EN SANEAMIENTO</t>
  </si>
  <si>
    <t>25701890</t>
  </si>
  <si>
    <t>URREGO GARCIA JORGE VICENTE</t>
  </si>
  <si>
    <t>16782762</t>
  </si>
  <si>
    <t>VACA BRIONES MARCO ANTONIO</t>
  </si>
  <si>
    <t>ESPECIALISTA I - GESTIÓN DE PROYECTOS</t>
  </si>
  <si>
    <t>41772005</t>
  </si>
  <si>
    <t>VALDIVIA URDAY CRISTIAM PAUL</t>
  </si>
  <si>
    <t>Ingeniero Civil</t>
  </si>
  <si>
    <t>07013221</t>
  </si>
  <si>
    <t>VALENCIA CUADROS ALFREDO ANTONIO</t>
  </si>
  <si>
    <t>10206065</t>
  </si>
  <si>
    <t>VALENCIA SIFUENTES LUIS ALBERTO</t>
  </si>
  <si>
    <t>ASISTENTE EN TESORERIA</t>
  </si>
  <si>
    <t>72678603</t>
  </si>
  <si>
    <t>VALERIANO CUZCANO MIRIAM ROSA</t>
  </si>
  <si>
    <t>41398257</t>
  </si>
  <si>
    <t>VARGAS CAMPOS CARLOS ANTONIO</t>
  </si>
  <si>
    <t>ESPECIALISTA SENIOR EN CONTRATACIONES</t>
  </si>
  <si>
    <t>41198468</t>
  </si>
  <si>
    <t>VARGAS CARDENAS LIZ IVONNE</t>
  </si>
  <si>
    <t>46127756</t>
  </si>
  <si>
    <t>VARGAS JORGES KAREN ALEXANDRA</t>
  </si>
  <si>
    <t>Bachiller en Administración</t>
  </si>
  <si>
    <t>09383284</t>
  </si>
  <si>
    <t>VASQUEZ AREVALO ROGER</t>
  </si>
  <si>
    <t>45474907</t>
  </si>
  <si>
    <t>VASQUEZ CRISOSTOMO NILA ROCIO</t>
  </si>
  <si>
    <t>40234819</t>
  </si>
  <si>
    <t>VELA CARRASCO CARLOS AUGUSTO</t>
  </si>
  <si>
    <t>41566101</t>
  </si>
  <si>
    <t>VELA RIMACHI PERCY LIZANDRO</t>
  </si>
  <si>
    <t>Tec. Administracion de Negocios</t>
  </si>
  <si>
    <t>ESPECIALISTA EN ESTUDIOS PRE INVERSION</t>
  </si>
  <si>
    <t>09606455</t>
  </si>
  <si>
    <t>VELIZ PINEDA MARCO ANTONIO</t>
  </si>
  <si>
    <t>25693401</t>
  </si>
  <si>
    <t>VERA VILLANES ANDY EDGAR</t>
  </si>
  <si>
    <t>07005537</t>
  </si>
  <si>
    <t>VERGARA ALMANZA JOSE FELIX</t>
  </si>
  <si>
    <t>Bach.Arquitectura</t>
  </si>
  <si>
    <t>09649556</t>
  </si>
  <si>
    <t>VIA Y RADA VALLADOLID FLAVIO JESUS</t>
  </si>
  <si>
    <t>ANALISTA EN ADMINISTRACION DE PERSONAL</t>
  </si>
  <si>
    <t>43644171</t>
  </si>
  <si>
    <t>VIDAL RUMAY MARIA ELENA</t>
  </si>
  <si>
    <t>COORDINADOR DE PROYECTOS</t>
  </si>
  <si>
    <t>09582837</t>
  </si>
  <si>
    <t>VIDAL VALENZUELA CARLOS ALBERTO</t>
  </si>
  <si>
    <t>43259068</t>
  </si>
  <si>
    <t>VIERA ANGASPILCO REYNALDO EVERT</t>
  </si>
  <si>
    <t>COORDINADOR REGIONAL TECNICO</t>
  </si>
  <si>
    <t>26636342</t>
  </si>
  <si>
    <t>VIGO RABANAL MANUELA DEL SOCORRO</t>
  </si>
  <si>
    <t>21464718</t>
  </si>
  <si>
    <t>VILA SOTO NELLY ROSALINDA</t>
  </si>
  <si>
    <t>23976740</t>
  </si>
  <si>
    <t>VILCA ROMERO CARLOS PERCY</t>
  </si>
  <si>
    <t>ASESORA TECNICA</t>
  </si>
  <si>
    <t>10677260</t>
  </si>
  <si>
    <t>VILLANUEVA ALEJO LOIDA NOEMI</t>
  </si>
  <si>
    <t>ANALISTA LEGAL EN CONTRATACIONES DEL ESTADO</t>
  </si>
  <si>
    <t>43515871</t>
  </si>
  <si>
    <t>VILLAR CACHAY CYNTHIA VANESA</t>
  </si>
  <si>
    <t>04816968</t>
  </si>
  <si>
    <t>VINELLI ORSI JESUS ERNESTO</t>
  </si>
  <si>
    <t>31672542</t>
  </si>
  <si>
    <t>VIRHUEZ GOMEZ ELIO SATURNINO</t>
  </si>
  <si>
    <t>ESPECIALISTA EN PLANIFICACIÓN Y PRESUPUESTO</t>
  </si>
  <si>
    <t>07088235</t>
  </si>
  <si>
    <t>VIVANCO CIPRIAN CIRILA APOLONIA</t>
  </si>
  <si>
    <t>PROFESIONAL ESPECIALISTA EN INGENIERIA SANITARIA</t>
  </si>
  <si>
    <t>40027344</t>
  </si>
  <si>
    <t>WONG RODRIGUEZ SUSAN KIANA</t>
  </si>
  <si>
    <t>COORDINADOR REGIONAL SOCIAL</t>
  </si>
  <si>
    <t>02867924</t>
  </si>
  <si>
    <t>YAMUNAQUE TIMANA ANDRES</t>
  </si>
  <si>
    <t>Lic. En Educacion</t>
  </si>
  <si>
    <t>70222536</t>
  </si>
  <si>
    <t>YARANGA BULEJE MIGUEL ANGEL</t>
  </si>
  <si>
    <t>40845003</t>
  </si>
  <si>
    <t>YI NAVARRO MILUSKA LEONOR</t>
  </si>
  <si>
    <t>ESPECIALISTA EN METRADO, COSTOS Y PRESUPUESTO</t>
  </si>
  <si>
    <t>43620406</t>
  </si>
  <si>
    <t>ZAPATA GONZALES LUZ ARACELLI</t>
  </si>
  <si>
    <t>ESPECIALISTA EN PLANIFICACIÓN Y GESTIÓN DE PROYECTOS</t>
  </si>
  <si>
    <t>07251646</t>
  </si>
  <si>
    <t>ZARATE GARCIA KATHIA FEDORA</t>
  </si>
  <si>
    <t>23976935</t>
  </si>
  <si>
    <t>ZEGARRA FARFAN HENRRY</t>
  </si>
  <si>
    <t>ESPECIALISTA EN GESTIÓN PUBLICA Y ADMINISTRATIVO</t>
  </si>
  <si>
    <t>00261411</t>
  </si>
  <si>
    <t>ZEGARRA ORDINOLA DE ZAPATA ROSA RAQUEL</t>
  </si>
  <si>
    <t>JEFE DEL AREA DE RECURSOS HUMANOS</t>
  </si>
  <si>
    <t>40048214</t>
  </si>
  <si>
    <t>ZEVALLOS CABANILLAS KATIA</t>
  </si>
  <si>
    <t>41408601</t>
  </si>
  <si>
    <t>ZEVALLOS LOAIZA MARCIA</t>
  </si>
  <si>
    <t>EJECUTORA 006 - PASLC</t>
  </si>
  <si>
    <t>ASISTENTE DE OBRAS</t>
  </si>
  <si>
    <t>45860722</t>
  </si>
  <si>
    <t>ARELLANO HUAMAN ELVIS</t>
  </si>
  <si>
    <t>INGENIERIA</t>
  </si>
  <si>
    <t>INGENIERIA SANITARIA</t>
  </si>
  <si>
    <t>4</t>
  </si>
  <si>
    <t>7</t>
  </si>
  <si>
    <t>9</t>
  </si>
  <si>
    <t>COORDINADOR DE PROYECTO</t>
  </si>
  <si>
    <t>09194161</t>
  </si>
  <si>
    <t>AUCARURI INGA MIGUEL FLORENCIO</t>
  </si>
  <si>
    <t>45612134</t>
  </si>
  <si>
    <t>BERAUN HUAMAN JACK PETER NICEFORO</t>
  </si>
  <si>
    <t>08605671</t>
  </si>
  <si>
    <t>CARRASCO COAQUIRA JUAN WILFREDO</t>
  </si>
  <si>
    <t>TITULO</t>
  </si>
  <si>
    <t>11</t>
  </si>
  <si>
    <t>RESPONSABLE DE LA UNIDAD DE ESTUDIOS</t>
  </si>
  <si>
    <t>08055288</t>
  </si>
  <si>
    <t>CEDRON MENDIETA MOISES ANIBAL</t>
  </si>
  <si>
    <t>09885127</t>
  </si>
  <si>
    <t>FLORES ALARCON LUIS FERNANDO</t>
  </si>
  <si>
    <t>ASISTENTE ADMINISTRATIVO PARA PLANEAMIENTO Y PRESUPUESTO</t>
  </si>
  <si>
    <t>01143822</t>
  </si>
  <si>
    <t>GATICA VELA NORITH</t>
  </si>
  <si>
    <t xml:space="preserve">ADMINISTRACION </t>
  </si>
  <si>
    <t>TECNICO ADMINISTRACION BANCARIA</t>
  </si>
  <si>
    <t xml:space="preserve">TITULO </t>
  </si>
  <si>
    <t>ESPECIALISTA EN SERVICIOS Y CONTRATACIONES</t>
  </si>
  <si>
    <t>17815118</t>
  </si>
  <si>
    <t>GUERRERO TALLEDO LITA DEL CARMEN</t>
  </si>
  <si>
    <t xml:space="preserve">CONTABILIDAD </t>
  </si>
  <si>
    <t>ANALISTA EN RECURSOS HUMANOS</t>
  </si>
  <si>
    <t>06718523</t>
  </si>
  <si>
    <t>LEON HERRERA JAIME ANIBAL</t>
  </si>
  <si>
    <t>DIRECTOR DE LA UNIDAD DE ASESORIA LEGAL</t>
  </si>
  <si>
    <t>09083246</t>
  </si>
  <si>
    <t>PERAMAS AYALA CESAR EDUARDO</t>
  </si>
  <si>
    <t>DERECHO</t>
  </si>
  <si>
    <t>43466133</t>
  </si>
  <si>
    <t>PICON MARQUEZ ANDREA CAROLINA</t>
  </si>
  <si>
    <t>ESPECIALISTA EN SEGUIMIENTO, MONITOREO Y CONTROL</t>
  </si>
  <si>
    <t>22423988</t>
  </si>
  <si>
    <t>SALDARRIAGA PEÑA JUAN FELIPE</t>
  </si>
  <si>
    <t>ESPECIALISTA EN INTERVENCIÓN SOCIAL</t>
  </si>
  <si>
    <t>40615587</t>
  </si>
  <si>
    <t>SANDOVAL TENA SOFIA LUCRECIA</t>
  </si>
  <si>
    <t>SOCIOLOGA</t>
  </si>
  <si>
    <t>44709846</t>
  </si>
  <si>
    <t>SANTA CRUZ LUSTRE DANITZA MILENNY</t>
  </si>
  <si>
    <t>18130290</t>
  </si>
  <si>
    <t>TALLEDO JIMENEZ MONICA JEANNETTE</t>
  </si>
  <si>
    <t>43150233</t>
  </si>
  <si>
    <t>TITO COILA GABY NATALY</t>
  </si>
  <si>
    <t>RESPONSABLE DE LA UNIDAD DE OBRAS</t>
  </si>
  <si>
    <t>07922832</t>
  </si>
  <si>
    <t>YABAR MIRANDA CARLOS ROBERTO</t>
  </si>
  <si>
    <t>12</t>
  </si>
  <si>
    <t>ASISTENTE TECNICO DE ADMINISTRACION</t>
  </si>
  <si>
    <t>41585416</t>
  </si>
  <si>
    <t>AVELLANEDA MAZUR NESTOR DAN</t>
  </si>
  <si>
    <t>COORDINADOR DE OBRA</t>
  </si>
  <si>
    <t>03692501</t>
  </si>
  <si>
    <t>EUSEBIO ROJAS JOSE DAVID</t>
  </si>
  <si>
    <t>3</t>
  </si>
  <si>
    <t>40577036</t>
  </si>
  <si>
    <t>ÑACA BAILON EDY HUGO</t>
  </si>
  <si>
    <t>6</t>
  </si>
  <si>
    <t>00490655</t>
  </si>
  <si>
    <t>RODRIGUEZ CAMEO ANGEL ALFREDO</t>
  </si>
  <si>
    <t>42936182</t>
  </si>
  <si>
    <t>LADD GOYTIZOLO CARLA FIORELLA</t>
  </si>
  <si>
    <t>ESPECIALISTA EN INTERVENCION SOCIAL</t>
  </si>
  <si>
    <t>44041486</t>
  </si>
  <si>
    <t>HUANCA FERNANDEZ CINTHYA EVERIN</t>
  </si>
  <si>
    <t>ANTROPOLOGIA</t>
  </si>
  <si>
    <t>ANTROPOLOGO</t>
  </si>
  <si>
    <t>ASISTENTE TECNICO INFORMATICO</t>
  </si>
  <si>
    <t>42340396</t>
  </si>
  <si>
    <t>ASCURRA PERALTA RONALD ANDRES</t>
  </si>
  <si>
    <t>COMPUTACION</t>
  </si>
  <si>
    <t>ESPECIAALISTA LEGAAL EN CONTRATACIONES EL ESTADO</t>
  </si>
  <si>
    <t>44274124</t>
  </si>
  <si>
    <t>QUISPITUPAC MARCELO SANDRA PAMELA</t>
  </si>
  <si>
    <t>ANALISTA EN ABASTECIMIENTO Y CONTROL PATRIMONIAL</t>
  </si>
  <si>
    <t>25713677</t>
  </si>
  <si>
    <t>RAMOS MURIEL SERGIO RULLER</t>
  </si>
  <si>
    <t>40139711</t>
  </si>
  <si>
    <t>SALVATIERRA TRINIDAD EDISON JOE</t>
  </si>
  <si>
    <t>ASISTENTE EN INTERVENCIÓN SOCIAL</t>
  </si>
  <si>
    <t>41671336</t>
  </si>
  <si>
    <t>INOCENTE TORRE ANDY ARCENIO</t>
  </si>
  <si>
    <t>SOCIOLOGIA</t>
  </si>
  <si>
    <t>ESPECIALISTA EN TECNOLOGÍAS DE LA INFORMACIÓN</t>
  </si>
  <si>
    <t>ESPECIALISTA EN AGUA Y SANEAMIENTO</t>
  </si>
  <si>
    <t>44358525</t>
  </si>
  <si>
    <t>TINOCO VASQUEZ WINGSTON MIGUEL</t>
  </si>
  <si>
    <t>ASISTENTE EN SEGUIMIENTO Y MONITOREO</t>
  </si>
  <si>
    <t>44168791</t>
  </si>
  <si>
    <t>ESCALANTE RIOS MAURICIO ARMANDO</t>
  </si>
  <si>
    <t>ECONOMIA</t>
  </si>
  <si>
    <t>09137720</t>
  </si>
  <si>
    <t>GONZALES DEL VALLE MORALES MONICA YSABEL</t>
  </si>
  <si>
    <t>0</t>
  </si>
  <si>
    <t>41161751</t>
  </si>
  <si>
    <t>CORDOVA CORONADO RUBI SALY</t>
  </si>
  <si>
    <t>DIRECTORA DE LA UNIDAD DE PLANEAMIENTO Y PRESUPUESTO</t>
  </si>
  <si>
    <t>40739407</t>
  </si>
  <si>
    <t>CONTRERAS VILLAR JESSIKA PAOLA</t>
  </si>
  <si>
    <t>INGENIERIA ECONÓMICA</t>
  </si>
  <si>
    <t>45747557</t>
  </si>
  <si>
    <t>CHITE ESPINOZA EDGAR IVAN</t>
  </si>
  <si>
    <t>8</t>
  </si>
  <si>
    <t>DIRECTOR DE LA UNIDAD DE ADMINISTRACION</t>
  </si>
  <si>
    <t>32913966</t>
  </si>
  <si>
    <t>LLALLIHUAMAN ANTUNEZ AGRIPINO TEODORO</t>
  </si>
  <si>
    <t>40715080</t>
  </si>
  <si>
    <t>SÁNCHEZ PINTO FERNANDO RODRIGO</t>
  </si>
  <si>
    <t>08541742</t>
  </si>
  <si>
    <t>REQUEJO ARMAS PERICLES</t>
  </si>
  <si>
    <t>ASISTENTE EN ESTUDIO DE PROYECTOS</t>
  </si>
  <si>
    <t>44559963</t>
  </si>
  <si>
    <t>DUEÑAS ROSAS JOEL AMBROSIO</t>
  </si>
  <si>
    <t>ASISTENTE EN ESTUDIOS DE PROYECTOS</t>
  </si>
  <si>
    <t>16166019</t>
  </si>
  <si>
    <t>RIVAS LAZO MIRIAM AMANDA</t>
  </si>
  <si>
    <t>ESPECIALISTA EN OBRAS CIVILES (MECÁNICA DE SUELOS Y ESTRUCTURAS)</t>
  </si>
  <si>
    <t>07877435</t>
  </si>
  <si>
    <t>VALENCIA SOTO FRIDA HEIDI</t>
  </si>
  <si>
    <t>41024131</t>
  </si>
  <si>
    <t>RODRIGUEZ ROJAS RONALD</t>
  </si>
  <si>
    <t>ESPECIALISTA EN OBRAS</t>
  </si>
  <si>
    <t>72424772</t>
  </si>
  <si>
    <t>MORALES BETETA SHEYLA MAYUMI</t>
  </si>
  <si>
    <t>MARIO ALAYO GIL</t>
  </si>
  <si>
    <t>ADMINISTRADOR</t>
  </si>
  <si>
    <t>ESPECIALISTA EN EVALUACION</t>
  </si>
  <si>
    <t>EN PROCESO</t>
  </si>
  <si>
    <t>ESPECIALISTA EN TRATAMIENTO DE AGUAS RESIDUALES</t>
  </si>
  <si>
    <t>EN CONVOCATORIA</t>
  </si>
  <si>
    <t>ESPECIALISTA EN ABASTECIMIENTO Y CONTROL PATRIMONIAL</t>
  </si>
  <si>
    <t>ANALISTA TECNICO EN ESTUDIOS</t>
  </si>
  <si>
    <t>ESPECIALISTA EN FORMULACION Y EJECUCION PRESUPUESTAL</t>
  </si>
  <si>
    <t>EJECUTORA 005 - PNSR</t>
  </si>
  <si>
    <t>07847448</t>
  </si>
  <si>
    <t>ACEVEDO FERRÁNDIZ, MARÍA GUADALUPE</t>
  </si>
  <si>
    <t>EGRESADA</t>
  </si>
  <si>
    <t>TÉCNICO</t>
  </si>
  <si>
    <t>Especialista de Estudios</t>
  </si>
  <si>
    <t>18108039</t>
  </si>
  <si>
    <t>AGREDA BARBARAN, JUAN ALEJANDRO</t>
  </si>
  <si>
    <t>INGENIERÍA</t>
  </si>
  <si>
    <t>TÍTULO</t>
  </si>
  <si>
    <t>TÍTULO PROFESIONAL</t>
  </si>
  <si>
    <t>18093278</t>
  </si>
  <si>
    <t>AGUILAR ARMAS, CAROLINA AMPARO</t>
  </si>
  <si>
    <t>PSICOLOGÍA</t>
  </si>
  <si>
    <t>SUPERVISOR SOCIAL</t>
  </si>
  <si>
    <t>41098125</t>
  </si>
  <si>
    <t>AGUILAR HILARIO, WILDER JIMMY</t>
  </si>
  <si>
    <t>Especialista Social</t>
  </si>
  <si>
    <t>44670004</t>
  </si>
  <si>
    <t>AGUILAR VILCA, WASINTHON</t>
  </si>
  <si>
    <t>ESPECIALISTA DE MONITOREO DE PROYECTOS</t>
  </si>
  <si>
    <t>31039703</t>
  </si>
  <si>
    <t>ALARCON CAMACHO, ERICK</t>
  </si>
  <si>
    <t>INGENIERÍA CIVIL</t>
  </si>
  <si>
    <t>ASISTENTE TÉCNICO EN MONITOREO</t>
  </si>
  <si>
    <t>22488334</t>
  </si>
  <si>
    <t>ALBORNOZ SOTO, NELLY DEL ROSARIO</t>
  </si>
  <si>
    <t>Técnico en Construcción Civil</t>
  </si>
  <si>
    <t>JEFE DE UNIDAD DE LA UNIDAD DE ADMINISTRACIÓN</t>
  </si>
  <si>
    <t>28296462</t>
  </si>
  <si>
    <t>ALEGRIA GOMEZ, SONIA ROSANA</t>
  </si>
  <si>
    <t>CIENCIAS CONTABLES Y FINANCIERAS</t>
  </si>
  <si>
    <t>31665669</t>
  </si>
  <si>
    <t>ALFARO LOPEZ, HORTENCIA CATALINA</t>
  </si>
  <si>
    <t>07224804</t>
  </si>
  <si>
    <t>ALIAGA SANCHEZ, OTILIA MARIELA</t>
  </si>
  <si>
    <t>PROFESIONAL SENIOR EN DERECHO</t>
  </si>
  <si>
    <t>10875294</t>
  </si>
  <si>
    <t>ALMEYDA MUÑOZ, MARTÍN ERNESTO</t>
  </si>
  <si>
    <t>43155299</t>
  </si>
  <si>
    <t>ALVA VILCA, ELIZABETH ELENA</t>
  </si>
  <si>
    <t>Especialista de Sostenibilidad</t>
  </si>
  <si>
    <t>00791628</t>
  </si>
  <si>
    <t>ALVAREZ SOLIS, LUCIO RICARDO</t>
  </si>
  <si>
    <t>ESPECIALISTA EN SUPERVISIÓN DE ESTUDIOS AMBIENTALES</t>
  </si>
  <si>
    <t>45026951</t>
  </si>
  <si>
    <t>ANAYA FERNANDEZ, OSCAR GONZALO</t>
  </si>
  <si>
    <t>45197905</t>
  </si>
  <si>
    <t>ANCAIPURO PATRICIO, DAVID ALEXIS</t>
  </si>
  <si>
    <t>INGENIERO SUPERVISOR</t>
  </si>
  <si>
    <t>10101811</t>
  </si>
  <si>
    <t>ANTAY CHIPANA, GERMÁN</t>
  </si>
  <si>
    <t>ANALISTA DE SOPORTE TÉCNICO E INFORMATICO</t>
  </si>
  <si>
    <t>25761882</t>
  </si>
  <si>
    <t>ANTICONA ROMERO, CARLOS GERARDO</t>
  </si>
  <si>
    <t>INGENIERO ESPECIALISTA DE EVALUACIÓN DE CALIDAD DE PROYECTOS DE INVERSIÓN PÚBLICA</t>
  </si>
  <si>
    <t>10250078</t>
  </si>
  <si>
    <t>ANTICONA SUAREZ, HECTOR SANTIAGO</t>
  </si>
  <si>
    <t>ESPECIALISTA EN SUPERVISIÓN II</t>
  </si>
  <si>
    <t>Técnico en Construcción</t>
  </si>
  <si>
    <t>28297975</t>
  </si>
  <si>
    <t>AQUINO ALVARADO, ERNESTO</t>
  </si>
  <si>
    <t>43919539</t>
  </si>
  <si>
    <t>ARAUJO JAMANCA, MAGNO ALBERTO</t>
  </si>
  <si>
    <t>41481063</t>
  </si>
  <si>
    <t>ARAUJO OCHOA, RIDER EDSON</t>
  </si>
  <si>
    <t>ESPECIALISTA EN PROCESOS</t>
  </si>
  <si>
    <t>07245191</t>
  </si>
  <si>
    <t>ARBAÑIL VILLAR, JUAN ANTONIO</t>
  </si>
  <si>
    <t>ADMINISTRACIÓN DE EMPRESAS</t>
  </si>
  <si>
    <t>ESPECIALISTA EN COMPENSACIONES</t>
  </si>
  <si>
    <t>41181150</t>
  </si>
  <si>
    <t>ARCA REVOLLAR, HECTOR</t>
  </si>
  <si>
    <t>ANALISTA EN BIENESTAR Y ASISTENCIA SOCIAL</t>
  </si>
  <si>
    <t>72183079</t>
  </si>
  <si>
    <t>ARIAS BERRIOS, MARY CLAUDIA MILAGROS</t>
  </si>
  <si>
    <t>ASISTENTE TÉCNICO SOCIAL</t>
  </si>
  <si>
    <t>42493843</t>
  </si>
  <si>
    <t>AROSQUIPA QUISPE, EDWIN</t>
  </si>
  <si>
    <t>43660568</t>
  </si>
  <si>
    <t>ARZAPALO POMA, ISAIAS OSCAR</t>
  </si>
  <si>
    <t>ESPECIALISTA EN EVALUACIÓN DE PROYECTOS</t>
  </si>
  <si>
    <t>08546575</t>
  </si>
  <si>
    <t>ASCARRUZ SALAZAR, SAÚL SILO</t>
  </si>
  <si>
    <t>42182279</t>
  </si>
  <si>
    <t>ASHTU SOSA, PATRICIA NOEMI</t>
  </si>
  <si>
    <t>ESPECIALISTA EN PRE INVERSIÓN Y EXPEDIENTES TECNICOS</t>
  </si>
  <si>
    <t>06740085</t>
  </si>
  <si>
    <t>ÁVILA LÓPEZ, MARÍA ESTELA</t>
  </si>
  <si>
    <t>INGENIERA CIVIL</t>
  </si>
  <si>
    <t>43634615</t>
  </si>
  <si>
    <t>AZA FABIAN, GUILLERMO FANOR</t>
  </si>
  <si>
    <t>07862334</t>
  </si>
  <si>
    <t>BACIGALUPO SOLIMANO, TERESA LEONOR</t>
  </si>
  <si>
    <t>Especialista en Comunicaciones</t>
  </si>
  <si>
    <t>40681486</t>
  </si>
  <si>
    <t>BALAREZO TOLENTINO, CARLOS JEISSON</t>
  </si>
  <si>
    <t>LICENCIADO EN CIENCIAS DE LA COMUNICACIÓN</t>
  </si>
  <si>
    <t>43221918</t>
  </si>
  <si>
    <t>BARRETO TUNQUE, DANNY REILLY</t>
  </si>
  <si>
    <t>08218378</t>
  </si>
  <si>
    <t>BAUTISTA MASCCO, CLAUDIA ALEJANDRA</t>
  </si>
  <si>
    <t>CONTABILIDAD</t>
  </si>
  <si>
    <t>JEFE DE UNIDAD DE LA UNIDAD TÉCNICA DE GESTIÓN TERRITORIAL</t>
  </si>
  <si>
    <t>06716557</t>
  </si>
  <si>
    <t>BELLIDO VELAPATIÑO, EDITH LUZ</t>
  </si>
  <si>
    <t>21406334</t>
  </si>
  <si>
    <t>BENATE GALVEZ, JUAN DOMINGO</t>
  </si>
  <si>
    <t>Técnico en Recursos Humanos y Administración de Legajos</t>
  </si>
  <si>
    <t>09355795</t>
  </si>
  <si>
    <t>BENAVIDES LLERENA DE OCHOA, JUANA MARIA REGINA</t>
  </si>
  <si>
    <t xml:space="preserve">TÉCNICA EN CONTABILIDAD  </t>
  </si>
  <si>
    <t>41526119</t>
  </si>
  <si>
    <t>BENDEZU BOZA, REYDER EUSEF</t>
  </si>
  <si>
    <t>45230801</t>
  </si>
  <si>
    <t>BOLAÑOS NARCIZO, IRWING LUIS</t>
  </si>
  <si>
    <t>41392153</t>
  </si>
  <si>
    <t>BUENAÑO GARMA, YENY MABELL</t>
  </si>
  <si>
    <t>INGENIERÍA SANITARIA</t>
  </si>
  <si>
    <t>16018292</t>
  </si>
  <si>
    <t>BUITRON RAMOS, MARISSA JANET</t>
  </si>
  <si>
    <t>Especialista Monitoreo de Proyectos</t>
  </si>
  <si>
    <t>41626721</t>
  </si>
  <si>
    <t>CABALLERO FLORES, MIRKO ALVARO</t>
  </si>
  <si>
    <t>80289638</t>
  </si>
  <si>
    <t>CABALLERO SALVERREDY, EDUARDO FERMIN</t>
  </si>
  <si>
    <t>41015000</t>
  </si>
  <si>
    <t>CABIDES RAMÍREZ, PEDRO</t>
  </si>
  <si>
    <t>JEFE DE UNIDAD DE LA UNIDAD TÉCNICA PARA LA MEJORA DE LA PRESTACIÓN DE SERVICIOS</t>
  </si>
  <si>
    <t>08783080</t>
  </si>
  <si>
    <t>CABRERA LA ROSA, VICTOR LUIS</t>
  </si>
  <si>
    <t>INGENIERO AGRÍCOLA</t>
  </si>
  <si>
    <t>COORDINADOR DE ÁREA DEL ÁREA DE PLANEAMIENTO Y MODERNIZACIÓN</t>
  </si>
  <si>
    <t>JEFE DE UNIDAD DE LA UNIDAD TÉCNICA PARA LA MEJORA DE LA PRESTACIÓN DE SERVICIOSS</t>
  </si>
  <si>
    <t>28306803</t>
  </si>
  <si>
    <t>CACÑAHUARAY AROTOMA, FERMIN</t>
  </si>
  <si>
    <t>ESPECIALISTA EN ESTUDIOS DE PRE INVERSIÓN Y EXPEDIENTES TÉCNICOS</t>
  </si>
  <si>
    <t>07499088</t>
  </si>
  <si>
    <t>CACÑAHUARAY CONSA, PRUDENCIO VLADIMIR</t>
  </si>
  <si>
    <t>ESPECIALISTA EN MONITOREO DE EVALUACIÓN DE LIQUIDACIONES</t>
  </si>
  <si>
    <t>40996222</t>
  </si>
  <si>
    <t>CADILLO GIRALDO, JACQUELINE ROXANA</t>
  </si>
  <si>
    <t>ASISTENTE TÉCNICO EN LIQUIDACIONES</t>
  </si>
  <si>
    <t>40892250</t>
  </si>
  <si>
    <t>CAHUANA ESPINOZA, EDITH</t>
  </si>
  <si>
    <t>08151933</t>
  </si>
  <si>
    <t>CALDAS PAUCAR, ROY DANIEL</t>
  </si>
  <si>
    <t>TÉCNICO EN EDUCACIÓN SECUNDARIA, ESPECIALIDAD: CIENCIAS SOCIALES</t>
  </si>
  <si>
    <t>44362583</t>
  </si>
  <si>
    <t>CALLALLI MAQUERA, GILBETH JONATHAN</t>
  </si>
  <si>
    <t>40400873</t>
  </si>
  <si>
    <t>CALLE ROJAS, DANIEL ENRIQUE</t>
  </si>
  <si>
    <t xml:space="preserve">TÉCNICO EN COMPUTACIÓN E INFORMÁTICA  </t>
  </si>
  <si>
    <t>16751901</t>
  </si>
  <si>
    <t>CALOPINO CHIROQUE, CARLOS ROGELIO</t>
  </si>
  <si>
    <t>ANALISTA EN MONITOREO DE PROYECTOS</t>
  </si>
  <si>
    <t>43742247</t>
  </si>
  <si>
    <t>CALSIN NINA, JUAN CARLOS</t>
  </si>
  <si>
    <t>ECONOMÍA</t>
  </si>
  <si>
    <t>09564362</t>
  </si>
  <si>
    <t>CAMACHO ZARATE, IVAN JERRY</t>
  </si>
  <si>
    <t>TECNICO EN DOCUMENTACION Y ARCHIVO</t>
  </si>
  <si>
    <t>09584552</t>
  </si>
  <si>
    <t>CAMAYO SUAREZ, RUTH CONSUELO</t>
  </si>
  <si>
    <t>TÉCNICA EN COMPUTACIÓN E INFORMÁTICA</t>
  </si>
  <si>
    <t>ESPECIALISTA EN EXPEDIENTES TÉCNICOS Y MONITOREO DE OBRAS</t>
  </si>
  <si>
    <t>17529301</t>
  </si>
  <si>
    <t>CAMPOS CORCUERA, CARLOS ANIBAL</t>
  </si>
  <si>
    <t>10678243</t>
  </si>
  <si>
    <t>CAMPOS LUNA, ABELARDO</t>
  </si>
  <si>
    <t>29311861</t>
  </si>
  <si>
    <t>CAMPOS MÁLAGA, ROCÍO DEL PILAR</t>
  </si>
  <si>
    <t>SECRETARIADO</t>
  </si>
  <si>
    <t>INGENIERO ESPECIALISTA EN GESTION AMBIENTAL</t>
  </si>
  <si>
    <t>22499480</t>
  </si>
  <si>
    <t>CAMPOS SALAZAR, ELDER</t>
  </si>
  <si>
    <t>ESPECIALISTA EN GESTIÓN AMBIENTAL</t>
  </si>
  <si>
    <t>44479565</t>
  </si>
  <si>
    <t>CAMPOS ZUMAETA, JOSÉ ANTONIO</t>
  </si>
  <si>
    <t>INGENIERO EN GESTIÓN AMBIENTAL</t>
  </si>
  <si>
    <t>40686905</t>
  </si>
  <si>
    <t>CANTEÑO RIVERA, LUIS ALBERTO</t>
  </si>
  <si>
    <t>40384391</t>
  </si>
  <si>
    <t>CANTO BURGA, ROBERTO CARLOS</t>
  </si>
  <si>
    <t>41809548</t>
  </si>
  <si>
    <t>CANTORIN CANTORIN, MILAGROS</t>
  </si>
  <si>
    <t>ESPECIALISTA SOSTENIBILIDAD</t>
  </si>
  <si>
    <t>41983022</t>
  </si>
  <si>
    <t>CARDENAS CHAUCA, RENE EDISON</t>
  </si>
  <si>
    <t>ASESOR DE DIRECCIÓN EJECUTIVA</t>
  </si>
  <si>
    <t>CARPIO CALDERON, GUALBERTO ARMANDO</t>
  </si>
  <si>
    <t>ESPECIALISTA SENIOR EN ADMINISTRACIÓN DE CONTRATOS</t>
  </si>
  <si>
    <t>07718169</t>
  </si>
  <si>
    <t>CARRASCO IPANAQUE, OSWALDO</t>
  </si>
  <si>
    <t>28243157</t>
  </si>
  <si>
    <t>CARRASCO MORALES, JAIME PABEL</t>
  </si>
  <si>
    <t>16728842</t>
  </si>
  <si>
    <t>CARRERA FERREÑAY, DANIEL CARLOS</t>
  </si>
  <si>
    <t>SOCIOLOGO</t>
  </si>
  <si>
    <t>ESPECIALISTA EN SEGUIMIENTO</t>
  </si>
  <si>
    <t>42550749</t>
  </si>
  <si>
    <t>CASQUINO GONZALES, CINTHIA</t>
  </si>
  <si>
    <t>ESPECIALISTA EN PLANIFICACION</t>
  </si>
  <si>
    <t>23881458</t>
  </si>
  <si>
    <t>CASTILLO PELAEZ, ROSA EMPERATRIZ</t>
  </si>
  <si>
    <t>45469247</t>
  </si>
  <si>
    <t>CASTRO BELLEZA, JASON RAY RICHARD</t>
  </si>
  <si>
    <t>CONDUCTOR DE VEHÍCULO</t>
  </si>
  <si>
    <t>23276291</t>
  </si>
  <si>
    <t>CASTRO VARILLAS, JUAN CARLOS</t>
  </si>
  <si>
    <t>31605892</t>
  </si>
  <si>
    <t>CAUSHI CACHA, ZENON</t>
  </si>
  <si>
    <t xml:space="preserve">TÉCNICO EN CONTABILIDAD  </t>
  </si>
  <si>
    <t>ESPECIALISTA EN ESTUDIOS II</t>
  </si>
  <si>
    <t>CCAHUANTICO MAMANI, JUAN CARLOS</t>
  </si>
  <si>
    <t>26622321</t>
  </si>
  <si>
    <t>CERQUIN MENDOZA, JORGE CARLOS</t>
  </si>
  <si>
    <t>JEFE DEL AREA DE CONTABILIDAD</t>
  </si>
  <si>
    <t>21475189</t>
  </si>
  <si>
    <t>CHACALIAZA HERNANDEZ, JESÚS HUMBERTO</t>
  </si>
  <si>
    <t>CONTADOR</t>
  </si>
  <si>
    <t>45065759</t>
  </si>
  <si>
    <t>CHAIÑA CHURATA, FREDDY</t>
  </si>
  <si>
    <t>46427851</t>
  </si>
  <si>
    <t>CHAMPI CHAVEZ, LUIS ABIMAEL</t>
  </si>
  <si>
    <t>43581070</t>
  </si>
  <si>
    <t>CHAPOÑAN FERNANDEZ, LUIS MIGUEL</t>
  </si>
  <si>
    <t>01311972</t>
  </si>
  <si>
    <t>CHARAJA MONTAÑO, ISAIAS GLIVEL</t>
  </si>
  <si>
    <t>29691390</t>
  </si>
  <si>
    <t>CHARCA HANCCO, NESTOR</t>
  </si>
  <si>
    <t xml:space="preserve">EDUCACIÓN SECUNDARIA COMPLETA                                </t>
  </si>
  <si>
    <t>44123141</t>
  </si>
  <si>
    <t>CHATE ARANZA, MICHAEL EVERSON</t>
  </si>
  <si>
    <t>15431170</t>
  </si>
  <si>
    <t>CHAVARRI CARAHUATAY, EDWIN EDILBERTO</t>
  </si>
  <si>
    <t>10763899</t>
  </si>
  <si>
    <t>CHAVEZ ASENJO, ROSALYNN JANET</t>
  </si>
  <si>
    <t>16521360</t>
  </si>
  <si>
    <t>CHAVEZ ODAR, JULIO ANTONIO</t>
  </si>
  <si>
    <t>45818749</t>
  </si>
  <si>
    <t>CHAVEZ RIVERA, DANY DONEL</t>
  </si>
  <si>
    <t>70764889</t>
  </si>
  <si>
    <t>CHECLLO ALVAREZ, HILARY SIRENA</t>
  </si>
  <si>
    <t>ESPECIALISTA MONITOREO DE PROYECTOS</t>
  </si>
  <si>
    <t>40766189</t>
  </si>
  <si>
    <t>CHEPPE VIDAL, WILLIAMS ALEJANDRO</t>
  </si>
  <si>
    <t>JEFE DE UNIDAD DE LA UNIDAD DE PLANEAMIENTO Y PRESUPUESTO</t>
  </si>
  <si>
    <t>18143592</t>
  </si>
  <si>
    <t>CHIGNE INFANTES, JORGE LUIS</t>
  </si>
  <si>
    <t>INGENIERÍA INDUSTRIAL</t>
  </si>
  <si>
    <t>24005919</t>
  </si>
  <si>
    <t>CHILLITUPA MUÑOZ, MAGALY</t>
  </si>
  <si>
    <t>16702273</t>
  </si>
  <si>
    <t>CHIRA ZULOETA, MARCO</t>
  </si>
  <si>
    <t xml:space="preserve">EDUCACIÓN SECUNDARIA COMPLETA </t>
  </si>
  <si>
    <t>47306757</t>
  </si>
  <si>
    <t>CHOQUE MAMANI, ROSMERY JULIA</t>
  </si>
  <si>
    <t>71724458</t>
  </si>
  <si>
    <t>CHOQUEHUANCA PAREDES, LIZBETH ROCIO</t>
  </si>
  <si>
    <t>44099953</t>
  </si>
  <si>
    <t>CHOROCO MENA, IMER</t>
  </si>
  <si>
    <t>45952580</t>
  </si>
  <si>
    <t>CHOTA RODRIGUEZ, ORGIO EDSON</t>
  </si>
  <si>
    <t>43121696</t>
  </si>
  <si>
    <t>CHUGDEN MIRANDA, VICTOR RAUL</t>
  </si>
  <si>
    <t>44027720</t>
  </si>
  <si>
    <t>CHUMAN MEZA, FRANK ROBINSON</t>
  </si>
  <si>
    <t>42143366</t>
  </si>
  <si>
    <t>CHUMBILLA CUBA, ALFREDO</t>
  </si>
  <si>
    <t>33673600</t>
  </si>
  <si>
    <t>CHUMIOQUE OCHOA, JOSE LUIS</t>
  </si>
  <si>
    <t>43516556</t>
  </si>
  <si>
    <t>CHURA SANDOVAL, ELVIS RUSBEL</t>
  </si>
  <si>
    <t>08877705</t>
  </si>
  <si>
    <t>CIPRIANI AVALOS, ALEJANDRO AUGUSTO</t>
  </si>
  <si>
    <t>43305990</t>
  </si>
  <si>
    <t>CISNEROS CHAVEZ, INGRID ESMERALDA</t>
  </si>
  <si>
    <t>10778968</t>
  </si>
  <si>
    <t>CLAUDIO SALAS, CINDY LIZ</t>
  </si>
  <si>
    <t>ASISTENTE EN PRESUPUESTO</t>
  </si>
  <si>
    <t>46472973</t>
  </si>
  <si>
    <t>COLLAZOS IBERICO, GIANCARLOS</t>
  </si>
  <si>
    <t>ESPECIALISTA EN CONTRATACIONES PARA EJECUCIÓN CONTRACTUAL</t>
  </si>
  <si>
    <t>42507111</t>
  </si>
  <si>
    <t>CORDOVA ESTRADA, JULISSA FABIOLA</t>
  </si>
  <si>
    <t>CONTADORA</t>
  </si>
  <si>
    <t>ESPECIALISTA EN EVALUACIÓN DE PROCESOS DE MONITOREO Y SUPERVISIÓN DE PROYECTOS</t>
  </si>
  <si>
    <t>42013308</t>
  </si>
  <si>
    <t>CORONEL VILLARREAL, EDGARD MARCELO</t>
  </si>
  <si>
    <t>41047943</t>
  </si>
  <si>
    <t>CRUZ MAMANI, JOSE LUIS</t>
  </si>
  <si>
    <t>41146479</t>
  </si>
  <si>
    <t>CRUZ PAREJA, DYANNA BETSY</t>
  </si>
  <si>
    <t>26677734</t>
  </si>
  <si>
    <t>CUBAS TORRES, JUAN ANTONIO</t>
  </si>
  <si>
    <t>31042543</t>
  </si>
  <si>
    <t>CUCCHI CCASAÑI, MELANIO</t>
  </si>
  <si>
    <t>08565937</t>
  </si>
  <si>
    <t>CUEVA VILLAVICENCIO, CARLOS JORGE</t>
  </si>
  <si>
    <t>Auxiliar en Servicio Documental</t>
  </si>
  <si>
    <t>41576196</t>
  </si>
  <si>
    <t>DEL CARPIO YAÑEZ, AURORA ELIZABETH</t>
  </si>
  <si>
    <t>BACHILLER EN MEDICINA VETERINARIA</t>
  </si>
  <si>
    <t>RESPONSABLE DE CAJA</t>
  </si>
  <si>
    <t>10740012</t>
  </si>
  <si>
    <t>DIAZ ARDELA, VERÓNIKA</t>
  </si>
  <si>
    <t>26616461</t>
  </si>
  <si>
    <t>DÍAZ FERNÁNDEZ, JOSÉ NEY</t>
  </si>
  <si>
    <t>40838475</t>
  </si>
  <si>
    <t>DIAZ GASTELO, RICHARD ALBERTO</t>
  </si>
  <si>
    <t>ESPECIALISTA EN ESTUDIOS EN SOSTENIBILIDAD DE PROYECTOS</t>
  </si>
  <si>
    <t>ESPECIALISTA EN SUPERVISIÓN Y/O PROYECTOS</t>
  </si>
  <si>
    <t>20072024</t>
  </si>
  <si>
    <t>DIAZ ZARATE, LUZ FAVIOLA</t>
  </si>
  <si>
    <t>06853422</t>
  </si>
  <si>
    <t>DIOCES CASTRO, DIEGO EDGARDO</t>
  </si>
  <si>
    <t>04429754</t>
  </si>
  <si>
    <t>DONAYRE SANCHEZ, DANIEL DESIDERIO</t>
  </si>
  <si>
    <t>16776812</t>
  </si>
  <si>
    <t>EFFIO PALACIOS, ANGÉLICA MARÍA</t>
  </si>
  <si>
    <t>ESPECIALISTA ADMINISTRADOR DE CONTRATOS</t>
  </si>
  <si>
    <t>17830258</t>
  </si>
  <si>
    <t>ESCOBEDO PALZA, HOBERTED</t>
  </si>
  <si>
    <t>ANALISTA DE DESARROLLO Y GESTIÓN DE RECURSOS HUMANOS</t>
  </si>
  <si>
    <t>70436889</t>
  </si>
  <si>
    <t>ESPINOZA CAMARGO, SUSSAN JOANNA</t>
  </si>
  <si>
    <t>43719295</t>
  </si>
  <si>
    <t>ESPINOZA CHIPANA, EBER</t>
  </si>
  <si>
    <t>10675311</t>
  </si>
  <si>
    <t>ESPINOZA ROSAS, MIGUEL ANGEL</t>
  </si>
  <si>
    <t>16754409</t>
  </si>
  <si>
    <t>ESTELA VÁSQUEZ, JOSÉ FELIX</t>
  </si>
  <si>
    <t>40423370</t>
  </si>
  <si>
    <t>ESTRADA GALDOS, OSCAR</t>
  </si>
  <si>
    <t>23985230</t>
  </si>
  <si>
    <t>FARFAN SOTOMAYOR, EDWARD</t>
  </si>
  <si>
    <t>JEFE DE UNIDAD DE LA UNIDAD TÉCNICA DE PROYECTOS</t>
  </si>
  <si>
    <t>43066891</t>
  </si>
  <si>
    <t>FERNANDEZ CASTILLO, JIMY RONALD TEOFILO</t>
  </si>
  <si>
    <t>ESPECIALISTA EN SUPERVISION II</t>
  </si>
  <si>
    <t>22517135</t>
  </si>
  <si>
    <t>FERRER GARAY, GIOVANNI ANTONIO</t>
  </si>
  <si>
    <t>29365458</t>
  </si>
  <si>
    <t>FIGUEROA DÍAZ, MARÍA LUZ</t>
  </si>
  <si>
    <t>Ciencias de la Comunicación</t>
  </si>
  <si>
    <t>ESPECIALISTA EN MONITOREO DE PROYECTOS I</t>
  </si>
  <si>
    <t>06913563</t>
  </si>
  <si>
    <t>FLORES ESPINOZA, NESTOR ALFONSO</t>
  </si>
  <si>
    <t>45254722</t>
  </si>
  <si>
    <t>FLORES PINEDO, KELY</t>
  </si>
  <si>
    <t>FLORES SALDAÑA, MELISSA</t>
  </si>
  <si>
    <t>08513701</t>
  </si>
  <si>
    <t>FONSECA FLORES, JORGE LUIS</t>
  </si>
  <si>
    <t>40727400</t>
  </si>
  <si>
    <t>FRETEL OROSCO, NILS NOE</t>
  </si>
  <si>
    <t>SOCIOLOGÍA</t>
  </si>
  <si>
    <t>40399195</t>
  </si>
  <si>
    <t>FUENTES CHAVEZ, JORGE NESTOR</t>
  </si>
  <si>
    <t>RESPONSABLE DE ALMACÉN Y CONTROL PATRIMONIAL</t>
  </si>
  <si>
    <t>06199567</t>
  </si>
  <si>
    <t>GALINDO VEGA, GUILLERMO</t>
  </si>
  <si>
    <t>LICENCIADO EN QUÍMICA</t>
  </si>
  <si>
    <t>44339155</t>
  </si>
  <si>
    <t>GARCIA AGUEDO, FREDDY JHOEL</t>
  </si>
  <si>
    <t>ADMINISTRACIÓN LOGÍSTICA</t>
  </si>
  <si>
    <t>40412802</t>
  </si>
  <si>
    <t>GARCIA AGUILAR, JUAN CARLOS</t>
  </si>
  <si>
    <t>45839554</t>
  </si>
  <si>
    <t>GARCIA PARIAHUAMAN, IRVING AYRTON</t>
  </si>
  <si>
    <t>71207420</t>
  </si>
  <si>
    <t>GARCIA RIVERA, ELIA ROSARIO</t>
  </si>
  <si>
    <t>42342779</t>
  </si>
  <si>
    <t>GARCIA ROSALES, JONATHAN MIGUEL</t>
  </si>
  <si>
    <t>41398103</t>
  </si>
  <si>
    <t>GARCIA VILLEGAS, LAURA AYLIM</t>
  </si>
  <si>
    <t>22063815</t>
  </si>
  <si>
    <t>GAVILANO CARBAJO, JOSE LUIS</t>
  </si>
  <si>
    <t>48099173</t>
  </si>
  <si>
    <t>GAVIRONDO ROMERO, MAYBELLIN GERALDINE</t>
  </si>
  <si>
    <t>07955378</t>
  </si>
  <si>
    <t>GIRALDO FERNÁNDEZ, BERTHA</t>
  </si>
  <si>
    <t>41642521</t>
  </si>
  <si>
    <t>GOMEZ CORTEZ, ANA ISABEL</t>
  </si>
  <si>
    <t>06606075</t>
  </si>
  <si>
    <t>GOMEZ PAHUACHO, SOFIA MARCELINA</t>
  </si>
  <si>
    <t>23903225</t>
  </si>
  <si>
    <t>GOMEZ TEXERUPAY, WILLIAM</t>
  </si>
  <si>
    <t>47441857</t>
  </si>
  <si>
    <t>GONZÁLES BARDÁLEZ, DAYCE KATTY</t>
  </si>
  <si>
    <t>44131815</t>
  </si>
  <si>
    <t>GONZALES BEJAR, CESAR AUGUSTO</t>
  </si>
  <si>
    <t>01310942</t>
  </si>
  <si>
    <t>GONZALES CHURA, JULIO</t>
  </si>
  <si>
    <t>TECNICO EN SOPORTE INFORMÁTICO</t>
  </si>
  <si>
    <t>10881843</t>
  </si>
  <si>
    <t>GONZALES HIDALGO, ALEJANDRO RICARDO</t>
  </si>
  <si>
    <t>INGENIERIA DE SISTEMAS</t>
  </si>
  <si>
    <t>40657291</t>
  </si>
  <si>
    <t>GONZALES SEGOVIA, JOAQUÍN</t>
  </si>
  <si>
    <t>15742557</t>
  </si>
  <si>
    <t>GONZALES TRINIDAD, JOHNNY DELFIN</t>
  </si>
  <si>
    <t>40121758</t>
  </si>
  <si>
    <t>GUERRA MEZA, FREDY</t>
  </si>
  <si>
    <t>80385070</t>
  </si>
  <si>
    <t>GUERRERO APONTE, GLADYS</t>
  </si>
  <si>
    <t>Educacion</t>
  </si>
  <si>
    <t>ADMINISTRADOR DE CONTRATOS</t>
  </si>
  <si>
    <t>09419510</t>
  </si>
  <si>
    <t>GUERRERO BOHORQUEZ, WALTER ALFONSO</t>
  </si>
  <si>
    <t>08760567</t>
  </si>
  <si>
    <t>GUILLEN ANICAMA, LILIANA HELENA</t>
  </si>
  <si>
    <t>ADMINISTRADORA</t>
  </si>
  <si>
    <t>41342759</t>
  </si>
  <si>
    <t>GUZMÁN VALVERDE, ELIANA PATRICIA</t>
  </si>
  <si>
    <t>46053360</t>
  </si>
  <si>
    <t>HARO RODRIGUEZ, JUAN ALBERTO</t>
  </si>
  <si>
    <t>44389568</t>
  </si>
  <si>
    <t>HERNA PURISACA, CESAR AUGUSTO</t>
  </si>
  <si>
    <t>46265259</t>
  </si>
  <si>
    <t>HERNANDEZ BUENO, NEISER JAMES</t>
  </si>
  <si>
    <t>07259801</t>
  </si>
  <si>
    <t>HÉRNANDEZ CAMPANELLA, LOURDES PATRICIA</t>
  </si>
  <si>
    <t>Asistente técnico</t>
  </si>
  <si>
    <t>46967329</t>
  </si>
  <si>
    <t>HERRERA ZAPATA, EDER JOSIMAR</t>
  </si>
  <si>
    <t>08734539</t>
  </si>
  <si>
    <t>HIDALGO LEDESMA, DANIEL ENRIQUE</t>
  </si>
  <si>
    <t>ASISTENTE EN CONTROL PATRIMONIAL</t>
  </si>
  <si>
    <t>09854184</t>
  </si>
  <si>
    <t>HIDALGO NUÑEZ, CESAR HUGO</t>
  </si>
  <si>
    <t>21413292</t>
  </si>
  <si>
    <t>HIDALGO REYES, JOSE ANTONIO</t>
  </si>
  <si>
    <t>TÉCNICO CONTABLE</t>
  </si>
  <si>
    <t>08844900</t>
  </si>
  <si>
    <t>HIJAR CACERES, HUMBERTO NAHUD</t>
  </si>
  <si>
    <t>COORDINADOR DE ÁREA DEL ÁREA DE PROYECTOS ESPECIALES</t>
  </si>
  <si>
    <t>HUAMÁN BALDEÓN, JOSÉ LUIS</t>
  </si>
  <si>
    <t>26632019</t>
  </si>
  <si>
    <t>HUAMÁN LUCANO, MARIA TEONILA</t>
  </si>
  <si>
    <t>42437743</t>
  </si>
  <si>
    <t>HUANAMBAL MIREZ, JORGE ORLANDO</t>
  </si>
  <si>
    <t>40428065</t>
  </si>
  <si>
    <t>HUANCA CABALLERO, MERI</t>
  </si>
  <si>
    <t>COORDINADOR DE ÁREA DEL ÁREA DE ESTUDIOS</t>
  </si>
  <si>
    <t>10197483</t>
  </si>
  <si>
    <t>HUARI GONZALEZ, SYLVIA DORIS</t>
  </si>
  <si>
    <t>ESPECIALISTA EN ESTUDIOS I EN PROYECTOS ESPECIALES</t>
  </si>
  <si>
    <t>46429603</t>
  </si>
  <si>
    <t>HUARINGA HUAMANI, PAMELA GRACE</t>
  </si>
  <si>
    <t>42208776</t>
  </si>
  <si>
    <t>HUAYNA MAMANI, OSCAR CARLOS</t>
  </si>
  <si>
    <t>44639384</t>
  </si>
  <si>
    <t>HUAYRA HUANHUAYO, SAUL</t>
  </si>
  <si>
    <t>42549911</t>
  </si>
  <si>
    <t>HUAYTA HUANCA, EDUARDO CRISTHIAN</t>
  </si>
  <si>
    <t>01320679</t>
  </si>
  <si>
    <t>HUMPIRI TISNADO, JULIO CESAR</t>
  </si>
  <si>
    <t>ESPECIALISTA DE TESORERÍA</t>
  </si>
  <si>
    <t>40312053</t>
  </si>
  <si>
    <t>HURTADO GALLO, EDISON</t>
  </si>
  <si>
    <t>20059737</t>
  </si>
  <si>
    <t>IBARRA POMA, EDGAR FRANCISCO</t>
  </si>
  <si>
    <t>08511661</t>
  </si>
  <si>
    <t>INGA RENGIFO, LOURDES ESPERANZA</t>
  </si>
  <si>
    <t xml:space="preserve">INGENIERA SANITARIA </t>
  </si>
  <si>
    <t>08758238</t>
  </si>
  <si>
    <t>IPANAQUÉ ORELLANA, RAÚL ERNESTO</t>
  </si>
  <si>
    <t>46314821</t>
  </si>
  <si>
    <t>ITA ROLLER, GUSTAVO HAROLD</t>
  </si>
  <si>
    <t>40541187</t>
  </si>
  <si>
    <t>JAHUIRA JINCHUÑA, JOSE FERNANDO</t>
  </si>
  <si>
    <t>22509953</t>
  </si>
  <si>
    <t>JANAMPA MENDOZA, CARLOS NESTOR</t>
  </si>
  <si>
    <t>HOTELERIA Y TURISMO</t>
  </si>
  <si>
    <t>JIMENEZ BORDA, NATILDINA DIONISIA</t>
  </si>
  <si>
    <t>INGENIERIA CIVIL</t>
  </si>
  <si>
    <t>Especialista en Monitoreo</t>
  </si>
  <si>
    <t>40766966</t>
  </si>
  <si>
    <t>JIMÉNEZ FLORES, JORGE FERNANDO</t>
  </si>
  <si>
    <t>23975388</t>
  </si>
  <si>
    <t>LAURA DELGADO, VLADIMIR</t>
  </si>
  <si>
    <t>24700694</t>
  </si>
  <si>
    <t>LAURA QUISPE, VLADIMIR</t>
  </si>
  <si>
    <t>29616239</t>
  </si>
  <si>
    <t>LAURA RAMOS, JAVIER ENRIQUE</t>
  </si>
  <si>
    <t>44376402</t>
  </si>
  <si>
    <t>LAZO CAÑETE, FRANCIS</t>
  </si>
  <si>
    <t>COORDINADOR DE ÁREA DEL ÁREA DE EJECUCIÓN DE PROYECTOS</t>
  </si>
  <si>
    <t>09035558</t>
  </si>
  <si>
    <t>LAZO PEREZ, ANA MARÍA</t>
  </si>
  <si>
    <t>21782021</t>
  </si>
  <si>
    <t>LÉVANO DE LA CRUZ, RÓMULO CÉSAR</t>
  </si>
  <si>
    <t>70260683</t>
  </si>
  <si>
    <t>LLALLICO MANZANEDO, JUAN JOSE</t>
  </si>
  <si>
    <t>16786901</t>
  </si>
  <si>
    <t>LLAPAPASCA RODRIGUEZ, ROGER</t>
  </si>
  <si>
    <t xml:space="preserve">ADMINISTRADOR </t>
  </si>
  <si>
    <t>ANALISTA EN EVALUACIÓN</t>
  </si>
  <si>
    <t>06607316</t>
  </si>
  <si>
    <t>LOLI ROMERO, MARIANA</t>
  </si>
  <si>
    <t>32956557</t>
  </si>
  <si>
    <t>LOMBARDI VILLANUEVA, JERRY JUAN</t>
  </si>
  <si>
    <t>42468436</t>
  </si>
  <si>
    <t>LÓPEZ CAMONES, ALEXANDER LENIN</t>
  </si>
  <si>
    <t>07632734</t>
  </si>
  <si>
    <t>LÓPEZ LEÓN, NESTOR FREDY</t>
  </si>
  <si>
    <t>42344731</t>
  </si>
  <si>
    <t>LÓPEZ LIZARRAGA, MAYRA LUZ</t>
  </si>
  <si>
    <t>ESPECIALISTA SOCIAL DE MONITOREO DE EJECUCION DE PROYECTOS POR CONTRATA</t>
  </si>
  <si>
    <t>09668507</t>
  </si>
  <si>
    <t>LÓPEZ VALDEZ, FLOR AGRIPINA</t>
  </si>
  <si>
    <t>TRABAJADORA SOCIAL</t>
  </si>
  <si>
    <t>ESPECIALISTA EN GESTION DE LA INFORMACION Y PROCESOS</t>
  </si>
  <si>
    <t>07868605</t>
  </si>
  <si>
    <t>LOZADA BONILLA, MARIA AMPARO</t>
  </si>
  <si>
    <t>INGENIERA EN COMPUTACIÓN Y SISTEMAS</t>
  </si>
  <si>
    <t>41053321</t>
  </si>
  <si>
    <t>LOZADA ENRIQUEZ, LUCERO DELICIA</t>
  </si>
  <si>
    <t>ASISTENTE ADMINISTRATIVO DOCUMENTARIO</t>
  </si>
  <si>
    <t>10594651</t>
  </si>
  <si>
    <t>LOZANO BLANCOS, JOSE EFRAIN</t>
  </si>
  <si>
    <t>08052306</t>
  </si>
  <si>
    <t>LUDEÑA QUIQUIA, CESAR AUGUSTO</t>
  </si>
  <si>
    <t>47045116</t>
  </si>
  <si>
    <t>LUJAN SANTOS, JOHAN MARLON</t>
  </si>
  <si>
    <t>46578936</t>
  </si>
  <si>
    <t>MACELI SIMON, ANIKA PAOOLA</t>
  </si>
  <si>
    <t>23852916</t>
  </si>
  <si>
    <t>MACHACA VALERO, NESTOR ANDRES</t>
  </si>
  <si>
    <t>01991949</t>
  </si>
  <si>
    <t>MACHICAO CLAROS, PERCY</t>
  </si>
  <si>
    <t>31834092</t>
  </si>
  <si>
    <t>MACHUCA LUIS, JAIME EDGAR</t>
  </si>
  <si>
    <t>10308478</t>
  </si>
  <si>
    <t>MAGRO HUAPAYA, SEVERINO ANIBAL</t>
  </si>
  <si>
    <t>41963731</t>
  </si>
  <si>
    <t>MAGUIÑA JAVIER, MICHELL ARTURO</t>
  </si>
  <si>
    <t>JEFE DEL AREA DE TESORERIA</t>
  </si>
  <si>
    <t>25792649</t>
  </si>
  <si>
    <t>MALAGA SILVA, EDUARDO ALFREDO</t>
  </si>
  <si>
    <t>24981978</t>
  </si>
  <si>
    <t>MAMANI CHUJTAYA, MARIA LUISA</t>
  </si>
  <si>
    <t>ANALISTA EN SERVICIOS GENERALES</t>
  </si>
  <si>
    <t>45999634</t>
  </si>
  <si>
    <t>MANAYAY AZABACHE, PEDRO ANDRES</t>
  </si>
  <si>
    <t>ESPECIALISTA EN EVALUACIÓN</t>
  </si>
  <si>
    <t>23869894</t>
  </si>
  <si>
    <t>MANSILLA ASTETE, HERNAN ANTONIO</t>
  </si>
  <si>
    <t>01320876</t>
  </si>
  <si>
    <t>MARCA HUANCA, PERCY ULISES</t>
  </si>
  <si>
    <t>Especialista en Supervisión II</t>
  </si>
  <si>
    <t>42435080</t>
  </si>
  <si>
    <t>MARIÑAS ESPINOZA, CARLOS ENRIQUE</t>
  </si>
  <si>
    <t>23964815</t>
  </si>
  <si>
    <t>MAROCHO GAMARRA, MARCO ANTONIO</t>
  </si>
  <si>
    <t>COORDINADOR DEL ÁREA DEL ÁREA DE TESORERÍA</t>
  </si>
  <si>
    <t>41931587</t>
  </si>
  <si>
    <t>MARQUINA BENDEZU, YURI IVAN</t>
  </si>
  <si>
    <t>ESPECIALISTA EN EVALUACIÓN DE PROYECTOS DE INVERSIÓN PÚBLICA</t>
  </si>
  <si>
    <t>08654283</t>
  </si>
  <si>
    <t>MARTEL ORTIZ, MERY ALEJANDRINA</t>
  </si>
  <si>
    <t>INGENIERA AGRÍCOLA</t>
  </si>
  <si>
    <t>09982191</t>
  </si>
  <si>
    <t>MARTINEZ GAMBINI, MARISOL ROSA</t>
  </si>
  <si>
    <t>RELACIONES INDUSTRIALES</t>
  </si>
  <si>
    <t>ANALISTA EN MONITOREO Y SEGUIMIENTO</t>
  </si>
  <si>
    <t>08781384</t>
  </si>
  <si>
    <t>MAS RAMIREZ, CARLOS ALFREDO</t>
  </si>
  <si>
    <t>INGENIERIA INDUSTRIAL</t>
  </si>
  <si>
    <t>23831931</t>
  </si>
  <si>
    <t>MASIAS TINCO, EMILIANO JONSON</t>
  </si>
  <si>
    <t>ESPECIALISTA GEOGRAFO</t>
  </si>
  <si>
    <t>08902956</t>
  </si>
  <si>
    <t>MAURICIO TIXE, MARCO ANTONIO</t>
  </si>
  <si>
    <t>GEÓGRAFO</t>
  </si>
  <si>
    <t>Asistente Técnico en Liquidaciones</t>
  </si>
  <si>
    <t>45018199</t>
  </si>
  <si>
    <t>MAYANGA GONZALES, EDITH DEL ROCIO</t>
  </si>
  <si>
    <t>80661438</t>
  </si>
  <si>
    <t>MEDINA JIMENEZ, DEYSI MELISSA</t>
  </si>
  <si>
    <t>Técnico en Trasferencias y Organización Documental</t>
  </si>
  <si>
    <t>45259315</t>
  </si>
  <si>
    <t>MELENDEZ SALAZAR, MAX FRANCIS</t>
  </si>
  <si>
    <t>HISTORIA</t>
  </si>
  <si>
    <t>ABOGADO ESPECIALISTA EN DERECHO ADMINISTRATIVO Y CONTRATACIONES DEL ESTADO</t>
  </si>
  <si>
    <t>08849822</t>
  </si>
  <si>
    <t>MELGAR GUEVARA, MANUEL ANTONIO</t>
  </si>
  <si>
    <t>Técnico en Procesos Archivísticos</t>
  </si>
  <si>
    <t>44098762</t>
  </si>
  <si>
    <t>MELGAREJO DIAZ, EDITH DELIA</t>
  </si>
  <si>
    <t>BACHILLER EN HISTORIA</t>
  </si>
  <si>
    <t>80299642</t>
  </si>
  <si>
    <t>MENDEZ CORDOVA, KAREM MAYTHE</t>
  </si>
  <si>
    <t>ESPECIALISTA EN CONTABILIDAD SENIOR</t>
  </si>
  <si>
    <t>17449016</t>
  </si>
  <si>
    <t>MENDOZA BRAVO, GISELA MARIBEL</t>
  </si>
  <si>
    <t>17536406</t>
  </si>
  <si>
    <t>MENDOZA CALLACNA, TEODORO FLORENTINO</t>
  </si>
  <si>
    <t>INGENIERO ESPECIALISTA SENIOR DE EVALUACIÓN DE CALIDAD DE PROYECTOS DE INVERSIÓN PÚBLICA</t>
  </si>
  <si>
    <t>MERA BERRIOS, JOSE MOISES</t>
  </si>
  <si>
    <t>ASISTENTE EN COMUNICACIONES</t>
  </si>
  <si>
    <t>41142759</t>
  </si>
  <si>
    <t>MERE VIDAL, JORGE ANTONIO</t>
  </si>
  <si>
    <t>DISEÑO GRAFICO</t>
  </si>
  <si>
    <t>ASESOR DE LA DIRECCIÓN EJECUTIVA</t>
  </si>
  <si>
    <t>25662387</t>
  </si>
  <si>
    <t>MEZA DE LAREDO, ROSA OLINDA</t>
  </si>
  <si>
    <t>07152360</t>
  </si>
  <si>
    <t>MIRANDA GONZALES, ORLANDO EDGAR</t>
  </si>
  <si>
    <t xml:space="preserve">EDUCACIÓN SECUNDARIA COMPLETA  </t>
  </si>
  <si>
    <t>26709553</t>
  </si>
  <si>
    <t>MISAHUAMAN DEL CAMPO, MELBA ELIZABETH</t>
  </si>
  <si>
    <t>26697540</t>
  </si>
  <si>
    <t>MISAHUAMÁN DEL CAMPO, RAQUEL MARLENY</t>
  </si>
  <si>
    <t>09702723</t>
  </si>
  <si>
    <t>MOGOLLON ESCOBAR, ENRIQUE</t>
  </si>
  <si>
    <t>41850191</t>
  </si>
  <si>
    <t>MOGOLLON LLONTOP, MARILU MERCEDES</t>
  </si>
  <si>
    <t>OBSTETRICIA</t>
  </si>
  <si>
    <t>45745364</t>
  </si>
  <si>
    <t>MOLINA LIZANA, MIGUEL</t>
  </si>
  <si>
    <t>MOLINA QUIZA, WILFREDO</t>
  </si>
  <si>
    <t>40993719</t>
  </si>
  <si>
    <t>MOLINA YANGALI, LUZ DIYANIRA</t>
  </si>
  <si>
    <t>45914809</t>
  </si>
  <si>
    <t>MONJA RODRIGUEZ, JUAN GUILLERMO</t>
  </si>
  <si>
    <t>41629929</t>
  </si>
  <si>
    <t>MONTALVAN RUIZ, DARWIN</t>
  </si>
  <si>
    <t>42497403</t>
  </si>
  <si>
    <t>MONTORO VILLARREAL, NILTON JOSE</t>
  </si>
  <si>
    <t>40126521</t>
  </si>
  <si>
    <t>MONZON PONCE DE LEON, SUZANNE EMILY</t>
  </si>
  <si>
    <t>24494403</t>
  </si>
  <si>
    <t>MORALES PEZO, MARÍA ÚRSULA</t>
  </si>
  <si>
    <t>07003178</t>
  </si>
  <si>
    <t>MORALES VERA, ROSA</t>
  </si>
  <si>
    <t>ANALISTA EN GESTIÓN DOCUMENTAL Y ARCHIVO</t>
  </si>
  <si>
    <t>25780183</t>
  </si>
  <si>
    <t>MORENO VASQUEZ, JORGE LUIS</t>
  </si>
  <si>
    <t>48123090</t>
  </si>
  <si>
    <t>MORI ANGULO, JEAN CARLOS</t>
  </si>
  <si>
    <t>MORI QUIROZ, DENNISS</t>
  </si>
  <si>
    <t>05240613</t>
  </si>
  <si>
    <t>MORI VARGAS, MARIO ANTONIO</t>
  </si>
  <si>
    <t>06107739</t>
  </si>
  <si>
    <t>MOSCOSO BAZALAR, AUGUSTO ALBERTO</t>
  </si>
  <si>
    <t>18139439</t>
  </si>
  <si>
    <t>MOYA AVALOS, LENINA</t>
  </si>
  <si>
    <t>ESPECIALISTA EN MONITOREO DE PROYECTOS II</t>
  </si>
  <si>
    <t>15438843</t>
  </si>
  <si>
    <t>MULLISACA HUAMANI, MIRIAM</t>
  </si>
  <si>
    <t>10533535</t>
  </si>
  <si>
    <t>MULLISACA PACCO, ABRAHAM</t>
  </si>
  <si>
    <t>21462367</t>
  </si>
  <si>
    <t>MUÑOZ BENDEZU, RUTH FANNY</t>
  </si>
  <si>
    <t>ANALISTA EN SISTEMATIZACIÓN DE INFORMACIÓN DE PROYECTOS</t>
  </si>
  <si>
    <t>10285016</t>
  </si>
  <si>
    <t>MUÑOZ MORENO, JOSE FERNANDO</t>
  </si>
  <si>
    <t>ESPECIALISTA EN MONITOREO DE GESTIÓN TERRITORIAL DESCONCENTRADA</t>
  </si>
  <si>
    <t>08399800</t>
  </si>
  <si>
    <t>NAQUIRA CORNEJO, RENAN ANDRES</t>
  </si>
  <si>
    <t>40054909</t>
  </si>
  <si>
    <t>NEGRON LIENDO, JORGE BARTOLOME</t>
  </si>
  <si>
    <t>22641607</t>
  </si>
  <si>
    <t>NIETO FIGUEREDO, ATHALIA GLADYS</t>
  </si>
  <si>
    <t>23950258</t>
  </si>
  <si>
    <t>NINA GUTIERREZ, HAROLDO SILVESTRE</t>
  </si>
  <si>
    <t>CONDUCTOR DE VEHÍCULOS</t>
  </si>
  <si>
    <t>44018410</t>
  </si>
  <si>
    <t>NIÑO DE GUZMAN VELASQUEZ, NILO</t>
  </si>
  <si>
    <t>42255148</t>
  </si>
  <si>
    <t>NOE YAPAPASCA, WALTER AGUSTO</t>
  </si>
  <si>
    <t>40631162</t>
  </si>
  <si>
    <t>NOLASCO ORELLANA, MARIA SOLEDAD</t>
  </si>
  <si>
    <t>07310553</t>
  </si>
  <si>
    <t>NOLASCO RODRIGUEZ, CARMEN SUSANA</t>
  </si>
  <si>
    <t>18143814</t>
  </si>
  <si>
    <t>NÚÑEZ GONZÁLEZ, MIRKA KATHERINE</t>
  </si>
  <si>
    <t>26613404</t>
  </si>
  <si>
    <t>NUÑEZ ROJAS, CARLOS EDUARDO</t>
  </si>
  <si>
    <t>06601681</t>
  </si>
  <si>
    <t>NÚÑEZ VILLENA, ELIZABETH JESUS</t>
  </si>
  <si>
    <t>41699782</t>
  </si>
  <si>
    <t>NUÑEZ WONG, ERICK ARNOLD</t>
  </si>
  <si>
    <t>43154748</t>
  </si>
  <si>
    <t>ÑAHUI ÑIQUEN, JOSE LUIS</t>
  </si>
  <si>
    <t>INGENIERÍA DE SISTEMAS</t>
  </si>
  <si>
    <t>46458931</t>
  </si>
  <si>
    <t>ÑAÑEZ CHOQUE, JAIR CONSTANTINO</t>
  </si>
  <si>
    <t>08880285</t>
  </si>
  <si>
    <t>OCAÑA CANALES, NATTALY GABRIELA</t>
  </si>
  <si>
    <t>28317374</t>
  </si>
  <si>
    <t>OCHANTE TINEO, ANGEL MOISES</t>
  </si>
  <si>
    <t>23993295</t>
  </si>
  <si>
    <t>OCON ARAUJO, CHARLES</t>
  </si>
  <si>
    <t>BIOLOGÍA</t>
  </si>
  <si>
    <t>09142718</t>
  </si>
  <si>
    <t>ORÉ GARNICA, ALEJANDRO POMPEYO</t>
  </si>
  <si>
    <t>70082011</t>
  </si>
  <si>
    <t>ORELLANA FELIPE, RAUL EDUARDO</t>
  </si>
  <si>
    <t>10324457</t>
  </si>
  <si>
    <t>ORIHUELA MORALES, CESAR WILMER</t>
  </si>
  <si>
    <t>ANALISTA DE EJECUCION PRESUPUESTAL</t>
  </si>
  <si>
    <t>25536375</t>
  </si>
  <si>
    <t>ORMEÑO VALENCIA, MARIA OLGA</t>
  </si>
  <si>
    <t>ORTEGA LOAYZA, ALDO OMAR</t>
  </si>
  <si>
    <t>42346840</t>
  </si>
  <si>
    <t>ORTIZ HUAYLLA, ZOSIMO</t>
  </si>
  <si>
    <t>40913508</t>
  </si>
  <si>
    <t>OSORIO CARRASCO, CÈSAR RICARDO</t>
  </si>
  <si>
    <t>47197066</t>
  </si>
  <si>
    <t>PACCARI CONDORI, JUAN CARLOS</t>
  </si>
  <si>
    <t>72518810</t>
  </si>
  <si>
    <t>PACHERRES TIMANA, SARITA JUDITH</t>
  </si>
  <si>
    <t>ESPECIALISTA ADMINISTRADOR INFORMÁTICO</t>
  </si>
  <si>
    <t>25858497</t>
  </si>
  <si>
    <t>PAICO JAIME, JULIO CESAR</t>
  </si>
  <si>
    <t>06931770</t>
  </si>
  <si>
    <t>PAICO MOSCOL, CARLOS ALBERTO</t>
  </si>
  <si>
    <t>22517936</t>
  </si>
  <si>
    <t>PALACIOS ALCÁNTARA, EDSON LYNDER</t>
  </si>
  <si>
    <t>42795008</t>
  </si>
  <si>
    <t>PALACIOS SANTA CRUZ, CLAUDIA LISSETH</t>
  </si>
  <si>
    <t>ESPECIALISTA EN ESTUDIOS III</t>
  </si>
  <si>
    <t>70265970</t>
  </si>
  <si>
    <t>PALMA VARGAS, RICARDO</t>
  </si>
  <si>
    <t>JEFE DE UNIDAD DE LA UNIDAD DE ASESORÍA LEGAL</t>
  </si>
  <si>
    <t>40493104</t>
  </si>
  <si>
    <t>PALOMINO GIURCOVICH, KARINA ELIZABETH</t>
  </si>
  <si>
    <t>42058933</t>
  </si>
  <si>
    <t>PALOMINO PEREZ, MAYA SANDRA</t>
  </si>
  <si>
    <t>ANTROPÓLOGA</t>
  </si>
  <si>
    <t>32739177</t>
  </si>
  <si>
    <t>PAREDES GADEA, JANET ERLIZA</t>
  </si>
  <si>
    <t>05402548</t>
  </si>
  <si>
    <t>PAREDES VENTURA, PABLO</t>
  </si>
  <si>
    <t>ESPECIALISTA EN SUPERVISIÓN DE OBRAS, COSTOS Y PRESUPUESTOS</t>
  </si>
  <si>
    <t>30832550</t>
  </si>
  <si>
    <t>PARICAHUA ANAHUE, CESAR</t>
  </si>
  <si>
    <t>TÉCNICO EN SOPORTE INFORMÁTICO</t>
  </si>
  <si>
    <t>42637921</t>
  </si>
  <si>
    <t>PARIHUAMAN CURSE, JHONNY ROBERT</t>
  </si>
  <si>
    <t>COMPUTACIÓN INFORMÁTICA</t>
  </si>
  <si>
    <t>41004056</t>
  </si>
  <si>
    <t>PARRA BASADRE, RENZO PAUL</t>
  </si>
  <si>
    <t>ESPECIALISTA EN INFORMÁTICA I</t>
  </si>
  <si>
    <t>40512168</t>
  </si>
  <si>
    <t>PASQUEL CABANA, FELIX EDINHO</t>
  </si>
  <si>
    <t>09999096</t>
  </si>
  <si>
    <t>PELAEZ SANTILLAN, EBERTH</t>
  </si>
  <si>
    <t>02773889</t>
  </si>
  <si>
    <t>PEÑA NIÑO, MERCEDES ANGELINA</t>
  </si>
  <si>
    <t>LICENCIADA EN CIENCIAS DE LA INFORMACIÓN</t>
  </si>
  <si>
    <t>PEÑA ORREGO, EDUARDO FLORENTINO</t>
  </si>
  <si>
    <t>ESPECIALISTA SENIOR EN ADQUISICIONES</t>
  </si>
  <si>
    <t>09659696</t>
  </si>
  <si>
    <t>PERALES OLANO, JAQUELINE GUADALUPE</t>
  </si>
  <si>
    <t>PEREDA HUAMAN, CINTHIA VANESSA</t>
  </si>
  <si>
    <t>16670948</t>
  </si>
  <si>
    <t>PERLECHE UCEDA, BETY ISABEL</t>
  </si>
  <si>
    <t>ESPECIALISTA EN GESTION MUNICIPAL</t>
  </si>
  <si>
    <t>03127155</t>
  </si>
  <si>
    <t>PINTADO REYES, JOSE ALEXANDER</t>
  </si>
  <si>
    <t>LICENCIADO EN EDUCACIÓN</t>
  </si>
  <si>
    <t>ESPECIALISTA EN INTEGRACION CONTABLE</t>
  </si>
  <si>
    <t>09925628</t>
  </si>
  <si>
    <t>PIZARRO ALMERCO, HENDER</t>
  </si>
  <si>
    <t>COORDINADOR DEL ÁREA DEL ÁREA DE CONTABILIDAD</t>
  </si>
  <si>
    <t>80307320</t>
  </si>
  <si>
    <t>POMACANCHARI SOLIS, CLEBER</t>
  </si>
  <si>
    <t>43069750</t>
  </si>
  <si>
    <t>PONCE BARNETT, TIRZA NEVAI</t>
  </si>
  <si>
    <t>ESPECIALISTA EN SUPERVISIÓN Y MONITOREO DE PROYECTOS</t>
  </si>
  <si>
    <t>46722793</t>
  </si>
  <si>
    <t>PONCE MERMA, DELFIN</t>
  </si>
  <si>
    <t>45756597</t>
  </si>
  <si>
    <t>PONCE MERMA, TATIANA</t>
  </si>
  <si>
    <t>43991603</t>
  </si>
  <si>
    <t>PORRAS SÁNCHEZ, GLADYS MIRIAM</t>
  </si>
  <si>
    <t>42490430</t>
  </si>
  <si>
    <t>PORTA INGA, JAMES ESAU</t>
  </si>
  <si>
    <t>ASISTENTE DE ALMACÉN Y CONTROL PATRIMONIAL</t>
  </si>
  <si>
    <t>80453519</t>
  </si>
  <si>
    <t>PORTAL FERNANDEZ, CHRISTIAN RUDY</t>
  </si>
  <si>
    <t>TÉCNICO EN ADMINISTRADOR DE REDES</t>
  </si>
  <si>
    <t>45242180</t>
  </si>
  <si>
    <t>PRADO ROJAS, ARMANDO NOÉ</t>
  </si>
  <si>
    <t>ESPECIALISTA SOCIAL DE MONITOREO DE ESTUDIOS</t>
  </si>
  <si>
    <t>10020785</t>
  </si>
  <si>
    <t>PUCHURI BELLIDO, MABEL</t>
  </si>
  <si>
    <t>43672258</t>
  </si>
  <si>
    <t>PUERTA PINEDO, YGOR JOFRE</t>
  </si>
  <si>
    <t>10633584</t>
  </si>
  <si>
    <t>QUEZADA VALDEZ, SUSAN CAROL</t>
  </si>
  <si>
    <t>CONDUCTOR DE VEHÍCULO PARA LA SEDE CENTRAL DEL PNSR</t>
  </si>
  <si>
    <t>42248248</t>
  </si>
  <si>
    <t>QUIROZ AGUILAR, MIGUEL ANGEL</t>
  </si>
  <si>
    <t>27437795</t>
  </si>
  <si>
    <t>QUISPE CORONADO, JUAN JOSE</t>
  </si>
  <si>
    <t>28295158</t>
  </si>
  <si>
    <t>QUISPE CUADROS, ANIBAL</t>
  </si>
  <si>
    <t>47335301</t>
  </si>
  <si>
    <t>QUISPE TAYPE, MARIA ELENA</t>
  </si>
  <si>
    <t>40365659</t>
  </si>
  <si>
    <t>RABASA BARBOZA, ASCELI ISABEL</t>
  </si>
  <si>
    <t>45407261</t>
  </si>
  <si>
    <t>RAMOS ARENAS, KARIN ERIKA</t>
  </si>
  <si>
    <t>16636350</t>
  </si>
  <si>
    <t>RAMOS CASTAÑEDA, JORGE LUIS</t>
  </si>
  <si>
    <t>46306605</t>
  </si>
  <si>
    <t>RAMOS CORDOVA, HENRY</t>
  </si>
  <si>
    <t>01146677</t>
  </si>
  <si>
    <t>REATEGUI CORDOVA, JAVIER</t>
  </si>
  <si>
    <t>ANALISTA FINANCIERO</t>
  </si>
  <si>
    <t>10288005</t>
  </si>
  <si>
    <t>REATEGUI RAMIREZ, MARY ROSA</t>
  </si>
  <si>
    <t>ESPECIALISTA FINANCIERO CONTABLE</t>
  </si>
  <si>
    <t>07752108</t>
  </si>
  <si>
    <t>RETTES VIDAL, GABRIEL MAXIMILIANO</t>
  </si>
  <si>
    <t>26706173</t>
  </si>
  <si>
    <t>REYES VILLEGAS, STALIN</t>
  </si>
  <si>
    <t>40048873</t>
  </si>
  <si>
    <t>REYES ZARATE, EDITH</t>
  </si>
  <si>
    <t>17526471</t>
  </si>
  <si>
    <t>RIVERA CARRANZA, RICARDO MIGUEL</t>
  </si>
  <si>
    <t>21884322</t>
  </si>
  <si>
    <t>RIVERA HURTADO, ROXANA</t>
  </si>
  <si>
    <t>Auxiliar de Oficina</t>
  </si>
  <si>
    <t>48037939</t>
  </si>
  <si>
    <t>RIVERA SHUPINGAHUA, CARLOS HUMBERTO</t>
  </si>
  <si>
    <t>RODRÍGUEZ CÁCERES, FRANK ANTONIO</t>
  </si>
  <si>
    <t>43780808</t>
  </si>
  <si>
    <t>RODRIGUEZ CARRASCO, MERLY ANALY</t>
  </si>
  <si>
    <t>RODRIGUEZ CUBA, MARIA CECILIA</t>
  </si>
  <si>
    <t>22273104</t>
  </si>
  <si>
    <t>RODRIGUEZ LANDEO, ELIZABETH CATERINE</t>
  </si>
  <si>
    <t>28289831</t>
  </si>
  <si>
    <t>ROJAS CASTILLO, EDGAR JESUS</t>
  </si>
  <si>
    <t>10638191</t>
  </si>
  <si>
    <t>ROJAS RAMOS, RAFAEL FRANCOIS</t>
  </si>
  <si>
    <t>43515358</t>
  </si>
  <si>
    <t>ROJAS TRIGOSO, ELMER</t>
  </si>
  <si>
    <t>MECÁNICO AUTOMOTRIZ</t>
  </si>
  <si>
    <t>45446037</t>
  </si>
  <si>
    <t>ROMERO DIAZ, KAREN JUDITH</t>
  </si>
  <si>
    <t>INGENIERIA EN GESTIÓN EMPRESARIAL</t>
  </si>
  <si>
    <t>22499194</t>
  </si>
  <si>
    <t>ROMERO MORALES, MARCO ANTONIO</t>
  </si>
  <si>
    <t>42120028</t>
  </si>
  <si>
    <t>ROMERO SALAZAR, WALTER EDUARDO</t>
  </si>
  <si>
    <t>23929240</t>
  </si>
  <si>
    <t>ROMERO URVIOLA, JAMES ALBERTO</t>
  </si>
  <si>
    <t>47190972</t>
  </si>
  <si>
    <t>ROSALES SALAS, JOEL ALEJANDRO</t>
  </si>
  <si>
    <t>06631440</t>
  </si>
  <si>
    <t>ROSALES TREJO, JAVIER ROLANDO</t>
  </si>
  <si>
    <t>47905654</t>
  </si>
  <si>
    <t>ROSARIO CANO, FERNANDO ALISONY</t>
  </si>
  <si>
    <t>ESPECIALISTA EN SUPERVISIÓN HIDROGEOLÓGICA</t>
  </si>
  <si>
    <t>16549864</t>
  </si>
  <si>
    <t>RUBIO FLORES, ROLANDO</t>
  </si>
  <si>
    <t>INGENIERÍA ELECTROMECÁNICO</t>
  </si>
  <si>
    <t>40208859</t>
  </si>
  <si>
    <t>RUIZ ENERO, PATRICIA ANGELICA</t>
  </si>
  <si>
    <t>SALAZAR NEIRA, HUGO ENRIQUE</t>
  </si>
  <si>
    <t>09764216</t>
  </si>
  <si>
    <t>SALAZAR SANCHEZ, JOSE LUIS</t>
  </si>
  <si>
    <t>41232447</t>
  </si>
  <si>
    <t>SALDAÑA GARCIA, EDUARDO VLADIMIR</t>
  </si>
  <si>
    <t>18197968</t>
  </si>
  <si>
    <t>SALDAÑA RABANAL, MILDRED DE JESUS</t>
  </si>
  <si>
    <t>10185982</t>
  </si>
  <si>
    <t>SALDAÑA TORRES, RICHARD HENRY</t>
  </si>
  <si>
    <t>06589022</t>
  </si>
  <si>
    <t>SALHUANA ESPINOSA, EDDA MERCEDES</t>
  </si>
  <si>
    <t>ESPECIALISTA DE SOSTENIBILIDAD</t>
  </si>
  <si>
    <t>09657868</t>
  </si>
  <si>
    <t>SALVADOR ATANACIO, JANET MILAGRO</t>
  </si>
  <si>
    <t>09904887</t>
  </si>
  <si>
    <t>SALVADOR TIXE, JUAN CARLOS</t>
  </si>
  <si>
    <t>43635570</t>
  </si>
  <si>
    <t>SANCHEZ GONZALES, ALBERTO</t>
  </si>
  <si>
    <t>48145816</t>
  </si>
  <si>
    <t>SANGAY POMATANTA, JAVIER</t>
  </si>
  <si>
    <t>00249840</t>
  </si>
  <si>
    <t>SANJINEZ CABRERA, DORIS CARMEN</t>
  </si>
  <si>
    <t>PERIODISMO</t>
  </si>
  <si>
    <t>40433789</t>
  </si>
  <si>
    <t>SANTA MARÍA CABRERA, GINA JACQUELINE</t>
  </si>
  <si>
    <t>ESPECIALISTA EN ESTUDIOS I</t>
  </si>
  <si>
    <t>21425343</t>
  </si>
  <si>
    <t>SANTANA PINO, CARMEN LOURDES</t>
  </si>
  <si>
    <t>45514990</t>
  </si>
  <si>
    <t>SAÑUDO CHUMBES, EDITH YRMA</t>
  </si>
  <si>
    <t>06652912</t>
  </si>
  <si>
    <t>SARABIA VEGA, MARÍA EMMA ESTELA</t>
  </si>
  <si>
    <t>01292211</t>
  </si>
  <si>
    <t>SARAVIA ANGLES, ZULMA ROCIO</t>
  </si>
  <si>
    <t>43009778</t>
  </si>
  <si>
    <t>SAUCEDO SANTISTEBAN, JUSTAVO ADOLFO</t>
  </si>
  <si>
    <t>06265668</t>
  </si>
  <si>
    <t>SEGUIL ABARCA, EDUARDO MIGUEL</t>
  </si>
  <si>
    <t>42904776</t>
  </si>
  <si>
    <t>SEQUEIROS CATALAN, YENY ARALI</t>
  </si>
  <si>
    <t>ESPECIALISTA ESTUDIOS</t>
  </si>
  <si>
    <t>SILUPU GUINEA, CARLOS MIGUEL</t>
  </si>
  <si>
    <t>10331094</t>
  </si>
  <si>
    <t>SILVA DIAZ, MAVEL ELIZABETH</t>
  </si>
  <si>
    <t>22762618</t>
  </si>
  <si>
    <t>SOBRADO GOMEZ, NILTON YONEL</t>
  </si>
  <si>
    <t>40232442</t>
  </si>
  <si>
    <t>SOLDEVILLA LÓPEZ, RICARDO</t>
  </si>
  <si>
    <t>LICENCIADO EN PSICOLOGÍA</t>
  </si>
  <si>
    <t>COORDINADORA DE ÁREA DEL ÁREA DE RECURSOS HUMANOS</t>
  </si>
  <si>
    <t>44636494</t>
  </si>
  <si>
    <t>SOLIS JÁUREGUI, LAURA CAROLINA</t>
  </si>
  <si>
    <t>PSICÓLOGA</t>
  </si>
  <si>
    <t>SOLORZANO ESPARZA, MILTON ALEJANDRO</t>
  </si>
  <si>
    <t>40080691</t>
  </si>
  <si>
    <t>SOTELO COLLANTES, LOURDES DEL PILAR</t>
  </si>
  <si>
    <t>43667725</t>
  </si>
  <si>
    <t>SOTO MAMANI, MARIELA</t>
  </si>
  <si>
    <t>40199990</t>
  </si>
  <si>
    <t>SOUZA DEL AGUILA, JULIO AUGUSTO</t>
  </si>
  <si>
    <t>45481447</t>
  </si>
  <si>
    <t>SUAREZ BECERRA, MARLON OMAR</t>
  </si>
  <si>
    <t>28313114</t>
  </si>
  <si>
    <t>SUAREZ CUYA, JESUS</t>
  </si>
  <si>
    <t>SUAREZ JANAMPA, HENRY ANDRE</t>
  </si>
  <si>
    <t>ESPECIALISTA EN LIQUIDACIONES</t>
  </si>
  <si>
    <t>44127031</t>
  </si>
  <si>
    <t>SULCA CRUZ, ALFONSO</t>
  </si>
  <si>
    <t>31673352</t>
  </si>
  <si>
    <t>TARAZONA CORZO, ERICK GALINDO</t>
  </si>
  <si>
    <t>26632280</t>
  </si>
  <si>
    <t>TELLO CHIONG, JULIO CARLOS</t>
  </si>
  <si>
    <t>26632200</t>
  </si>
  <si>
    <t>18162080</t>
  </si>
  <si>
    <t>TELLO REYNA, HENRY BELTRAN</t>
  </si>
  <si>
    <t>ESPECIALISTA EN EVALUACIÓN DE LA GESTIÓN SOCIAL</t>
  </si>
  <si>
    <t>43825431</t>
  </si>
  <si>
    <t>TINEO CHINCHAY, MARCO ANTONIO</t>
  </si>
  <si>
    <t>10042636</t>
  </si>
  <si>
    <t>TINEO CORDOVA, EDGARDO FELIX</t>
  </si>
  <si>
    <t>42109544</t>
  </si>
  <si>
    <t>TONCONI QUISPE, JHOMAR MARCELINO</t>
  </si>
  <si>
    <t>16534332</t>
  </si>
  <si>
    <t>TORRES MELENDEZ, WALTER HUMBERTO</t>
  </si>
  <si>
    <t>28274920</t>
  </si>
  <si>
    <t>TORRES QUISPE, PAVEL</t>
  </si>
  <si>
    <t>41352721</t>
  </si>
  <si>
    <t>TORRES SIGUEÑAS, CARLA LILIANA</t>
  </si>
  <si>
    <t>ANALISTA EN MONITOREO FINANCIERO</t>
  </si>
  <si>
    <t>42121934</t>
  </si>
  <si>
    <t>TUMAY ACUÑA, ROSA SOFIA</t>
  </si>
  <si>
    <t>41576671</t>
  </si>
  <si>
    <t>UCULMANA FAJARDO, ANA DEL PILAR</t>
  </si>
  <si>
    <t>ESPECIALISTA LEGAL EN RECURSOS HUMANOS</t>
  </si>
  <si>
    <t>18160386</t>
  </si>
  <si>
    <t>URBINA CERQUEIRA, MARÍA LIUBOF</t>
  </si>
  <si>
    <t>19817482</t>
  </si>
  <si>
    <t>URETA VILA, LUZ MARISOL</t>
  </si>
  <si>
    <t>27747049</t>
  </si>
  <si>
    <t>URTEAGA DIAZ, SEGUNDO EDUARDO</t>
  </si>
  <si>
    <t>10226076</t>
  </si>
  <si>
    <t>VALDEZ GIRON, FREDY ROBERT</t>
  </si>
  <si>
    <t>44809783</t>
  </si>
  <si>
    <t>VALDIGLESIA MONTESINOS, SANDRA ISABEL</t>
  </si>
  <si>
    <t>TÉCNICA CONTABLE</t>
  </si>
  <si>
    <t>VALDIVIA URDAY, CRISTIAM PAUL</t>
  </si>
  <si>
    <t>ESPECIALISTA EN ADQUISICIONES Y CONTRATACIONES II</t>
  </si>
  <si>
    <t>09850164</t>
  </si>
  <si>
    <t>VALVERDE GARCIA, LUIS ANTONIO</t>
  </si>
  <si>
    <t>ESPECIALISTA EN TESORERÍA</t>
  </si>
  <si>
    <t>40770352</t>
  </si>
  <si>
    <t>VALVERDE OSORIO, CECILIA RAQUEL</t>
  </si>
  <si>
    <t>45961001</t>
  </si>
  <si>
    <t>VARGAS PAUCAR, LUIS GUSTAVO</t>
  </si>
  <si>
    <t>COORDINADOR DE ÁREA DEL ÁREA DE ABASTECIMIENTO Y CONTROL PATRIMONIAL</t>
  </si>
  <si>
    <t>08886806</t>
  </si>
  <si>
    <t>VARGAS QUISPE, MANUEL</t>
  </si>
  <si>
    <t>40226017</t>
  </si>
  <si>
    <t>VARGAS RAFAEL, LAUREANO FREDDY</t>
  </si>
  <si>
    <t>NUTRICIONISTA</t>
  </si>
  <si>
    <t>46484252</t>
  </si>
  <si>
    <t>VARJE ESTEBAN, LYDDON BENI</t>
  </si>
  <si>
    <t>08824578</t>
  </si>
  <si>
    <t>VASQUEZ MATTA, OSCAR HELI</t>
  </si>
  <si>
    <t>19244921</t>
  </si>
  <si>
    <t>VEGA JIMENEZ, LEONCIO NEHEMIAS</t>
  </si>
  <si>
    <t>ASISTENTE EN EVALUACIÓN ECONÓMICA DE PROYECTOS</t>
  </si>
  <si>
    <t>40185887</t>
  </si>
  <si>
    <t>VEGA JIMÉNEZ, NANCY ROCÍO</t>
  </si>
  <si>
    <t>26663913</t>
  </si>
  <si>
    <t>VELASQUEZ TORO, JANET NELLY</t>
  </si>
  <si>
    <t>INGENIERO COORDINADOR ESPECIALISTA EN INVERSIÓN PÚBLICA</t>
  </si>
  <si>
    <t>VELIZ PINEDA, MARCO ANTONIO</t>
  </si>
  <si>
    <t>40737404</t>
  </si>
  <si>
    <t>VENTURA BALDEON, AXEL GERMAN</t>
  </si>
  <si>
    <t>10806121</t>
  </si>
  <si>
    <t>VERA ALVAREZ, ALEX RUBEN</t>
  </si>
  <si>
    <t>ESPECIALISTA EN PREINVERSIÓN Y EXPEDIENTES TÉCNICOS</t>
  </si>
  <si>
    <t>18088976</t>
  </si>
  <si>
    <t>VERA HERRERA, MARCO ANTONIO</t>
  </si>
  <si>
    <t>ESPECIALISTA DE ESTUDIOS II</t>
  </si>
  <si>
    <t>07616077</t>
  </si>
  <si>
    <t>VERASTEGUI DE LA CRUZ, HUGO GUILLERMO</t>
  </si>
  <si>
    <t>08094566</t>
  </si>
  <si>
    <t>VERGARAY ALIAGA, TERESA</t>
  </si>
  <si>
    <t>10495512</t>
  </si>
  <si>
    <t>VICUÑA VALLE, SANDRA HORTENCIA</t>
  </si>
  <si>
    <t xml:space="preserve">QUIMICO </t>
  </si>
  <si>
    <t>22498465</t>
  </si>
  <si>
    <t>VILCA FERRER, WALDIR RICHARD</t>
  </si>
  <si>
    <t>45512106</t>
  </si>
  <si>
    <t>VILCA MAQUERA, EDER YINO</t>
  </si>
  <si>
    <t>ANTROPOLOGÍA</t>
  </si>
  <si>
    <t>20083722</t>
  </si>
  <si>
    <t>VILCAPOMA VILCAPOMA, NILDA</t>
  </si>
  <si>
    <t>ESPECIALISTA EN SUPERVISIÓN ELECTROMECÁNICA</t>
  </si>
  <si>
    <t>28316497</t>
  </si>
  <si>
    <t>VILCHEZ LAZO, RUBEN ERNESTO</t>
  </si>
  <si>
    <t>72676505</t>
  </si>
  <si>
    <t>VILLACORTA VEGAS, JUANITA CAROLE</t>
  </si>
  <si>
    <t>VILLAFUERTE CONDORI, HENRY ENGELS</t>
  </si>
  <si>
    <t>08006133</t>
  </si>
  <si>
    <t>VILLALOBOS LEÓN, JESÚS NORMAN</t>
  </si>
  <si>
    <t>ESPECIALISTA EN ESTUDIOS PARA LA EVALUACIÓN DE PROYECTOS</t>
  </si>
  <si>
    <t>72851058</t>
  </si>
  <si>
    <t>VILLANUEVA HURTADO, KEVIN LUIS</t>
  </si>
  <si>
    <t>ESPECIALISTA EN CAPACITACIÓN Y GESTIÓN DEL RENDIMIENTO</t>
  </si>
  <si>
    <t>44086272</t>
  </si>
  <si>
    <t>VILLAVICENCIO MEDINA, CYNTHIA DINA</t>
  </si>
  <si>
    <t>23875731</t>
  </si>
  <si>
    <t>YABAR MAR, TEOFILO AUGUSTO</t>
  </si>
  <si>
    <t>23904235</t>
  </si>
  <si>
    <t>YANQUE CONCHACALLA, MARIO CESAR</t>
  </si>
  <si>
    <t>09151125</t>
  </si>
  <si>
    <t>YATACO HERRERA, JOSÉ ANTONIO</t>
  </si>
  <si>
    <t>ESPECIALISTA COORDINADOR DE PRESUPUESTO</t>
  </si>
  <si>
    <t>09766306</t>
  </si>
  <si>
    <t>YAURI MENDOZA, MODESTO</t>
  </si>
  <si>
    <t>INGENIERO GEÓGRAFO</t>
  </si>
  <si>
    <t>32962999</t>
  </si>
  <si>
    <t>YLDEFONSO SIFUENTES, ALDON CARMELO</t>
  </si>
  <si>
    <t>26607801</t>
  </si>
  <si>
    <t>ZALDIVAR SORIANO, JORGE LUIS</t>
  </si>
  <si>
    <t>ESPECIALISTA EN ADQUISICIONES II</t>
  </si>
  <si>
    <t>42466778</t>
  </si>
  <si>
    <t>ZAPATA SANDOVAL, DAVID HENRY</t>
  </si>
  <si>
    <t>09647408</t>
  </si>
  <si>
    <t>ZELADA REYES, TOMAS MANUEL</t>
  </si>
  <si>
    <t>40570689</t>
  </si>
  <si>
    <t>ZEVALLOS CONDORI, MAYDA JULIA</t>
  </si>
  <si>
    <t>40633585</t>
  </si>
  <si>
    <t>ZUÑIGA TEJADA, IRIS LIZETH</t>
  </si>
  <si>
    <t>EJECUTORA 001 - COFOPR</t>
  </si>
  <si>
    <t>02611725</t>
  </si>
  <si>
    <t>ABAD CHOQUEHUANCA ADOLFO ENRIQUE</t>
  </si>
  <si>
    <t>SUPERVISOR</t>
  </si>
  <si>
    <t>06294221</t>
  </si>
  <si>
    <t>ACERO ROMAN CUSTODIO</t>
  </si>
  <si>
    <t>INGENIERIA GENETICA</t>
  </si>
  <si>
    <t>EDITOR</t>
  </si>
  <si>
    <t>70821968</t>
  </si>
  <si>
    <t>ACHULLI GOMEZ ALVIN</t>
  </si>
  <si>
    <t>00250874</t>
  </si>
  <si>
    <t>ACOSTA ALDANA HENRY WILLIAM</t>
  </si>
  <si>
    <t>CIENCIAS ECONOMICAS</t>
  </si>
  <si>
    <t>TECNICO EN TRANSPORTE</t>
  </si>
  <si>
    <t>22416402</t>
  </si>
  <si>
    <t>ACOSTA ALVARADO BENITO</t>
  </si>
  <si>
    <t>ABOGADO OSALU</t>
  </si>
  <si>
    <t>32940001</t>
  </si>
  <si>
    <t>ACOSTA ARISTA RONALD JESUS</t>
  </si>
  <si>
    <t>DERECHO Y CIENCIAS POLITICAS</t>
  </si>
  <si>
    <t>10136419</t>
  </si>
  <si>
    <t>ACURIO PILLCO LINO</t>
  </si>
  <si>
    <t>OPERADOR EN EDICION</t>
  </si>
  <si>
    <t>43119311</t>
  </si>
  <si>
    <t>AFARAYA NINA VICTOR GREGORIO</t>
  </si>
  <si>
    <t>SUPERVISOR DE ATENCION AL CIUDADANO</t>
  </si>
  <si>
    <t>10553446</t>
  </si>
  <si>
    <t>AGAPITO GASPAR MARIA CONCEPCION</t>
  </si>
  <si>
    <t>TECNICO DE APOYO</t>
  </si>
  <si>
    <t>41913369</t>
  </si>
  <si>
    <t>AGUILAR CACERES FRANK PAUL</t>
  </si>
  <si>
    <t>ABOGADO SUNARP</t>
  </si>
  <si>
    <t>45475673</t>
  </si>
  <si>
    <t>AGUILAR DAMIAN SHIRLEY FIORELLA</t>
  </si>
  <si>
    <t>26621234</t>
  </si>
  <si>
    <t>AGUILAR HORNA LUIS FIDEL</t>
  </si>
  <si>
    <t>OPERADOR CAD / GIS</t>
  </si>
  <si>
    <t>42439205</t>
  </si>
  <si>
    <t>AGUILAR MELENDEZ CAROLINA ESTELA</t>
  </si>
  <si>
    <t>GEOGRAFIA</t>
  </si>
  <si>
    <t>LICENCIADO/A</t>
  </si>
  <si>
    <t>COORDINADOR AREA TUPA</t>
  </si>
  <si>
    <t>08454977</t>
  </si>
  <si>
    <t>AGUILAR MERINO PEDRO ALBERTO</t>
  </si>
  <si>
    <t>75424345</t>
  </si>
  <si>
    <t>ALARCON ATOCHE ABEL ESTEBAN</t>
  </si>
  <si>
    <t>ARQUITECTO / INGENIERO FORMALIZACION INTEGRAL</t>
  </si>
  <si>
    <t>20092795</t>
  </si>
  <si>
    <t>ALBORNOZ CHAVEZ ELVIS ROD</t>
  </si>
  <si>
    <t>ARQUITECTURA</t>
  </si>
  <si>
    <t>ANALISTA II</t>
  </si>
  <si>
    <t>45689275</t>
  </si>
  <si>
    <t>ALBURQUEQUE NUÑEZ REYNALDO MARTIN</t>
  </si>
  <si>
    <t>ABOGADO/A</t>
  </si>
  <si>
    <t>41529879</t>
  </si>
  <si>
    <t>ALCALDE ACUÑA ESTHER ELENA</t>
  </si>
  <si>
    <t>COORDINADOR ESPECIALISTA EN FORMALIZACIÓN INDIVIDUAL II</t>
  </si>
  <si>
    <t>40601598</t>
  </si>
  <si>
    <t>ALCANTARA ESTRADA MARIA ISABEL</t>
  </si>
  <si>
    <t>OFIMATICA Y ADMINISTRADOR DE BASE DE DATOS</t>
  </si>
  <si>
    <t>TECNICO EN OFIMATICA Y ADMINISTRADOR DE BASE DE DATOS</t>
  </si>
  <si>
    <t>22097004</t>
  </si>
  <si>
    <t>ALDERETE FLORES SANDRA TEONILA</t>
  </si>
  <si>
    <t>41168921</t>
  </si>
  <si>
    <t>ALEGRE GAGO NOELIA MELINA</t>
  </si>
  <si>
    <t>40244289</t>
  </si>
  <si>
    <t>ALFARO MIRANDA FRANCO GABRIEL</t>
  </si>
  <si>
    <t>ESPECIALISTA EN PROGRAMAS DE VIVIENDA DEL ESTADO Y URBANIZACIONES POPULARES</t>
  </si>
  <si>
    <t>40919399</t>
  </si>
  <si>
    <t>ALFARO PORTUGAL LAURA VERONICA</t>
  </si>
  <si>
    <t>ESPECIALISTA EN FORMALIZACION DE LOTES SUSPENDIDOS</t>
  </si>
  <si>
    <t>07939696</t>
  </si>
  <si>
    <t>ALFARO TAZZA LUZ VICTORIA</t>
  </si>
  <si>
    <t>SUPERVISORA EN EDICIÓN Y BASE GRÁFICA</t>
  </si>
  <si>
    <t>42839402</t>
  </si>
  <si>
    <t>ALFONSO VILLANUEVA CECILIA</t>
  </si>
  <si>
    <t>21574078</t>
  </si>
  <si>
    <t>ALIAGA HERNANDEZ CLARIBEL MARISOL</t>
  </si>
  <si>
    <t>21519999</t>
  </si>
  <si>
    <t>ALLPACCA CHIPANA YNGRID AMERICA</t>
  </si>
  <si>
    <t>SOPORTE DE SISTEMAS</t>
  </si>
  <si>
    <t>41474193</t>
  </si>
  <si>
    <t>ALTAMIRANO MARTINEZ CESAR</t>
  </si>
  <si>
    <t>INGENIERIA DE SISTEMAS E INFORMATICA</t>
  </si>
  <si>
    <t>TECNICO EN EMPADRONAMIENTO</t>
  </si>
  <si>
    <t>09670680</t>
  </si>
  <si>
    <t>ALTAMIRANO PEREYRA JUAN CARLOS ENRIQUE</t>
  </si>
  <si>
    <t>ELECTRONICA</t>
  </si>
  <si>
    <t>ELECTRICISTA</t>
  </si>
  <si>
    <t>ANALISTA</t>
  </si>
  <si>
    <t>70925445</t>
  </si>
  <si>
    <t>ALVARADO COLUNCHE SUSAN MIRLEY</t>
  </si>
  <si>
    <t>ESPECIALISTA - SUNARP</t>
  </si>
  <si>
    <t>40793583</t>
  </si>
  <si>
    <t>ALVARADO MARCHAN SAHARA GABRIELA</t>
  </si>
  <si>
    <t>TECNICO EN GESTION V</t>
  </si>
  <si>
    <t>41046136</t>
  </si>
  <si>
    <t>ALVARADO MARIÑO MARIBEL</t>
  </si>
  <si>
    <t>TECNICO EN ATENCION AL PUBLICO</t>
  </si>
  <si>
    <t>45564467</t>
  </si>
  <si>
    <t>ALVAREZ GARCIA HARRY ADOLFO</t>
  </si>
  <si>
    <t>ABOGADOS</t>
  </si>
  <si>
    <t>UNIVERSITARIO COMPLETO</t>
  </si>
  <si>
    <t>08175808</t>
  </si>
  <si>
    <t>ALVAREZ MESONES ROCIO DEL PILAR</t>
  </si>
  <si>
    <t>VERIFICADOR</t>
  </si>
  <si>
    <t>43199519</t>
  </si>
  <si>
    <t>ALVAREZ YAGUNO JUAN JESUS</t>
  </si>
  <si>
    <t>16494654</t>
  </si>
  <si>
    <t>ALVITEZ GALVEZ EDGARD LEONEL</t>
  </si>
  <si>
    <t>ABOGADO FORMALIZACION INTEGRAL</t>
  </si>
  <si>
    <t>40790361</t>
  </si>
  <si>
    <t>ANCCASI ROJAS MAGALI MELISSA</t>
  </si>
  <si>
    <t>46426563</t>
  </si>
  <si>
    <t>ANDALUZ DIAZ CHRISTIAN</t>
  </si>
  <si>
    <t>09962729</t>
  </si>
  <si>
    <t>ANDIA CHANCA RAUL</t>
  </si>
  <si>
    <t>MECANICA AUTOMOTRIZ</t>
  </si>
  <si>
    <t>MECANICO AUTOMOTRIZ</t>
  </si>
  <si>
    <t>08891348</t>
  </si>
  <si>
    <t>ANDRADE FLORES FIORELLA SOCORRO</t>
  </si>
  <si>
    <t>SECRETARIADO EJECUTIVO COMPUTARIZADO</t>
  </si>
  <si>
    <t>AUXILIAR EN TOPOGRAFIA</t>
  </si>
  <si>
    <t>21423784</t>
  </si>
  <si>
    <t>ANDRADE PUN JORGE EDUARDO</t>
  </si>
  <si>
    <t>TOPOGRAFO</t>
  </si>
  <si>
    <t>TECNICO TOPOGRAFO</t>
  </si>
  <si>
    <t>29324577</t>
  </si>
  <si>
    <t>ANGLES SARAVIA EDGARDO</t>
  </si>
  <si>
    <t>07579778</t>
  </si>
  <si>
    <t>ANTEZANA CALDERON EDMIGIO RAMIRO</t>
  </si>
  <si>
    <t>42929804</t>
  </si>
  <si>
    <t>ANTEZANA LEIVA JESSICA VERONICA</t>
  </si>
  <si>
    <t>AGROPECUARIA</t>
  </si>
  <si>
    <t>TECNICO AGROPECUARIO</t>
  </si>
  <si>
    <t>ABOGADO DE FORMALIZACION INTEGRAL</t>
  </si>
  <si>
    <t>21461978</t>
  </si>
  <si>
    <t>ANYOSA ORMEÑO CECILIA TERESA</t>
  </si>
  <si>
    <t>ESPECIALISTA IV</t>
  </si>
  <si>
    <t>21572566</t>
  </si>
  <si>
    <t>APARCANA CHACALTANA JOSE LUIS</t>
  </si>
  <si>
    <t>NO ACREDITADO</t>
  </si>
  <si>
    <t>46906397</t>
  </si>
  <si>
    <t>APAZA CHUTA CARMEN ROSA</t>
  </si>
  <si>
    <t>45628194</t>
  </si>
  <si>
    <t>APAZA MONTESINOS RUTH MARÍA</t>
  </si>
  <si>
    <t>INGENIERO</t>
  </si>
  <si>
    <t>23963609</t>
  </si>
  <si>
    <t>APAZA QUEHUARUCHO RICARDO ALFREDO</t>
  </si>
  <si>
    <t>ANALISTA EN PROGRAMACION</t>
  </si>
  <si>
    <t>08173431</t>
  </si>
  <si>
    <t>APOLAYA GOURO CELINA VICTORIA</t>
  </si>
  <si>
    <t>40228431</t>
  </si>
  <si>
    <t>APOLINAREZ BALDEON ALDEGUNDO DESIDERIO</t>
  </si>
  <si>
    <t>ADMINISTRACION BANCARIA</t>
  </si>
  <si>
    <t>73056799</t>
  </si>
  <si>
    <t>APOLINARIO RODRIGUEZ STEFANIA ELIZABETH</t>
  </si>
  <si>
    <t>40446061</t>
  </si>
  <si>
    <t>AQUIJE CHUMPITAZ NOHELIA SADITH</t>
  </si>
  <si>
    <t>15614769</t>
  </si>
  <si>
    <t>ARANA VALLADARES LUISA MAGDALENA</t>
  </si>
  <si>
    <t>ANALISTA DE SERVICIOS GENERALES</t>
  </si>
  <si>
    <t>43588936</t>
  </si>
  <si>
    <t>ARANDA CIRILO ROMEO RODNEY</t>
  </si>
  <si>
    <t>INGENIERO/ARQUITECTO</t>
  </si>
  <si>
    <t>41392387</t>
  </si>
  <si>
    <t>ARANDA DEPAZ ROSSANA ZENOBIA</t>
  </si>
  <si>
    <t>INGENIERIA AGRICOLA</t>
  </si>
  <si>
    <t>EMPADRONADOR</t>
  </si>
  <si>
    <t>22516700</t>
  </si>
  <si>
    <t>ARANDA NATIVIDAD NELIDA ALICIA</t>
  </si>
  <si>
    <t>TECNICO EN TOPOGRAFIA</t>
  </si>
  <si>
    <t>08015682</t>
  </si>
  <si>
    <t>ARANGO RAMOS JOSE RUFO</t>
  </si>
  <si>
    <t>TECNICO EN FOTOGRAMETRIA</t>
  </si>
  <si>
    <t>08178139</t>
  </si>
  <si>
    <t>ARANGUREN HUAMAN JESUS AUGUSTO</t>
  </si>
  <si>
    <t>ECONOMISTAS</t>
  </si>
  <si>
    <t>UNIVERSITARIO INCOMPLETO</t>
  </si>
  <si>
    <t>42550405</t>
  </si>
  <si>
    <t>ARAUJO JIJAÑO JULIO CESAR</t>
  </si>
  <si>
    <t>41940702</t>
  </si>
  <si>
    <t>ARCE BARRIENTOS VICTOR RAUL</t>
  </si>
  <si>
    <t>CONSTRUCCION CIVIL</t>
  </si>
  <si>
    <t>TECNICO EN CONSTRUCCION CIVIL</t>
  </si>
  <si>
    <t>ESPECIALISTA EN DERECHO ADMINISTRATIVO</t>
  </si>
  <si>
    <t>45689103</t>
  </si>
  <si>
    <t>ARCE GUZMAN ANDREA PAOLA</t>
  </si>
  <si>
    <t>ESPECIALISTA EN FORMALIZACION INTEGRAL</t>
  </si>
  <si>
    <t>40475536</t>
  </si>
  <si>
    <t>ARESTEGUI FARFAN GLORIA MARIA</t>
  </si>
  <si>
    <t>ESPECIALISTA EN GESTION DE PROCESOS</t>
  </si>
  <si>
    <t>46042066</t>
  </si>
  <si>
    <t>AREVALO SANCHEZ KATHERINE DEL PILAR</t>
  </si>
  <si>
    <t>07762157</t>
  </si>
  <si>
    <t>ARGUEDAS SCHREIBER GLADYS</t>
  </si>
  <si>
    <t>ASISTENTE EN FINANZAS</t>
  </si>
  <si>
    <t>70206329</t>
  </si>
  <si>
    <t>ARIAS DAVALOS CARLOS ALBERTO</t>
  </si>
  <si>
    <t>OPERADOR EN BASE GRAFICA</t>
  </si>
  <si>
    <t>41107833</t>
  </si>
  <si>
    <t>ARIAS TUMBA CESAR OSWALDO</t>
  </si>
  <si>
    <t>10198257</t>
  </si>
  <si>
    <t>ARIAS VALDEZ YENNY SOLEDAD</t>
  </si>
  <si>
    <t>40650486</t>
  </si>
  <si>
    <t>ARISTA PRADO GIULIANA MONICA</t>
  </si>
  <si>
    <t>EDUCACION PRIMARIA</t>
  </si>
  <si>
    <t>PROFESOR DE EDUCACION BASICA</t>
  </si>
  <si>
    <t>43778828</t>
  </si>
  <si>
    <t>ARIZA ANDRADE LESLY ELIZA</t>
  </si>
  <si>
    <t>ANALISTA DE CONCILIACIÓN BANCARIA</t>
  </si>
  <si>
    <t>46335406</t>
  </si>
  <si>
    <t>ARIZA BRIOSO EDITH MAXIMA</t>
  </si>
  <si>
    <t>ESPECIALISTA EN FORMALIZACION INDIVIDUAL</t>
  </si>
  <si>
    <t>42863146</t>
  </si>
  <si>
    <t>ARREDONDO LATORRE FLOR ANGELICA</t>
  </si>
  <si>
    <t>ESPECIALISTA EN PROGRAMACIÓN Y SEGUIMIENTO DE EJECUCIÓN PRESUPUESTAL</t>
  </si>
  <si>
    <t>46807660</t>
  </si>
  <si>
    <t>ARROYO SAAVEDRA HENRY SCOTT</t>
  </si>
  <si>
    <t>42267483</t>
  </si>
  <si>
    <t>ARRUNATEGUI SILUPU MARTHA KATERINE</t>
  </si>
  <si>
    <t>ABOGADO DE FORMALIZACION INDIVIDUAL</t>
  </si>
  <si>
    <t>10058070</t>
  </si>
  <si>
    <t>ARTEAGA EGUSQUIZA CARLOS ALBERTO</t>
  </si>
  <si>
    <t>ESPECIALISTA EN CALIFICACION DE CONTINGENCIAS</t>
  </si>
  <si>
    <t>45267747</t>
  </si>
  <si>
    <t>ARTEAGA NARREA HENRY RODOLFO</t>
  </si>
  <si>
    <t>ESPECIALISTA EN CONTROL Y REVISION DE LA CALIFICACION</t>
  </si>
  <si>
    <t>09938633</t>
  </si>
  <si>
    <t>ASENCIOS GARNICA JUAN PABLO</t>
  </si>
  <si>
    <t>44488750</t>
  </si>
  <si>
    <t>ASIN ASIN KATHERYNE SUSANA FRANCESCA CLAUDINE</t>
  </si>
  <si>
    <t>ABOGADO IV</t>
  </si>
  <si>
    <t>45706068</t>
  </si>
  <si>
    <t>ASUNCION ROJAS JULISA JUANA</t>
  </si>
  <si>
    <t>ESPECIALISTA EN DIAGNOSTICO</t>
  </si>
  <si>
    <t>21545844</t>
  </si>
  <si>
    <t>ATENCIA ESPINOZA MARIELLA ELENA</t>
  </si>
  <si>
    <t>LEGAL</t>
  </si>
  <si>
    <t>21520455</t>
  </si>
  <si>
    <t>AURIS PILLACA JANETTE PILAR</t>
  </si>
  <si>
    <t>ASISTENCIA A CAPACITACIONES Y CURSOS</t>
  </si>
  <si>
    <t>42554054</t>
  </si>
  <si>
    <t>AVALOS MARMANILLO DANIEL EDUARDO</t>
  </si>
  <si>
    <t>ESPECIALISTA EN PROGRAMA DE ADJUDICACION DE LOTES</t>
  </si>
  <si>
    <t>41807320</t>
  </si>
  <si>
    <t>AVILA TORRES PAOLA</t>
  </si>
  <si>
    <t>08160449</t>
  </si>
  <si>
    <t>AVILES SANCHEZ IVAN</t>
  </si>
  <si>
    <t>ESPECIALISTA SUNARP</t>
  </si>
  <si>
    <t>41886268</t>
  </si>
  <si>
    <t>AYLAS HUAMAN ERIK GUSTAVO</t>
  </si>
  <si>
    <t>TECNICO EN BASE GRAFICA</t>
  </si>
  <si>
    <t>44655718</t>
  </si>
  <si>
    <t>AYMA ROMAN SHIRLEY MARIBEL</t>
  </si>
  <si>
    <t>OPERADOR DE TRANSPORTE</t>
  </si>
  <si>
    <t>42426656</t>
  </si>
  <si>
    <t>AYQUIPA PONTE EDWARD ALDO</t>
  </si>
  <si>
    <t>Auxiliares</t>
  </si>
  <si>
    <t>32645271</t>
  </si>
  <si>
    <t>AZAÑA SAL Y ROSAS DAVID SAMUEL</t>
  </si>
  <si>
    <t>40040520</t>
  </si>
  <si>
    <t>AZURIN DAVALOS JESSICA</t>
  </si>
  <si>
    <t>31013000</t>
  </si>
  <si>
    <t>BACA AROSTI VICTOR RUBEN</t>
  </si>
  <si>
    <t>09846490</t>
  </si>
  <si>
    <t>BACA SALINAS DANIEL ARTURO</t>
  </si>
  <si>
    <t>INGENIERIA GEOGRAFICA</t>
  </si>
  <si>
    <t>01309448</t>
  </si>
  <si>
    <t>BALCONA TICONA ALEJANDRO CESAR</t>
  </si>
  <si>
    <t>CONTADORES</t>
  </si>
  <si>
    <t>TECNICO COMPLETO</t>
  </si>
  <si>
    <t>41196744</t>
  </si>
  <si>
    <t>BALDOCEDA BALDEON ALAN EDUARDO</t>
  </si>
  <si>
    <t>ABOGADO EN PROGRAMA DE ADJUDICACION DE LOTES</t>
  </si>
  <si>
    <t>43116856</t>
  </si>
  <si>
    <t>BALER PRADO FIORELLA</t>
  </si>
  <si>
    <t>TECNICO EN MANTENIMIENTO</t>
  </si>
  <si>
    <t>41568040</t>
  </si>
  <si>
    <t>BALLENA CHUMPITAZ MIGUEL ANGEL</t>
  </si>
  <si>
    <t>TECNICA EN ELECTRONICA</t>
  </si>
  <si>
    <t>TECNICO EN ELECTRONICA</t>
  </si>
  <si>
    <t>71343569</t>
  </si>
  <si>
    <t>BALLENA TAPIA CHRYSTIAN JOSE</t>
  </si>
  <si>
    <t>40380733</t>
  </si>
  <si>
    <t>BALLON GALVEZ ARTURO</t>
  </si>
  <si>
    <t>TéCNICO EN GESTIÓN PRESUPUESTAL</t>
  </si>
  <si>
    <t>09504974</t>
  </si>
  <si>
    <t>BANCES GARCIA DAVID ROMAN</t>
  </si>
  <si>
    <t>INGENIERIA ADMINISTRATIVA</t>
  </si>
  <si>
    <t>LEGAL I</t>
  </si>
  <si>
    <t>41311880</t>
  </si>
  <si>
    <t>BARANDIARAN FALLA JORGE HUMBERTO</t>
  </si>
  <si>
    <t>ESPECIALISTA EN ADJUDICACIONES</t>
  </si>
  <si>
    <t>09505152</t>
  </si>
  <si>
    <t>BARBARAN QUISPE PERCY EDGAR</t>
  </si>
  <si>
    <t>Abogado en Adjudicación de Lotes</t>
  </si>
  <si>
    <t>70438934</t>
  </si>
  <si>
    <t>BARBOZA MUÑOZ MARIA ISABEL</t>
  </si>
  <si>
    <t>OPERADOR/A DE CONDUCCIÓN VEHICULAR</t>
  </si>
  <si>
    <t>28274889</t>
  </si>
  <si>
    <t>BARBOZA NAVARRO DASIO</t>
  </si>
  <si>
    <t>TECNICO EN MOTORES DIESEL</t>
  </si>
  <si>
    <t>NO CONCLUIDO</t>
  </si>
  <si>
    <t>AUXILIAR DE ASISTENTA SOCIAL</t>
  </si>
  <si>
    <t>71404576</t>
  </si>
  <si>
    <t>BARDALES DE LA CRUZ KAREN ALEXANDRA</t>
  </si>
  <si>
    <t>PROFESIONALES DEL TRABAJO SOCIAL</t>
  </si>
  <si>
    <t>Operador en Transporte</t>
  </si>
  <si>
    <t>16733886</t>
  </si>
  <si>
    <t>BARDALES QUIROZ CARLOS TOMAS</t>
  </si>
  <si>
    <t>CIENCIAS DE LA COMUNICACION</t>
  </si>
  <si>
    <t>OPERADOR EN CONDUCCION VEHICULAR</t>
  </si>
  <si>
    <t>01121259</t>
  </si>
  <si>
    <t>BARDALEZ PEZO JOSE MANUEL</t>
  </si>
  <si>
    <t>29368211</t>
  </si>
  <si>
    <t>BARRANTES - HUGO DIONICIO</t>
  </si>
  <si>
    <t>48459502</t>
  </si>
  <si>
    <t>BARRANTES ALBERCA SHEYLLA VANESSA</t>
  </si>
  <si>
    <t>40460104</t>
  </si>
  <si>
    <t>BARREDA PUMARRUMI PAUL ALEJANDRO</t>
  </si>
  <si>
    <t>46969311</t>
  </si>
  <si>
    <t>BARRIA PINEDO JESSICA SELENE</t>
  </si>
  <si>
    <t>CONTADOR PUBLICO COLEGIADO</t>
  </si>
  <si>
    <t>40009937</t>
  </si>
  <si>
    <t>BARRIGA - ROBERT CLOALDO</t>
  </si>
  <si>
    <t>22427288</t>
  </si>
  <si>
    <t>BARRIOS FRANCO DAVID PABLO</t>
  </si>
  <si>
    <t>CONSULTOR LEGAL</t>
  </si>
  <si>
    <t>06078717</t>
  </si>
  <si>
    <t>BARTUREN OROZCO SILVIA DEL PILAR</t>
  </si>
  <si>
    <t>CONTADOR MERCANTIL</t>
  </si>
  <si>
    <t>46919508</t>
  </si>
  <si>
    <t>BAZAN ESPINOZA KARIM LESLIE</t>
  </si>
  <si>
    <t>ADMINISTRACIÓN DE NEGOCIOS INTERNACIONALES</t>
  </si>
  <si>
    <t>46865483</t>
  </si>
  <si>
    <t>BECERRA SALAZAR ANDREA MARIBEL</t>
  </si>
  <si>
    <t>29223664</t>
  </si>
  <si>
    <t>BEJAR GARCIA ENRIQUE MANUEL</t>
  </si>
  <si>
    <t>SUPERVISOR EN MANTENIMIENTO CATASTRAL</t>
  </si>
  <si>
    <t>42305826</t>
  </si>
  <si>
    <t>BELEN CHILCON ALCIDES EDUARDO</t>
  </si>
  <si>
    <t>GEOGRAFO</t>
  </si>
  <si>
    <t>42012891</t>
  </si>
  <si>
    <t>BELLIDO BELLIDO DAVID ALEJANDRO</t>
  </si>
  <si>
    <t>TECNICO EN GESTION III - ZONALES</t>
  </si>
  <si>
    <t>41919024</t>
  </si>
  <si>
    <t>BELLIDO PERDOMO KATI YULISA</t>
  </si>
  <si>
    <t>00240659</t>
  </si>
  <si>
    <t>BELLOTA VILLEGAS CARLOS MARLON</t>
  </si>
  <si>
    <t>07951021</t>
  </si>
  <si>
    <t>BELTRAN BIFFI BLANCA DEL ROCIO</t>
  </si>
  <si>
    <t>07079817</t>
  </si>
  <si>
    <t>BENAVIDES ESPINO DANIEL ANGEL</t>
  </si>
  <si>
    <t>06823537</t>
  </si>
  <si>
    <t>BENAVIDES SOTOMAYOR LUIS ALBERTO</t>
  </si>
  <si>
    <t>EDUCACION</t>
  </si>
  <si>
    <t>BACHILLER EN CIENCIAS DE LA EDUCACION</t>
  </si>
  <si>
    <t>26621563</t>
  </si>
  <si>
    <t>BENITES BALTODANO ROGER ARISTEDES</t>
  </si>
  <si>
    <t>APOYO EN COMUNICACIONES</t>
  </si>
  <si>
    <t>75281072</t>
  </si>
  <si>
    <t>BENITES MENA JOSE MIGUEL</t>
  </si>
  <si>
    <t>COMUNICACION SOCIAL</t>
  </si>
  <si>
    <t>COORDINADOR EN FORMALIZACION INDIVIDUAL</t>
  </si>
  <si>
    <t>00236702</t>
  </si>
  <si>
    <t>BENITES PALADINES JORGE MISAEL</t>
  </si>
  <si>
    <t>41902766</t>
  </si>
  <si>
    <t>BENITES ZAPATA SILVIA DOMENICA</t>
  </si>
  <si>
    <t>COMUNICADOR SOCIAL</t>
  </si>
  <si>
    <t>25826509</t>
  </si>
  <si>
    <t>BERMEJO RIVAS JOSE EDMUNDO</t>
  </si>
  <si>
    <t>COMUNICACION RADIAL</t>
  </si>
  <si>
    <t>47361468</t>
  </si>
  <si>
    <t>BERNAL ALVA HECTOR JULIO PABLO</t>
  </si>
  <si>
    <t>07960311</t>
  </si>
  <si>
    <t>BERROCAL AYAIPOMA JAVIER</t>
  </si>
  <si>
    <t>45181590</t>
  </si>
  <si>
    <t>BERROSPI BRITTO CYNTHIA INGRID</t>
  </si>
  <si>
    <t>10866754</t>
  </si>
  <si>
    <t>BLANCAS VENTURA ROSA GISELLA</t>
  </si>
  <si>
    <t>ASISTENTE TECNICO ADMINISTRATIVO</t>
  </si>
  <si>
    <t>42089910</t>
  </si>
  <si>
    <t>BOHORQUEZ COCHACHI VIVIANA VANESA</t>
  </si>
  <si>
    <t>OPERADOR EN ARCHIVO</t>
  </si>
  <si>
    <t>71741370</t>
  </si>
  <si>
    <t>BOLAÑOS LARREA ANA MARIA</t>
  </si>
  <si>
    <t>46119272</t>
  </si>
  <si>
    <t>BOLAÑOS MADUEÑO ANGELA</t>
  </si>
  <si>
    <t>ESPECIALISTA EN TRIBUTACION</t>
  </si>
  <si>
    <t>09441446</t>
  </si>
  <si>
    <t>BORJA SOTO BEATRIZ GISELLA</t>
  </si>
  <si>
    <t>COORDINADOR DE ATENCION AL CIUDADANO</t>
  </si>
  <si>
    <t>09904249</t>
  </si>
  <si>
    <t>BOZA ARENAS YNDIRA ERIKA</t>
  </si>
  <si>
    <t>46027826</t>
  </si>
  <si>
    <t>BRACAMONTE HOLGADO LUIS ALBERTO VALENTIN</t>
  </si>
  <si>
    <t>44156994</t>
  </si>
  <si>
    <t>BRAVO FELIX FRANZ ANTHONY</t>
  </si>
  <si>
    <t>COORDINADOR DE CONVENIOS</t>
  </si>
  <si>
    <t>07209443</t>
  </si>
  <si>
    <t>BRICEÑO CARDENAS CARLOS ALBERTO</t>
  </si>
  <si>
    <t>ADMINISTRACION DE EMPRESAS</t>
  </si>
  <si>
    <t>46164985</t>
  </si>
  <si>
    <t>BUSTAMANTE ALDAVE JANYTZA MILUSKA</t>
  </si>
  <si>
    <t>06756379</t>
  </si>
  <si>
    <t>BUSTAMANTE AMBROSIO ROSA</t>
  </si>
  <si>
    <t>AUXILIAR DE SECRETARIA</t>
  </si>
  <si>
    <t>48268873</t>
  </si>
  <si>
    <t>BUSTAMANTE GONZALES WILSON</t>
  </si>
  <si>
    <t>OFICIOS NO ESPECIFICADOS</t>
  </si>
  <si>
    <t>BASE GRAFICA</t>
  </si>
  <si>
    <t>41023841</t>
  </si>
  <si>
    <t>BUSTILLOS DIAZ JORGE LUIS</t>
  </si>
  <si>
    <t>17851555</t>
  </si>
  <si>
    <t>CABANILLAS GARCIA JOSE MERCEDES</t>
  </si>
  <si>
    <t>OPERADOR EN ATENCIÓN AL PÚBLICO</t>
  </si>
  <si>
    <t>45352111</t>
  </si>
  <si>
    <t>CABEZAS DAMIAN LUIS ALBERTO</t>
  </si>
  <si>
    <t>LICENCIADO EN ADMINISTRACION DE EMPRESAS</t>
  </si>
  <si>
    <t>47012146</t>
  </si>
  <si>
    <t>CABRERA CARMONA LAURIA</t>
  </si>
  <si>
    <t>COORDINADOR/A</t>
  </si>
  <si>
    <t>40551766</t>
  </si>
  <si>
    <t>CABRERA UCHARICO ANA MARIA</t>
  </si>
  <si>
    <t>OPERADOR DE ARCHIVO</t>
  </si>
  <si>
    <t>09861373</t>
  </si>
  <si>
    <t>CACERES DENEGRI MARIO HUGO</t>
  </si>
  <si>
    <t>16646377</t>
  </si>
  <si>
    <t>CADENAS ALBURQUEQUE SABINA SOLEDAD</t>
  </si>
  <si>
    <t>40813564</t>
  </si>
  <si>
    <t>CALDERON ACUÑA CIRO BENJAMIN</t>
  </si>
  <si>
    <t>ABOGADO EN PROGRAMAS DE VIVIENDA DEL ESTADO Y URBANIZACIONES POPULARES</t>
  </si>
  <si>
    <t>41103934</t>
  </si>
  <si>
    <t>CALDERON CUBA HERMINIA</t>
  </si>
  <si>
    <t>ANALISTA I</t>
  </si>
  <si>
    <t>40939438</t>
  </si>
  <si>
    <t>CALDERON MENDOZA HERLESS FELIPE</t>
  </si>
  <si>
    <t>INGENIERIA INFORMATICA Y DE SISTEMAS</t>
  </si>
  <si>
    <t>ESPECIALISTA EN LOTES SUSPENDIDOS</t>
  </si>
  <si>
    <t>40897990</t>
  </si>
  <si>
    <t>CALLE QUISPE LEYDA MYRNA</t>
  </si>
  <si>
    <t>09115079</t>
  </si>
  <si>
    <t>CALLO BUENDIA ORLANDO RODOLFO</t>
  </si>
  <si>
    <t>JEFE OFICINA ZONAL</t>
  </si>
  <si>
    <t>04070577</t>
  </si>
  <si>
    <t>CALLUPE CUEVA JUAN ABEL</t>
  </si>
  <si>
    <t>44156951</t>
  </si>
  <si>
    <t>CALVAY CORDOVA EUGENIO FRANK</t>
  </si>
  <si>
    <t>ASESOR ZONAL</t>
  </si>
  <si>
    <t>09086695</t>
  </si>
  <si>
    <t>CALVO RAMIREZ CESAR AUGUSTO</t>
  </si>
  <si>
    <t>ESPECIALISTA EN PRESCRIPCION</t>
  </si>
  <si>
    <t>43763993</t>
  </si>
  <si>
    <t>CAMAC LOZANO PERCY MANUEL</t>
  </si>
  <si>
    <t>45103247</t>
  </si>
  <si>
    <t>CAMAN NUÑEZ VANESSA MARLENI</t>
  </si>
  <si>
    <t>41865749</t>
  </si>
  <si>
    <t>CAMPOS ESCOBAR JOEL ANGEL</t>
  </si>
  <si>
    <t>40645939</t>
  </si>
  <si>
    <t>CAMPOS LEVANO VICTOR MANUEL</t>
  </si>
  <si>
    <t>ESPECIALISTA EN ABASTECIMIENTO</t>
  </si>
  <si>
    <t>70492995</t>
  </si>
  <si>
    <t>CAMPOS YATACO JOSE MANUEL</t>
  </si>
  <si>
    <t>70969678</t>
  </si>
  <si>
    <t>CANALES LEON GABRIELA KELLY</t>
  </si>
  <si>
    <t>43046449</t>
  </si>
  <si>
    <t>CANALES SANDOVAL CARMIN CAROL</t>
  </si>
  <si>
    <t>40662729</t>
  </si>
  <si>
    <t>CAPCHA GALVEZ CARLOS ALBERTO</t>
  </si>
  <si>
    <t>40283416</t>
  </si>
  <si>
    <t>CARBAJAL CORNEJO PATRICIA</t>
  </si>
  <si>
    <t>25614225</t>
  </si>
  <si>
    <t>CARBAJAL SANDOVAL NILDA JANETTE</t>
  </si>
  <si>
    <t>Especialista Financiero</t>
  </si>
  <si>
    <t>15359251</t>
  </si>
  <si>
    <t>CARBONEL SANCHEZ JESSICA HAYDEE</t>
  </si>
  <si>
    <t>PROFESIONAL TECNICO EN CONTABILIDAD</t>
  </si>
  <si>
    <t>ASISTENTE ADMINISTRATIVO - JEFATURA</t>
  </si>
  <si>
    <t>07340940</t>
  </si>
  <si>
    <t>CARDENAS AMAYA DE BERNUI ESTHER BLANCA</t>
  </si>
  <si>
    <t>ANALISTA EN PLANEAMIENTO ESTRATÉGICO</t>
  </si>
  <si>
    <t>46630062</t>
  </si>
  <si>
    <t>CARDENAS CUSI VICTOR ALBERTO</t>
  </si>
  <si>
    <t>08171326</t>
  </si>
  <si>
    <t>CARDENAS LA TORRE CECILIO EDMUNDO</t>
  </si>
  <si>
    <t>ABOGADO DE LA DIRECCION EJECUTIVA</t>
  </si>
  <si>
    <t>42008059</t>
  </si>
  <si>
    <t>CARDOZA PURIZACA ALICIA LILIANA</t>
  </si>
  <si>
    <t>04825251</t>
  </si>
  <si>
    <t>CARLOS NINA JORGE</t>
  </si>
  <si>
    <t>FILÓSOFO</t>
  </si>
  <si>
    <t>43362944</t>
  </si>
  <si>
    <t>CARMONA FERNANDEZ WILSON ANTONY</t>
  </si>
  <si>
    <t>INGIENERIA FORESTAL</t>
  </si>
  <si>
    <t>INGENIERO FORESTAL</t>
  </si>
  <si>
    <t>29673101</t>
  </si>
  <si>
    <t>CARPIO MARQUEZ EDGAR ARTURO</t>
  </si>
  <si>
    <t>BACHILLER EN CIENCIAS ECONOMICAS</t>
  </si>
  <si>
    <t>43229117</t>
  </si>
  <si>
    <t>CARRANZA LUJAN KELLY INDIRA</t>
  </si>
  <si>
    <t>09648125</t>
  </si>
  <si>
    <t>CARRASCO ELEJALDE JORGE ROMULO</t>
  </si>
  <si>
    <t>SUPERVISOR TECNICO</t>
  </si>
  <si>
    <t>09140142</t>
  </si>
  <si>
    <t>CARRASCO PINARES NAY RUTH FEBORA</t>
  </si>
  <si>
    <t>00227202</t>
  </si>
  <si>
    <t>CARREñO GOMEZ LUZ VICTORIA</t>
  </si>
  <si>
    <t>02822094</t>
  </si>
  <si>
    <t>CARRERA CHINGA FRANKLIN</t>
  </si>
  <si>
    <t>TECNICO EN LABORATORIO</t>
  </si>
  <si>
    <t>10653669</t>
  </si>
  <si>
    <t>CARRILLO ARTEAGA ALEX MIGUEL</t>
  </si>
  <si>
    <t>INGENIERO GEOGRAFICO</t>
  </si>
  <si>
    <t>ESPECIALISTA EN MANTENIMIENTO CATASTRAL</t>
  </si>
  <si>
    <t>40887367</t>
  </si>
  <si>
    <t>CARRILLO DIAZ ROBERTO ABEL</t>
  </si>
  <si>
    <t>ADMINISTRACION PUBLICA</t>
  </si>
  <si>
    <t>ADMINISTRACIÓN PUBLICA</t>
  </si>
  <si>
    <t>COORDINADOR(A) ADMINISTRATIVO(A)</t>
  </si>
  <si>
    <t>40393725</t>
  </si>
  <si>
    <t>CARRION ROMERO MARTHA CAROLINA</t>
  </si>
  <si>
    <t>40069852</t>
  </si>
  <si>
    <t>CARRIZALES FLORINDEZ JOSE LUIS</t>
  </si>
  <si>
    <t>PROFESIONAL TECNICO EN COMPUTACION E INFORMATICA</t>
  </si>
  <si>
    <t>05322709</t>
  </si>
  <si>
    <t>CASADO GOMEZ CARLOS ENRIQUE</t>
  </si>
  <si>
    <t>ESPECIALISTA EN SERVICIOS DE FORMALIZACION</t>
  </si>
  <si>
    <t>06781448</t>
  </si>
  <si>
    <t>CASTAñEDA BORJAS WILFREDO GIOVANNI</t>
  </si>
  <si>
    <t>GEOGRAFO (INCLUYE INGENIERO)</t>
  </si>
  <si>
    <t>70175638</t>
  </si>
  <si>
    <t>CASTAÑEDA TERRAZOS DELFOR LUIS</t>
  </si>
  <si>
    <t>18175963</t>
  </si>
  <si>
    <t>CASTAÑEDA VASQUEZ ROBERT SANTOS</t>
  </si>
  <si>
    <t>OPERADOR EN TOPOGRAFIA</t>
  </si>
  <si>
    <t>40845435</t>
  </si>
  <si>
    <t>CASTILLO CANAYO VICTOR MARINO</t>
  </si>
  <si>
    <t>41176037</t>
  </si>
  <si>
    <t>CASTILLO CHAGUA NOEMI</t>
  </si>
  <si>
    <t>AUDITOR</t>
  </si>
  <si>
    <t>25854114</t>
  </si>
  <si>
    <t>CASTILLO ESPINOZA ANGIE MARISOL</t>
  </si>
  <si>
    <t>17864085</t>
  </si>
  <si>
    <t>CASTILLO NARRO LUZ NOEMI</t>
  </si>
  <si>
    <t>31671001</t>
  </si>
  <si>
    <t>CASTILLO OBREGON WILFREDO KLEVER</t>
  </si>
  <si>
    <t>01231647</t>
  </si>
  <si>
    <t>CASTILLO ZAPANA EDGAR ELEUTERIO</t>
  </si>
  <si>
    <t>OTROS INGENIEROS NO ESPECIFICACDOS PREVIAMENTE</t>
  </si>
  <si>
    <t>45778527</t>
  </si>
  <si>
    <t>CASTILLO ZAVALETA MIGUEL ALEJANDRO</t>
  </si>
  <si>
    <t>SECRETARIA/O</t>
  </si>
  <si>
    <t>09981345</t>
  </si>
  <si>
    <t>CASTRO DIAZ OLGA CONSUELO</t>
  </si>
  <si>
    <t>TECNICO EN GESTION III</t>
  </si>
  <si>
    <t>08166296</t>
  </si>
  <si>
    <t>CASTRO ESCOBEDO EMERY CARLA</t>
  </si>
  <si>
    <t>05338486</t>
  </si>
  <si>
    <t>CASTRO MAGIPO REYES</t>
  </si>
  <si>
    <t>45713570</t>
  </si>
  <si>
    <t>CASTRO SIHUAS JOSE OMAR</t>
  </si>
  <si>
    <t>ABOGADO ESPECIALISTA EN CONTRATACIONES DEL ESTADO</t>
  </si>
  <si>
    <t>41095648</t>
  </si>
  <si>
    <t>CAYETANO ACEVEDO BERENICE MAURICIA</t>
  </si>
  <si>
    <t>SERVICIO DE LIMPIEZA</t>
  </si>
  <si>
    <t>10351976</t>
  </si>
  <si>
    <t>CCOHUA CHUQUIZACA JOSE LUIS</t>
  </si>
  <si>
    <t>TECNICO EN GESTION V - ARCHIVO</t>
  </si>
  <si>
    <t>42606085</t>
  </si>
  <si>
    <t>CEDILLO GARCIA MARUXY ISABEL</t>
  </si>
  <si>
    <t>31659301</t>
  </si>
  <si>
    <t>CELESTINO SILVERIO OLGA LORENZA</t>
  </si>
  <si>
    <t>41687674</t>
  </si>
  <si>
    <t>CELI RODRIGUEZ, ANGEL MIGUEL</t>
  </si>
  <si>
    <t>10808983</t>
  </si>
  <si>
    <t>CERNADES ACOSTA MIGUEL ANDRES</t>
  </si>
  <si>
    <t>ABOGADO ESPECIALISTA EN DERECHO ADMINISTRATIVO</t>
  </si>
  <si>
    <t>08891539</t>
  </si>
  <si>
    <t>CESARE SIFUENTES JOSE PAULO</t>
  </si>
  <si>
    <t>43177697</t>
  </si>
  <si>
    <t>CESPEDES ESCOBAR ELVIS</t>
  </si>
  <si>
    <t>TECNICO EN INGENIERIA CIVIL</t>
  </si>
  <si>
    <t>LEGAL ESPECIALISTA EN FORMALIZACIÓN INDIVIDUAL</t>
  </si>
  <si>
    <t>43785760</t>
  </si>
  <si>
    <t>CHALCO HEREDIA WILLIAMS BRUCE</t>
  </si>
  <si>
    <t>43643566</t>
  </si>
  <si>
    <t>CHAMBI VASQUEZ JOHN PABLO</t>
  </si>
  <si>
    <t>45592871</t>
  </si>
  <si>
    <t>CHANG GUERRERO MELODY YAZMIN</t>
  </si>
  <si>
    <t>BACHILLER EN ADMINISTRACION DE EMPRESAS</t>
  </si>
  <si>
    <t>47874826</t>
  </si>
  <si>
    <t>CHAPETON MACHACA DAISY JOSELYN</t>
  </si>
  <si>
    <t>25772192</t>
  </si>
  <si>
    <t>CHAPILLIQUEN FIESTAS PAULA</t>
  </si>
  <si>
    <t>SUPERVISOR CATASTRAL</t>
  </si>
  <si>
    <t>16764887</t>
  </si>
  <si>
    <t>CHAPOÑAN GALAN WALTER YOVANI</t>
  </si>
  <si>
    <t>20694484</t>
  </si>
  <si>
    <t>CHARAJA PORRAS JOSE LUIS</t>
  </si>
  <si>
    <t>44791996</t>
  </si>
  <si>
    <t>CHAVEZ ABANTO JORGE ALFONSO</t>
  </si>
  <si>
    <t>TECNICO EN PROGRAMACION</t>
  </si>
  <si>
    <t>41644264</t>
  </si>
  <si>
    <t>CHAVEZ PICON SILA JUDITH</t>
  </si>
  <si>
    <t>33243162</t>
  </si>
  <si>
    <t>CHAVEZ PRINCIPE JORGE ERNESTO</t>
  </si>
  <si>
    <t>22666210</t>
  </si>
  <si>
    <t>CHAVEZ ROSALES RODOLFO IVANOVICH</t>
  </si>
  <si>
    <t>41230591</t>
  </si>
  <si>
    <t>CHECA RENDON JAVIER HERMILIO</t>
  </si>
  <si>
    <t>BACHILLER EN DERECHO Y CIENCIAS POLITICAS</t>
  </si>
  <si>
    <t>00815581</t>
  </si>
  <si>
    <t>CHILON ADINCHON HIPOLITO</t>
  </si>
  <si>
    <t>01224535</t>
  </si>
  <si>
    <t>CHIPANA MENA FELIX</t>
  </si>
  <si>
    <t>INGENIERIA GEOLOGICA, MINERA, METALURGICA Y GEOGRAFICA</t>
  </si>
  <si>
    <t>INGENIERO GEOFISICO</t>
  </si>
  <si>
    <t>TECNICO DE CAMPO</t>
  </si>
  <si>
    <t>29624804</t>
  </si>
  <si>
    <t>CHIRINOS INGA TERESA MARIETTA</t>
  </si>
  <si>
    <t>INGENIERIA AGRONOMA</t>
  </si>
  <si>
    <t>42127187</t>
  </si>
  <si>
    <t>CHOQQUE HUILLCA RUTH ISABEL</t>
  </si>
  <si>
    <t>ABOGADO/A LOTES SUSPENDIDOS</t>
  </si>
  <si>
    <t>70430038</t>
  </si>
  <si>
    <t>CHOQUEHUANCA TORRES ARACELLY ITZEL</t>
  </si>
  <si>
    <t>Abogado en Procedimientos Administrativos</t>
  </si>
  <si>
    <t>42758278</t>
  </si>
  <si>
    <t>CHUCHON FERIA ABRAHAM</t>
  </si>
  <si>
    <t>10001878</t>
  </si>
  <si>
    <t>CHUCHON SANCHEZ OSWALDO</t>
  </si>
  <si>
    <t>09162761</t>
  </si>
  <si>
    <t>CHUCHON SANCHEZ RAUL DAVID</t>
  </si>
  <si>
    <t>TECNICO EN ATENCION AL PUBLICO - I</t>
  </si>
  <si>
    <t>45035723</t>
  </si>
  <si>
    <t>CHUQUILLANQUI HUETE YULIANA NOEMI</t>
  </si>
  <si>
    <t>ADMINISTRACION Y GESTION DE EMPRESAS</t>
  </si>
  <si>
    <t>TECNICO CAD GIS</t>
  </si>
  <si>
    <t>10011897</t>
  </si>
  <si>
    <t>CHUQUIRUNA GIL PEDRO WILLIAM</t>
  </si>
  <si>
    <t>45668890</t>
  </si>
  <si>
    <t>CHUQUIYAURI ATENCIO ANGELA LORENA</t>
  </si>
  <si>
    <t>01315972</t>
  </si>
  <si>
    <t>CHURATA AGUILAR NANCY</t>
  </si>
  <si>
    <t>AUXILIAR DE CONTABILIDAD</t>
  </si>
  <si>
    <t>AUXILIAR CONTABLE</t>
  </si>
  <si>
    <t>21570907</t>
  </si>
  <si>
    <t>CHUYMA GUTIERREZ ADRIAN JULIO</t>
  </si>
  <si>
    <t>44513248</t>
  </si>
  <si>
    <t>CLEMENTE MASCCO FANNY INGRID</t>
  </si>
  <si>
    <t>42166148</t>
  </si>
  <si>
    <t>COAQUIRA RODRIGO MYLENE JEANNINA</t>
  </si>
  <si>
    <t>PROFESOR DE EDUCACION SECUNDARIA</t>
  </si>
  <si>
    <t>PROFESOR DE EDUCACION SECUNDARIA COMUN</t>
  </si>
  <si>
    <t>41416926</t>
  </si>
  <si>
    <t>COLCHADO CERDAN LADIESKA ULIANOVA</t>
  </si>
  <si>
    <t>INGENIERO ESPECIALISTA EN CATASTRO</t>
  </si>
  <si>
    <t>07524164</t>
  </si>
  <si>
    <t>COLLANTES ORTIZ ADRIANA MILAGROS</t>
  </si>
  <si>
    <t>42966287</t>
  </si>
  <si>
    <t>COLLAZOS PORTOCARRERO LLARLENY</t>
  </si>
  <si>
    <t>ENFERMERIA TECNICA</t>
  </si>
  <si>
    <t>45595789</t>
  </si>
  <si>
    <t>CONDOR ASCANIO LESLIE CATHERINE</t>
  </si>
  <si>
    <t>10597786</t>
  </si>
  <si>
    <t>CONDOR FIGUEROA RAFAEL ELOY</t>
  </si>
  <si>
    <t>TECNICO INCOMPLETO</t>
  </si>
  <si>
    <t>COORDINADOR EN FORMALIZACION</t>
  </si>
  <si>
    <t>29224258</t>
  </si>
  <si>
    <t>CONDORI LUNA ALVARO ALBERTO</t>
  </si>
  <si>
    <t>OPERADOR(A) DE LIMPIEZA</t>
  </si>
  <si>
    <t>04743754</t>
  </si>
  <si>
    <t>CONDORI PALOMINO CARMEN BETTY</t>
  </si>
  <si>
    <t>ARQUITECTO / INGENIERO PVE-UUPP</t>
  </si>
  <si>
    <t>20020182</t>
  </si>
  <si>
    <t>CONTRERAS BARRETO DORA CAROLINA</t>
  </si>
  <si>
    <t>80254689</t>
  </si>
  <si>
    <t>CONTRERAS BERNABEL DONAYRE MERY</t>
  </si>
  <si>
    <t>10810470</t>
  </si>
  <si>
    <t>CONTRERAS PASCO HANNS ABDÓN</t>
  </si>
  <si>
    <t>OPERADOR DE CONDUCCION VEHICULAR</t>
  </si>
  <si>
    <t>06284323</t>
  </si>
  <si>
    <t>CORAS GALINDO NAUM VELTRAN</t>
  </si>
  <si>
    <t>OPERADOR DE LIMPIEZA</t>
  </si>
  <si>
    <t>07095674</t>
  </si>
  <si>
    <t>CORAZ SANCHEZ BERTHA SORAYA</t>
  </si>
  <si>
    <t>ASESOR/A  DE ALTA DIRECCIÓN</t>
  </si>
  <si>
    <t>10277232</t>
  </si>
  <si>
    <t>CORDOVA DE LOS SANTOS MIRIAN LOURDES</t>
  </si>
  <si>
    <t>02871719</t>
  </si>
  <si>
    <t>CORDOVA JIMENEZ OSCAR DUBERLY</t>
  </si>
  <si>
    <t>ABOGADO ADJUDICACIONES</t>
  </si>
  <si>
    <t>07528507</t>
  </si>
  <si>
    <t>CORDOVA LEYVA MARTIN SAMUEL</t>
  </si>
  <si>
    <t>40398571</t>
  </si>
  <si>
    <t>CORDOVA PEREZ PAMELA CELIA</t>
  </si>
  <si>
    <t>ABOGADO ESPECIALISTA EN CONTROL Y REVISIÓN DE LA CALIFICACIÓN INDIVIDUAL</t>
  </si>
  <si>
    <t>06655797</t>
  </si>
  <si>
    <t>CORDOVA ROJAS OFELIA</t>
  </si>
  <si>
    <t>22509012</t>
  </si>
  <si>
    <t>CORNE CORI FERNANDO FELIPE</t>
  </si>
  <si>
    <t>31012651</t>
  </si>
  <si>
    <t>CORREA OJEDA LUIS SANTOS</t>
  </si>
  <si>
    <t>09773846</t>
  </si>
  <si>
    <t>CORTEZ MIRANDA ALEXANDER</t>
  </si>
  <si>
    <t>09601674</t>
  </si>
  <si>
    <t>CORTEZ ÑIQUEN MICAELA YSABEL</t>
  </si>
  <si>
    <t>43627708</t>
  </si>
  <si>
    <t>COSTA MENDEZ JUAN ISMAEL</t>
  </si>
  <si>
    <t>00208096</t>
  </si>
  <si>
    <t>COSTA ROSILLO LUIS ENRIQUE</t>
  </si>
  <si>
    <t>ABOGADO EN ATENCION DE SOLICITUDES</t>
  </si>
  <si>
    <t>41313910</t>
  </si>
  <si>
    <t>COTRINA IDRUGO JHENY VERONICA</t>
  </si>
  <si>
    <t>10015141</t>
  </si>
  <si>
    <t>CRISOSTOMO PALOMINO FLORENCIO</t>
  </si>
  <si>
    <t>72112915</t>
  </si>
  <si>
    <t>CRUZ MANZANARES CARMEN EDITA DE LOURDES</t>
  </si>
  <si>
    <t>ADMINISTRADOR ZONAL</t>
  </si>
  <si>
    <t>40514286</t>
  </si>
  <si>
    <t>CRUZADO ABANTO YAN DUBER</t>
  </si>
  <si>
    <t>40227420</t>
  </si>
  <si>
    <t>CUADROS CAJAMARCA WILLIAM</t>
  </si>
  <si>
    <t>45659550</t>
  </si>
  <si>
    <t>CUADROS ROMUCHO NADIA TESSI DEL PILAR</t>
  </si>
  <si>
    <t>ASISTENTE EN GESTION</t>
  </si>
  <si>
    <t>10343556</t>
  </si>
  <si>
    <t>CUEVAS TAM LUIS ENRIQUE</t>
  </si>
  <si>
    <t>INGENIERO ADMINISTRATIVO</t>
  </si>
  <si>
    <t>ASISTENTE EN GESTION ADMINISTRATIVA</t>
  </si>
  <si>
    <t>09328137</t>
  </si>
  <si>
    <t>CULQUI JULCA SANTOS RAFAEL</t>
  </si>
  <si>
    <t>04805479</t>
  </si>
  <si>
    <t>CUSURICHI PALACIOS UBALDO JUAN</t>
  </si>
  <si>
    <t>GESTOR DE POLITICAS PUBLICAS</t>
  </si>
  <si>
    <t>45572524</t>
  </si>
  <si>
    <t>DAVILA CORDOVA LUIS SEBASTIAN</t>
  </si>
  <si>
    <t>17617587</t>
  </si>
  <si>
    <t>DAVILA FALLA JUAN ALBERTO</t>
  </si>
  <si>
    <t>42767573</t>
  </si>
  <si>
    <t>DAVILA PERALTA JOSE WILSON</t>
  </si>
  <si>
    <t>43240271</t>
  </si>
  <si>
    <t>DAZA ROMERO FRANKLIN</t>
  </si>
  <si>
    <t>BACHILLER EN CIENCIAS DE LOS RECURSOS NATURALES RENOVABLES</t>
  </si>
  <si>
    <t>SUPERVISOR/A EN MANTENIMIENTO Y CONTROL DE CALIDAD</t>
  </si>
  <si>
    <t>70305869</t>
  </si>
  <si>
    <t>DE LA CRUZ CAMARGO PAMELY  YUSSEN</t>
  </si>
  <si>
    <t>45524240</t>
  </si>
  <si>
    <t>DE LA CRUZ CARRILLO ALEX MARCOS</t>
  </si>
  <si>
    <t>ANALISTA PROGRAMADOR I</t>
  </si>
  <si>
    <t>45587745</t>
  </si>
  <si>
    <t>DE LA CRUZ CRUZ JOEL JACINTO</t>
  </si>
  <si>
    <t>ESPECIALISTA I</t>
  </si>
  <si>
    <t>40545994</t>
  </si>
  <si>
    <t>DE LA CRUZ DEL ROSARIO GLORIA ELIZABETH</t>
  </si>
  <si>
    <t>23224926</t>
  </si>
  <si>
    <t>DE LA CRUZ FLORES EVARISTO DOMINGO</t>
  </si>
  <si>
    <t>41010567</t>
  </si>
  <si>
    <t>DE LA CRUZ JO FRANS RENZO</t>
  </si>
  <si>
    <t>41678554</t>
  </si>
  <si>
    <t>DE LA FUENTE LEON LUIS BALTAZAR</t>
  </si>
  <si>
    <t>45600681</t>
  </si>
  <si>
    <t>DE LOAYZA TANTALEAN PEDRO ALONSO</t>
  </si>
  <si>
    <t>09935890</t>
  </si>
  <si>
    <t>DE LOS REYES CASAPIA EMILIO ABRAHAM</t>
  </si>
  <si>
    <t>43307486</t>
  </si>
  <si>
    <t>DE LOS SANTOS SUYON LETTY FRANCHESKA</t>
  </si>
  <si>
    <t>05382098</t>
  </si>
  <si>
    <t>DEL AGUILA HERNANDEZ BELLA MARGOT</t>
  </si>
  <si>
    <t>70513490</t>
  </si>
  <si>
    <t>DEL CARPIO MENDIOLA LUISIN EDSON</t>
  </si>
  <si>
    <t>TECNICO EN PROTESIS DENTAL</t>
  </si>
  <si>
    <t>TECNICO EN ENFERMERIA</t>
  </si>
  <si>
    <t>18229109</t>
  </si>
  <si>
    <t>DEL ROSARIO CHAVARRI TANIA SOLEDAD</t>
  </si>
  <si>
    <t>40304673</t>
  </si>
  <si>
    <t>DELGADO ROSILLO JIM FARLEY</t>
  </si>
  <si>
    <t>EDITOR DE PLANO</t>
  </si>
  <si>
    <t>31656812</t>
  </si>
  <si>
    <t>DEPAZ DEXTRE ALFREDO PEDRO</t>
  </si>
  <si>
    <t>ASESOR CONTABLE</t>
  </si>
  <si>
    <t>40708144</t>
  </si>
  <si>
    <t>DEPAZ LOPEZ VERONIKA NORMA</t>
  </si>
  <si>
    <t>OPERADOR EN ALMACEN</t>
  </si>
  <si>
    <t>44837632</t>
  </si>
  <si>
    <t>DESIGLIOLI DIAZ JAVIER LORENSO</t>
  </si>
  <si>
    <t>10671898</t>
  </si>
  <si>
    <t>DIAZ MENDOZA JOSE LUIS</t>
  </si>
  <si>
    <t>23873694</t>
  </si>
  <si>
    <t>DIAZ MENDOZA MARITZA</t>
  </si>
  <si>
    <t>INFORMATICA</t>
  </si>
  <si>
    <t>OPERADOR EN COMPUTADORAS</t>
  </si>
  <si>
    <t>16486392</t>
  </si>
  <si>
    <t>DIAZ NUÑEZ WALTER JOSE</t>
  </si>
  <si>
    <t>ELECTRICIDAD</t>
  </si>
  <si>
    <t>ESPECIALISTA PROFESIONAL ELECTRICIDAD</t>
  </si>
  <si>
    <t>09898457</t>
  </si>
  <si>
    <t>DIAZ RABANAL MARGARITA PILAR</t>
  </si>
  <si>
    <t>44782860</t>
  </si>
  <si>
    <t>DIAZ RUA JOHNATHAN GIANPIERE</t>
  </si>
  <si>
    <t>43450547</t>
  </si>
  <si>
    <t>DIAZ TORRES LUIS GONZALO</t>
  </si>
  <si>
    <t>AGRONOMIA</t>
  </si>
  <si>
    <t>ABOGADO EN DIAGNOSTICO</t>
  </si>
  <si>
    <t>40057500</t>
  </si>
  <si>
    <t>DIESTRA DUEÑAS JESSICA DEL PILAR</t>
  </si>
  <si>
    <t>05221759</t>
  </si>
  <si>
    <t>DOMPER GONZALES AMADO ISAAC</t>
  </si>
  <si>
    <t>29727477</t>
  </si>
  <si>
    <t>DUEÑAS ENRIQUEZ ANGELA MARIA</t>
  </si>
  <si>
    <t>30856739</t>
  </si>
  <si>
    <t>DUEÑAS PERALES MIRTHA MILAGROS</t>
  </si>
  <si>
    <t>07490823</t>
  </si>
  <si>
    <t>DULANTO YGLESIAS EDGAR HENRY</t>
  </si>
  <si>
    <t>43551229</t>
  </si>
  <si>
    <t>DURAND PERALTA GABRIELA</t>
  </si>
  <si>
    <t>PSICOLOGOS</t>
  </si>
  <si>
    <t>ADMINISTRADOR/A</t>
  </si>
  <si>
    <t>41985492</t>
  </si>
  <si>
    <t>DURAND RAMOS MARLENE</t>
  </si>
  <si>
    <t>ABOGADO LOTES SUSPENDIDOS</t>
  </si>
  <si>
    <t>44965978</t>
  </si>
  <si>
    <t>ECHE RAMOS JHAN CARLOS</t>
  </si>
  <si>
    <t>41147431</t>
  </si>
  <si>
    <t>ELIAS VERA CARLOS MANUEL</t>
  </si>
  <si>
    <t>LICENCIADO EN EDUCACION</t>
  </si>
  <si>
    <t>41715482</t>
  </si>
  <si>
    <t>ELIAS VERA CAROL VIVIANA</t>
  </si>
  <si>
    <t>29683377</t>
  </si>
  <si>
    <t>ENRIQUEZ CASTRO DANIEL ALBERTO</t>
  </si>
  <si>
    <t>Operador en Mantenimiento Vehicular</t>
  </si>
  <si>
    <t>40162828</t>
  </si>
  <si>
    <t>ESCOBAR VASQUEZ FREDI DILMER</t>
  </si>
  <si>
    <t>TECNICO EN MECANICA AUTOMOTRIZ</t>
  </si>
  <si>
    <t>ARQUITECTO/INGENIERO - LOTES SUPENDIDOS</t>
  </si>
  <si>
    <t>41692345</t>
  </si>
  <si>
    <t>ESCOBEDO PEREZ JESSICA FLOR</t>
  </si>
  <si>
    <t>06564806</t>
  </si>
  <si>
    <t>ESCRIBA BENDEZU JULIAN MARCELINO</t>
  </si>
  <si>
    <t>MECANICA DE TORNO</t>
  </si>
  <si>
    <t>42667234</t>
  </si>
  <si>
    <t>ESPINOZA BORDA DOLORES ALICIA</t>
  </si>
  <si>
    <t>ESPECIALISTA EN FOTOGRAMETRIA</t>
  </si>
  <si>
    <t>06141616</t>
  </si>
  <si>
    <t>ESPINOZA CARMEN DE NUÑEZ RUTH</t>
  </si>
  <si>
    <t>02841766</t>
  </si>
  <si>
    <t>ESPINOZA CARRION MANUEL RAMON</t>
  </si>
  <si>
    <t>46585828</t>
  </si>
  <si>
    <t>ESPINOZA MAYHUAY RENZO RAFAEL</t>
  </si>
  <si>
    <t>18110321</t>
  </si>
  <si>
    <t>ESPINOZA RIVERA CESAR AUGUSTO</t>
  </si>
  <si>
    <t>40081299</t>
  </si>
  <si>
    <t>ESPINOZA VALENCIA JOSIANNE</t>
  </si>
  <si>
    <t>42910342</t>
  </si>
  <si>
    <t>ESPIRILLA HUANCACHOQUE ROGER</t>
  </si>
  <si>
    <t>10603974</t>
  </si>
  <si>
    <t>ESQUEN SANCHEZ YURI</t>
  </si>
  <si>
    <t>46004962</t>
  </si>
  <si>
    <t>ESTACIO MORALES ALEXA NAILEA</t>
  </si>
  <si>
    <t>09463176</t>
  </si>
  <si>
    <t>ESTEBAN MAYTA MARGOT ROSARIO</t>
  </si>
  <si>
    <t>ASESOR II</t>
  </si>
  <si>
    <t>06672330</t>
  </si>
  <si>
    <t>ESTRADA MENDOZA JACKELINE EDITH</t>
  </si>
  <si>
    <t>32225046</t>
  </si>
  <si>
    <t>FAJARDO LOPEZ CARMEN AUGUSTO</t>
  </si>
  <si>
    <t>SUPERVISOR EN GEODESIA Y TOPOGRAFIA</t>
  </si>
  <si>
    <t>10582748</t>
  </si>
  <si>
    <t>FAJARDO LOPEZ VICTOR HUGO</t>
  </si>
  <si>
    <t>08346349</t>
  </si>
  <si>
    <t>FALLA BERETTA JORGE LUIS</t>
  </si>
  <si>
    <t>ABOGADO ESPECIALISTA EN PROCEDIMIENTOS ADMINISTRATIVOS</t>
  </si>
  <si>
    <t>02794582</t>
  </si>
  <si>
    <t>FARFAN MASIAS MARIELLA DEL ROSARIO</t>
  </si>
  <si>
    <t>42153217</t>
  </si>
  <si>
    <t>FARJE MENDOZA ALFREDO ENRIQUE</t>
  </si>
  <si>
    <t>19331781</t>
  </si>
  <si>
    <t>FARRO CABANILLAS FRANCISCO FERNANDO</t>
  </si>
  <si>
    <t>41419527</t>
  </si>
  <si>
    <t>FARROÑAN LARA MILAGROS BERNARDINA</t>
  </si>
  <si>
    <t>ABOGADO CONVENIO SUNARP</t>
  </si>
  <si>
    <t>42089962</t>
  </si>
  <si>
    <t>FELIX SILVA ARMIDA</t>
  </si>
  <si>
    <t>TECNICO EN VERIFICACION</t>
  </si>
  <si>
    <t>16683525</t>
  </si>
  <si>
    <t>FERNANDEZ CABANILLAS GONZALO</t>
  </si>
  <si>
    <t>08212545</t>
  </si>
  <si>
    <t>FERNANDEZ GUZMAN ELVIA ESTHER</t>
  </si>
  <si>
    <t>SUPERVISOR LEGAL</t>
  </si>
  <si>
    <t>07823996</t>
  </si>
  <si>
    <t>FERNANDEZ HUERTA ARACELLI</t>
  </si>
  <si>
    <t>70516159</t>
  </si>
  <si>
    <t>FERNANDEZ MITMA PATRICIA</t>
  </si>
  <si>
    <t>10419388</t>
  </si>
  <si>
    <t>FERNANDEZ YSLACHE ROBERTO ARTURO</t>
  </si>
  <si>
    <t>40842124</t>
  </si>
  <si>
    <t>FERRARI DAVILA DANIELA SOLCIRE</t>
  </si>
  <si>
    <t>ESPECIALISTA WEB GIS</t>
  </si>
  <si>
    <t>10130748</t>
  </si>
  <si>
    <t>FLORES CABELLO RICHARD MANUEL</t>
  </si>
  <si>
    <t>00497900</t>
  </si>
  <si>
    <t>FLORES CACERES GIULIANA DEL SOCORRO</t>
  </si>
  <si>
    <t>02870752</t>
  </si>
  <si>
    <t>FLORES CHICOMA JOHN FERNANDO</t>
  </si>
  <si>
    <t>AGRONOMO</t>
  </si>
  <si>
    <t>OPERADOR/A DE LIMPIEZA</t>
  </si>
  <si>
    <t>47995142</t>
  </si>
  <si>
    <t>FLORES LOPEZ KAREN</t>
  </si>
  <si>
    <t>08664558</t>
  </si>
  <si>
    <t>FLORES QUIÑONES JULISSA MILOUSKA</t>
  </si>
  <si>
    <t>BACHILLER EN ADMINISTRACION</t>
  </si>
  <si>
    <t>45467327</t>
  </si>
  <si>
    <t>FLORES SALAS PABLO WILLIANS</t>
  </si>
  <si>
    <t>OPERADOR EN ATENCION AL USUARIO</t>
  </si>
  <si>
    <t>44095408</t>
  </si>
  <si>
    <t>FLORES TORRES CLAUDIA ELIZABETH</t>
  </si>
  <si>
    <t>29594172</t>
  </si>
  <si>
    <t>FLOREZ BARREDA ZEGARRA MARY ISABEL</t>
  </si>
  <si>
    <t>06792806</t>
  </si>
  <si>
    <t>FOSSA QUIROZ PAOLA TARCILA</t>
  </si>
  <si>
    <t>21461607</t>
  </si>
  <si>
    <t>FUENTES GARCIA ROSARIO ISABEL</t>
  </si>
  <si>
    <t>PSICOLOGIA, FILOSOFIA, CIENCIAS SOCIALES</t>
  </si>
  <si>
    <t>10472459</t>
  </si>
  <si>
    <t>GACON REGAL ANDRES RICARDO</t>
  </si>
  <si>
    <t>70011351</t>
  </si>
  <si>
    <t>GALDOS HASHIMOTO SELENA YOSHIMI</t>
  </si>
  <si>
    <t>43528051</t>
  </si>
  <si>
    <t>GALOC CULQUI ELIZABETH</t>
  </si>
  <si>
    <t>TECNICO EN SECRETARIADO EJECUTIVO</t>
  </si>
  <si>
    <t>06793668</t>
  </si>
  <si>
    <t>GALVAN CHIRINOS LUIS ENRIQUE</t>
  </si>
  <si>
    <t>28282369</t>
  </si>
  <si>
    <t>GALVEZ CAVALCANTI MILTON HENI</t>
  </si>
  <si>
    <t>46855323</t>
  </si>
  <si>
    <t>GALVEZ CHAVEZ CRISTHIAN EDINSON</t>
  </si>
  <si>
    <t>44314550</t>
  </si>
  <si>
    <t>GALVEZ ZARATE LUZ GINA</t>
  </si>
  <si>
    <t>46632411</t>
  </si>
  <si>
    <t>GAMARRA HERRERA DIEGO ANTONIO</t>
  </si>
  <si>
    <t>21434770</t>
  </si>
  <si>
    <t>GAMBOA SANTOS LUIS FERANDY</t>
  </si>
  <si>
    <t>CONTADOR TECNICO</t>
  </si>
  <si>
    <t>04745556</t>
  </si>
  <si>
    <t>GAMEZ CARNERO ANALIA NIDIA</t>
  </si>
  <si>
    <t>40658152</t>
  </si>
  <si>
    <t>GAONA VILLEGAS DAVID FERNANDO</t>
  </si>
  <si>
    <t>41855951</t>
  </si>
  <si>
    <t>GARCES RUIZ EVELYN VANESSA</t>
  </si>
  <si>
    <t>07758991</t>
  </si>
  <si>
    <t>GARCIA BLASQUEZ ALVIZURI CESAR ARTURO</t>
  </si>
  <si>
    <t>18079793</t>
  </si>
  <si>
    <t>GARCIA CAMPOS NATANAEL</t>
  </si>
  <si>
    <t>10391442</t>
  </si>
  <si>
    <t>GARCIA CARRASCO MARITZA AMELIA</t>
  </si>
  <si>
    <t>TECNICO EN ADMINISTRACION DE EMPRESAS</t>
  </si>
  <si>
    <t>44115891</t>
  </si>
  <si>
    <t>GARCIA DURAND MICHELL</t>
  </si>
  <si>
    <t>77686561</t>
  </si>
  <si>
    <t>GARCIA GODOY LUIS EDUARDO</t>
  </si>
  <si>
    <t>00794365</t>
  </si>
  <si>
    <t>GARCIA HENNINGS TELLEZ MARISELA</t>
  </si>
  <si>
    <t>45890718</t>
  </si>
  <si>
    <t>GARCIA LORA MAGALY CONCEPCION</t>
  </si>
  <si>
    <t>09209645</t>
  </si>
  <si>
    <t>GARCIA ORMEÑO JOSE ALFREDO</t>
  </si>
  <si>
    <t>LENGUA Y LITERATURA</t>
  </si>
  <si>
    <t>ESPECIALISTA EN TOPOGRAFIA</t>
  </si>
  <si>
    <t>06901738</t>
  </si>
  <si>
    <t>GARCIA PEREZ MIGUEL ANGEL</t>
  </si>
  <si>
    <t>TÉCNICO EN TRANSPORTE I</t>
  </si>
  <si>
    <t>43992576</t>
  </si>
  <si>
    <t>GARCIA TEJEDA JUAN CARLOS</t>
  </si>
  <si>
    <t>ABOGADO TUPA</t>
  </si>
  <si>
    <t>32132436</t>
  </si>
  <si>
    <t>GARCILAZO LAZARO JUAN CARLOS</t>
  </si>
  <si>
    <t>74297796</t>
  </si>
  <si>
    <t>GARRIDO ZAPATA GUILLERMO DAVID</t>
  </si>
  <si>
    <t>25728745</t>
  </si>
  <si>
    <t>GARZON LEON HUMBERTO OSCAR</t>
  </si>
  <si>
    <t>CIENCIAS ADMINISTRATIVAS</t>
  </si>
  <si>
    <t>16781401</t>
  </si>
  <si>
    <t>GASTIABURU FARFAN JORGE MARTIN</t>
  </si>
  <si>
    <t>LICENCIADO EN EDUCACION / MATEMATICA Y FISICA</t>
  </si>
  <si>
    <t>46986157</t>
  </si>
  <si>
    <t>GAVANCHO RAMOS JHON LIZANDRO</t>
  </si>
  <si>
    <t>46666613</t>
  </si>
  <si>
    <t>GAVILAN CHAVEZ ZANDY MARCELITA</t>
  </si>
  <si>
    <t>40170046</t>
  </si>
  <si>
    <t>GERONIMO FARFAN IRIS</t>
  </si>
  <si>
    <t>25709488</t>
  </si>
  <si>
    <t>GIRON SOTO SARA</t>
  </si>
  <si>
    <t>40687323</t>
  </si>
  <si>
    <t>GOICOCHEA TAPIA JAIME</t>
  </si>
  <si>
    <t>02432466</t>
  </si>
  <si>
    <t>GOMEZ APAZA JOSE LUIS</t>
  </si>
  <si>
    <t>44353592</t>
  </si>
  <si>
    <t>GOMEZ CARO DIANA CAROLINA</t>
  </si>
  <si>
    <t>42003072</t>
  </si>
  <si>
    <t>GOMEZ CHURA ERIKA SHAIDA</t>
  </si>
  <si>
    <t>47315977</t>
  </si>
  <si>
    <t>GOMEZ DAZA DEYLIS LLANET</t>
  </si>
  <si>
    <t>10642083</t>
  </si>
  <si>
    <t>GOMEZ DE LA CRUZ MARCO ANTONIO</t>
  </si>
  <si>
    <t>ESPECIALISTA EN REDES SOCIALES</t>
  </si>
  <si>
    <t>70324041</t>
  </si>
  <si>
    <t>GOMEZ MALDONADO BENJAMIN</t>
  </si>
  <si>
    <t>LICENCIADA EN CIENCIAS DE LA COMUNICACION</t>
  </si>
  <si>
    <t>08288292</t>
  </si>
  <si>
    <t>GOMEZ MAYHUASQUI FELIX</t>
  </si>
  <si>
    <t>40883624</t>
  </si>
  <si>
    <t>GOMEZ MORALES KETTY MARYLIN</t>
  </si>
  <si>
    <t>23882110</t>
  </si>
  <si>
    <t>GOMEZ VILLA VIOLETA</t>
  </si>
  <si>
    <t>41570835</t>
  </si>
  <si>
    <t>GONZALES ASPAJO MIGUEL ANGEL</t>
  </si>
  <si>
    <t>41878491</t>
  </si>
  <si>
    <t>GONZALES BARTOLO JORGE ANDRES</t>
  </si>
  <si>
    <t>80394296</t>
  </si>
  <si>
    <t>GONZALES COLLANTES HILDEBRANDO</t>
  </si>
  <si>
    <t>10012916</t>
  </si>
  <si>
    <t>GONZALES CRUZ DANIEL</t>
  </si>
  <si>
    <t>BACHILLER EN INGENIERIA  DE SISTEMAS</t>
  </si>
  <si>
    <t>04078838</t>
  </si>
  <si>
    <t>GONZALES MALDONADO EULER ENRIQUE</t>
  </si>
  <si>
    <t>TECNICO EN GESTION II</t>
  </si>
  <si>
    <t>42259127</t>
  </si>
  <si>
    <t>GONZALES MEGO AURORA</t>
  </si>
  <si>
    <t>06702835</t>
  </si>
  <si>
    <t>GONZALES PONTE CESAR ALEJANDRO</t>
  </si>
  <si>
    <t>42084513</t>
  </si>
  <si>
    <t>GONZALES QUISPE SEBASTIAN</t>
  </si>
  <si>
    <t>00495491</t>
  </si>
  <si>
    <t>GONZALES VALDERRAMA MERCEDES ALEGRIA</t>
  </si>
  <si>
    <t>ABOGADO EN LOTES SUSPENDIDOS</t>
  </si>
  <si>
    <t>45596750</t>
  </si>
  <si>
    <t>GONZALEZ OVIEDO FIORELLA LISSET</t>
  </si>
  <si>
    <t>19896532</t>
  </si>
  <si>
    <t>GORA GALLO EDSON SERGIO</t>
  </si>
  <si>
    <t>43128889</t>
  </si>
  <si>
    <t>GOYZUETA MEZA CHERYL PAMELA</t>
  </si>
  <si>
    <t>45502075</t>
  </si>
  <si>
    <t>GRANADOS DAVILA MARISELA RITA</t>
  </si>
  <si>
    <t>16689285</t>
  </si>
  <si>
    <t>GRANADOS MONTENEGRO JUAN CARLOS</t>
  </si>
  <si>
    <t>40507111</t>
  </si>
  <si>
    <t>GRANDA CRISPIN CHRISTIAN GIOVANI</t>
  </si>
  <si>
    <t>75355044</t>
  </si>
  <si>
    <t>GRANDEZ AMASIFUEN CHRISTIAN PAOLO</t>
  </si>
  <si>
    <t>01116402</t>
  </si>
  <si>
    <t>GRANDEZ PEREZ FIDEL</t>
  </si>
  <si>
    <t>46725776</t>
  </si>
  <si>
    <t>GRAU GUTIERREZ GIOVANNY BRYAN</t>
  </si>
  <si>
    <t>02819517</t>
  </si>
  <si>
    <t>GUAYLUPO REYES JUAN PABLO</t>
  </si>
  <si>
    <t>04342211</t>
  </si>
  <si>
    <t>GUEROVICH KOO ESTHER</t>
  </si>
  <si>
    <t>EMPADRONADOR/A</t>
  </si>
  <si>
    <t>40699027</t>
  </si>
  <si>
    <t>GUERRA VASQUEZ JENNY MARIBEL</t>
  </si>
  <si>
    <t>ABOGADO INTEGRAL</t>
  </si>
  <si>
    <t>40312206</t>
  </si>
  <si>
    <t>GUERRERO ADRIANZEN MERCEDES DEL SOCORRO</t>
  </si>
  <si>
    <t>25484053</t>
  </si>
  <si>
    <t>GUEVARA ORDOÑEZ FRANKLIN ALBERTO</t>
  </si>
  <si>
    <t>TELEOPERADORA</t>
  </si>
  <si>
    <t>43448450</t>
  </si>
  <si>
    <t>GUILLEN VIZCARRA INGRID MARIA</t>
  </si>
  <si>
    <t>00498483</t>
  </si>
  <si>
    <t>GUISBERT GUZMAN ITALO RODOLFO</t>
  </si>
  <si>
    <t>ASISTENTE EN DISEÑO GRÁFICO</t>
  </si>
  <si>
    <t>48047195</t>
  </si>
  <si>
    <t>GUTIERREZ ALARCON EDUARDO RUBEN</t>
  </si>
  <si>
    <t>70155045</t>
  </si>
  <si>
    <t>GUTIERREZ AYAUCAN CARMEN DE JESUS</t>
  </si>
  <si>
    <t>40441867</t>
  </si>
  <si>
    <t>GUTIERREZ DAVILA FRANCISCO ELEODORO</t>
  </si>
  <si>
    <t>74742312</t>
  </si>
  <si>
    <t>GUTIERREZ MACAS GLENDA LOURDES</t>
  </si>
  <si>
    <t>ESTADISTICA</t>
  </si>
  <si>
    <t>06805899</t>
  </si>
  <si>
    <t>GUTIERREZ RIMACHI ROSA MARIA</t>
  </si>
  <si>
    <t>43582316</t>
  </si>
  <si>
    <t>GUZMAN KURODA MILAGROS GIULIANA</t>
  </si>
  <si>
    <t>21559932</t>
  </si>
  <si>
    <t>HENRY PEREYRA TANIA MERCEDES</t>
  </si>
  <si>
    <t>OPERADOR CAD GIS</t>
  </si>
  <si>
    <t>42468346</t>
  </si>
  <si>
    <t>HEREDIA ESPINOZA MISAEL</t>
  </si>
  <si>
    <t>40159166</t>
  </si>
  <si>
    <t>HEREDIA GUTIERREZ JAIME ROLANDO</t>
  </si>
  <si>
    <t>09581181</t>
  </si>
  <si>
    <t>HERNANDEZ ESCOBEDO LUIS ALBERTO</t>
  </si>
  <si>
    <t>APOYO EN AUDITORIA</t>
  </si>
  <si>
    <t>47863581</t>
  </si>
  <si>
    <t>HERNANDEZ SALDARRIAGA TANIA DANAY</t>
  </si>
  <si>
    <t>70693196</t>
  </si>
  <si>
    <t>HERNANDEZ VELA NOE GABRIEL ALDO</t>
  </si>
  <si>
    <t>41905291</t>
  </si>
  <si>
    <t>HERRERA DIAZ PAOLA</t>
  </si>
  <si>
    <t>ABOGADO ESPECIALISTA EN DERECHO LABORAL</t>
  </si>
  <si>
    <t>10626140</t>
  </si>
  <si>
    <t>HERRERA LARREA VICTOR MAURICIO</t>
  </si>
  <si>
    <t>ANALISTA III</t>
  </si>
  <si>
    <t>42597117</t>
  </si>
  <si>
    <t>HERRERA PACHECO CARLOS FRANZ</t>
  </si>
  <si>
    <t>ESPECIALISTA DE ALMACEN</t>
  </si>
  <si>
    <t>40164245</t>
  </si>
  <si>
    <t>HERRERA PINEDO ALBERTO</t>
  </si>
  <si>
    <t>44446559</t>
  </si>
  <si>
    <t>HILARIO RIVAS CLAUDIA THATIANA</t>
  </si>
  <si>
    <t>29504750</t>
  </si>
  <si>
    <t>HOLGUIN QUILLA FRANCISCO LIZARDO</t>
  </si>
  <si>
    <t>07109001</t>
  </si>
  <si>
    <t>HONISMAN LEON ELIAS EPIFANIO</t>
  </si>
  <si>
    <t>40598785</t>
  </si>
  <si>
    <t>HOSTIA BOLIVAR KELLY MERCEDES</t>
  </si>
  <si>
    <t>10189391</t>
  </si>
  <si>
    <t>HUACHACA PALACIOS MARY LUZ</t>
  </si>
  <si>
    <t>CONSULTOR EN CONTROL Y SEGUIMIENTO DE ACTIVIDADES DE PROMOCI</t>
  </si>
  <si>
    <t>06928398</t>
  </si>
  <si>
    <t>HUALLANCA ESPINO JULIO VICENTE</t>
  </si>
  <si>
    <t>INDUSTRIA ALIMENTARIA</t>
  </si>
  <si>
    <t>42305860</t>
  </si>
  <si>
    <t>HUALLPA ARI LIZBETH LUCHA</t>
  </si>
  <si>
    <t>04437880</t>
  </si>
  <si>
    <t>HUAMAN CANSINO KATTY BETZABETH</t>
  </si>
  <si>
    <t>45751379</t>
  </si>
  <si>
    <t>HUAMAN CULQUI JESSICA GIOVANA</t>
  </si>
  <si>
    <t>21553057</t>
  </si>
  <si>
    <t>HUAMAN ESCOBAR CARLOS JAVIER</t>
  </si>
  <si>
    <t>43616817</t>
  </si>
  <si>
    <t>HUAMAN HUARI JUDITH</t>
  </si>
  <si>
    <t>AUDITOR JUNIOR</t>
  </si>
  <si>
    <t>46964683</t>
  </si>
  <si>
    <t>HUAMAN JULIAN SARA</t>
  </si>
  <si>
    <t>47034846</t>
  </si>
  <si>
    <t>HUAMAN LOPEZ BLANCA MARIZOL</t>
  </si>
  <si>
    <t>33343306</t>
  </si>
  <si>
    <t>HUAMAN MILLA DARIO FLORENTINO</t>
  </si>
  <si>
    <t>PROFESOR DE EDUCACION PRIMARIA</t>
  </si>
  <si>
    <t>OPERADOR/A DE ATENCIÓN AL PÚBLICO</t>
  </si>
  <si>
    <t>10606512</t>
  </si>
  <si>
    <t>HUAMAN OVALLE JACQUELINE ESTHER</t>
  </si>
  <si>
    <t>08875439</t>
  </si>
  <si>
    <t>HUAMAN PALOMINO MARLENE PRESENTACION</t>
  </si>
  <si>
    <t>42060162</t>
  </si>
  <si>
    <t>HUAMAN REYNA OSCAR MARINO</t>
  </si>
  <si>
    <t>23267313</t>
  </si>
  <si>
    <t>HUAMAN RIVEROS HAYDEE</t>
  </si>
  <si>
    <t>42444297</t>
  </si>
  <si>
    <t>HUAMANÑAHUI CRUZ FRITZ</t>
  </si>
  <si>
    <t>INGENIERIA AMBIENTAL</t>
  </si>
  <si>
    <t>40999248</t>
  </si>
  <si>
    <t>HUANASCA QUISPE LILY</t>
  </si>
  <si>
    <t>ESPECIALISTA III</t>
  </si>
  <si>
    <t>08189999</t>
  </si>
  <si>
    <t>HUAPAYA GARCIA MONTERROSO ANA CECILIA</t>
  </si>
  <si>
    <t>43616297</t>
  </si>
  <si>
    <t>HUAPAYA GUIÑO SHEYLA NOELIA</t>
  </si>
  <si>
    <t>ASESOR I</t>
  </si>
  <si>
    <t>10169778</t>
  </si>
  <si>
    <t>HUARANGA ROMERO CARLOS ALBERTO</t>
  </si>
  <si>
    <t>04069201</t>
  </si>
  <si>
    <t>HUARCAYA SUAREZ OREB  FREUD</t>
  </si>
  <si>
    <t>PROMOTOR/A</t>
  </si>
  <si>
    <t>46964231</t>
  </si>
  <si>
    <t>HUAROC ONSIHUAY ANGELLHA MIREYA</t>
  </si>
  <si>
    <t>25777247</t>
  </si>
  <si>
    <t>HUAROTE TORRE ANA CECILIA</t>
  </si>
  <si>
    <t>31666917</t>
  </si>
  <si>
    <t>HUERTA SUAREZ MARCELA GIOVANNA</t>
  </si>
  <si>
    <t>ESPECIALISTA EN ELABORACION NORMATIVA</t>
  </si>
  <si>
    <t>08879323</t>
  </si>
  <si>
    <t>HUERTAS DIAZ ARTURO LEONARDO</t>
  </si>
  <si>
    <t>45234429</t>
  </si>
  <si>
    <t>HUIVIN ESPINOZA EDISON RAUL</t>
  </si>
  <si>
    <t>ESPECIALISTA EN PROGRAMAS DE VIVIENDA DEL ESTADO Y EN HABILITACIONES URBANAS</t>
  </si>
  <si>
    <t>20023805</t>
  </si>
  <si>
    <t>HURTADO ORELLANA ILEANA RUTH NATALIA</t>
  </si>
  <si>
    <t>16521111</t>
  </si>
  <si>
    <t>IBAÑEZ CUBAS CARLOS ENRIQUE</t>
  </si>
  <si>
    <t>25794501</t>
  </si>
  <si>
    <t>IBARCENA RIEGA DANIEL ANGEL</t>
  </si>
  <si>
    <t>46007184</t>
  </si>
  <si>
    <t>IRARICA CLEMENTE GLEISER ERICK</t>
  </si>
  <si>
    <t>10028468</t>
  </si>
  <si>
    <t>ITA SANCHEZ JULIO MIGUEL</t>
  </si>
  <si>
    <t>33592337</t>
  </si>
  <si>
    <t>IZQUIERDO DE DEL PINO SHIRLEY ESTHER</t>
  </si>
  <si>
    <t>TECNICO EN CONTABILIDAD EMPRESARIAL</t>
  </si>
  <si>
    <t>42435354</t>
  </si>
  <si>
    <t>JARA AVILA GIOVANNA IRIS LIZBETH</t>
  </si>
  <si>
    <t>SUPERVISOR EN FORMALIZACION INTEGRAL</t>
  </si>
  <si>
    <t>46649111</t>
  </si>
  <si>
    <t>JIMENEZ ARMIJO YESENIA MILAGROS</t>
  </si>
  <si>
    <t>40593485</t>
  </si>
  <si>
    <t>JIMENEZ BAILON JUDITH JOVANA MARIANA</t>
  </si>
  <si>
    <t>07966963</t>
  </si>
  <si>
    <t>JIMENEZ GARIBALDI RAUL HUMBERTO</t>
  </si>
  <si>
    <t>ABOGADO DE LITIGIOS</t>
  </si>
  <si>
    <t>46265647</t>
  </si>
  <si>
    <t>JOAQUIN LEON PAOLA YUVIKSA</t>
  </si>
  <si>
    <t>09414426</t>
  </si>
  <si>
    <t>JUAREZ ARANA MARTIN ANTONIO</t>
  </si>
  <si>
    <t>COMUNICADOR</t>
  </si>
  <si>
    <t>00371244</t>
  </si>
  <si>
    <t>JUAREZ GARCIA MANUEL EDUARDO</t>
  </si>
  <si>
    <t>PERODISMO</t>
  </si>
  <si>
    <t>08158161</t>
  </si>
  <si>
    <t>JULCA VILLARROEL MARIA ESPERANZA</t>
  </si>
  <si>
    <t>40931710</t>
  </si>
  <si>
    <t>JURO GARCIA ERIKA</t>
  </si>
  <si>
    <t>44829687</t>
  </si>
  <si>
    <t>JUSTINIANO REYES FLOR MILA</t>
  </si>
  <si>
    <t>22418234</t>
  </si>
  <si>
    <t>LA MADRID ISIDRO ROY AGUSTIN</t>
  </si>
  <si>
    <t>43160770</t>
  </si>
  <si>
    <t>LAGUNA JUAREZ SANDRA SONIA</t>
  </si>
  <si>
    <t>22184164</t>
  </si>
  <si>
    <t>LAJO LUNA JUAN CARLOS</t>
  </si>
  <si>
    <t>46575879</t>
  </si>
  <si>
    <t>LAM CABANILLAS ROSSANA BEATRIZ</t>
  </si>
  <si>
    <t>42859405</t>
  </si>
  <si>
    <t>LARA SALVADOR SALY MADELEINE</t>
  </si>
  <si>
    <t>ABOGADO COORDINADOR</t>
  </si>
  <si>
    <t>08416877</t>
  </si>
  <si>
    <t>LAURA FLORES RUBEN ANGEL</t>
  </si>
  <si>
    <t>06321001</t>
  </si>
  <si>
    <t>LAURA POBLETE CHRISTIAN DAVID</t>
  </si>
  <si>
    <t>23164503</t>
  </si>
  <si>
    <t>LAURENCIO MORALES HERLINDA</t>
  </si>
  <si>
    <t>TECNICO CARTOGRAFICO</t>
  </si>
  <si>
    <t>40125511</t>
  </si>
  <si>
    <t>LAZARTE VIZCARRA GILDA MARTINA</t>
  </si>
  <si>
    <t>ARQUITECTURA URBANISMO Y ARTES</t>
  </si>
  <si>
    <t>10789832</t>
  </si>
  <si>
    <t>LAZO ASTETE CARMEN PATRICIA</t>
  </si>
  <si>
    <t>40747647</t>
  </si>
  <si>
    <t>LAZO DIAZ SHEILLA GIULLIANA</t>
  </si>
  <si>
    <t>07907033</t>
  </si>
  <si>
    <t>LAZO GIRAO DE CARMONA NERY MARCELA</t>
  </si>
  <si>
    <t>43028681</t>
  </si>
  <si>
    <t>LAZO LINDO JULIO CESAR</t>
  </si>
  <si>
    <t>COORDINADOR/SUPERVISOR</t>
  </si>
  <si>
    <t>21459182</t>
  </si>
  <si>
    <t>LAZO QUISPE FERNANDO MOISES</t>
  </si>
  <si>
    <t>41516341</t>
  </si>
  <si>
    <t>LEDESMA MEZA DAVID NAZARIO</t>
  </si>
  <si>
    <t>25807515</t>
  </si>
  <si>
    <t>LEIVA ABANTO GREEM</t>
  </si>
  <si>
    <t>17903819</t>
  </si>
  <si>
    <t>LEON AGUILAR PERLA DE JESUS</t>
  </si>
  <si>
    <t>41464407</t>
  </si>
  <si>
    <t>LEON ANGULO LINDSAY KIMBERLY</t>
  </si>
  <si>
    <t>72173307</t>
  </si>
  <si>
    <t>LEON MASIAS RONHY ALBERTO</t>
  </si>
  <si>
    <t>43439279</t>
  </si>
  <si>
    <t>LESCANO SIPIRAN MILAGROS ARACELI</t>
  </si>
  <si>
    <t>02616223</t>
  </si>
  <si>
    <t>LEYTON FRANCO JUAN FELIX</t>
  </si>
  <si>
    <t>ABOGADO EN FORMALIZACIÓN INTEGRAL</t>
  </si>
  <si>
    <t>08145932</t>
  </si>
  <si>
    <t>LEYVA RAMIREZ GENRY WALTER</t>
  </si>
  <si>
    <t>ESPECIALISTA EN CONTROL DE CALIDAD Y REVISION DE LA CALIFICACION INDIVIDUAL</t>
  </si>
  <si>
    <t>41881812</t>
  </si>
  <si>
    <t>LICHAM SOSA SARA RUTH</t>
  </si>
  <si>
    <t>42662481</t>
  </si>
  <si>
    <t>LIMO APAGUEñO PEDRO MARTIN</t>
  </si>
  <si>
    <t>06841818</t>
  </si>
  <si>
    <t>LINARES GRANDEZ ELDA MARY CONCEPCION</t>
  </si>
  <si>
    <t>ASISTENTE ADMINISTRATIVO EN FINANZAS</t>
  </si>
  <si>
    <t>47236681</t>
  </si>
  <si>
    <t>LIñAN VERGARAY DAVID ARTURO</t>
  </si>
  <si>
    <t>20097538</t>
  </si>
  <si>
    <t>LIZANA CHAUCA JOSE</t>
  </si>
  <si>
    <t>42304710</t>
  </si>
  <si>
    <t>LLANCCE ATAO WILLIAM</t>
  </si>
  <si>
    <t>45712885</t>
  </si>
  <si>
    <t>LLANOS GARCIA JORDAN</t>
  </si>
  <si>
    <t>TECNICO EN MANTENIMIENTO CATASTRAL</t>
  </si>
  <si>
    <t>32961021</t>
  </si>
  <si>
    <t>LLERENA CUEVA BENJAMIN ESTEBAN</t>
  </si>
  <si>
    <t>TOPOGRAFIA</t>
  </si>
  <si>
    <t>25004958</t>
  </si>
  <si>
    <t>LOAIZA FLORES OSCAR</t>
  </si>
  <si>
    <t>ASISTENTE DE VIATICOS</t>
  </si>
  <si>
    <t>10611889</t>
  </si>
  <si>
    <t>LOARTE VILLALOBOS MARIA ELIZABETH</t>
  </si>
  <si>
    <t>41388037</t>
  </si>
  <si>
    <t>LOAYZA ECHEGARAY EVA LUISA</t>
  </si>
  <si>
    <t>AUXILIAR DE TOPOGRAFIA</t>
  </si>
  <si>
    <t>43649204</t>
  </si>
  <si>
    <t>LOAYZA FLORES JONNS FRANNS</t>
  </si>
  <si>
    <t>40117643</t>
  </si>
  <si>
    <t>LOAYZA GONZALES CHRISTIAN FERNANDO</t>
  </si>
  <si>
    <t>ASISTENTE EN GESTION DOCUMENTAL</t>
  </si>
  <si>
    <t>09826604</t>
  </si>
  <si>
    <t>LOAYZA MARUNO GISELLA DARMA</t>
  </si>
  <si>
    <t>TECNICO EN SECRETARIADO EJECUTIVO COMPUTARIZADO</t>
  </si>
  <si>
    <t>NOTIFICADOR MOTORIZADO</t>
  </si>
  <si>
    <t>40100400</t>
  </si>
  <si>
    <t>LOAYZA PAEZ JESUS YSIDRO SANTIAGO</t>
  </si>
  <si>
    <t>TECNICO EN CATASTRO CONVENIO SUNARP</t>
  </si>
  <si>
    <t>07469124</t>
  </si>
  <si>
    <t>LOPEZ CANO IVAN ISAIAS RAFAEL</t>
  </si>
  <si>
    <t>TECNICO EN PLANEAMIENTO</t>
  </si>
  <si>
    <t>46258751</t>
  </si>
  <si>
    <t>LOPEZ CARBAJAL MARIA DEL PILAR</t>
  </si>
  <si>
    <t>ESPECIALISTA EN FORMALIZACION</t>
  </si>
  <si>
    <t>43325429</t>
  </si>
  <si>
    <t>LOPEZ CUEVA JENNYFER INES</t>
  </si>
  <si>
    <t>10788244</t>
  </si>
  <si>
    <t>LOPEZ HUAYLLAS FRIDA AMELIA</t>
  </si>
  <si>
    <t>EDUCACION SECUNDARIA: LENGUA Y LITERATURA</t>
  </si>
  <si>
    <t>40130106</t>
  </si>
  <si>
    <t>LOPEZ RIVAS MANUEL HERIBERTO</t>
  </si>
  <si>
    <t>04400070</t>
  </si>
  <si>
    <t>LOPEZ VALDEZ MILTON WILLAM</t>
  </si>
  <si>
    <t>47467725</t>
  </si>
  <si>
    <t>LOPEZ ZARATE LUISA DE LOS ANGELES</t>
  </si>
  <si>
    <t>45288909</t>
  </si>
  <si>
    <t>LOPEZ ZEA LUIS AFREDO</t>
  </si>
  <si>
    <t>41071500</t>
  </si>
  <si>
    <t>LOVERA TATAJE NERI JESUS</t>
  </si>
  <si>
    <t>45615699</t>
  </si>
  <si>
    <t>LOZANO GUTIERREZ ROXANA LISBETH</t>
  </si>
  <si>
    <t>80032021</t>
  </si>
  <si>
    <t>LOZANO LOZANO JOSE CARLOS</t>
  </si>
  <si>
    <t>44219737</t>
  </si>
  <si>
    <t>LOZANO ROJAS EVELYN</t>
  </si>
  <si>
    <t>18133621</t>
  </si>
  <si>
    <t>LUJAN CABRERA ARNOLD ANAXIMANDRO</t>
  </si>
  <si>
    <t>17534940</t>
  </si>
  <si>
    <t>LUZQUIÑOS RODRIGUEZ RICARDO GUILLERMO</t>
  </si>
  <si>
    <t>47649795</t>
  </si>
  <si>
    <t>MACCAPA CHANCA MARY SENDER</t>
  </si>
  <si>
    <t>ASISTENTE ADMINISTRATIVO II</t>
  </si>
  <si>
    <t>47247374</t>
  </si>
  <si>
    <t>MAGUIÑA PICHON JEERSON AQUILES</t>
  </si>
  <si>
    <t>04822647</t>
  </si>
  <si>
    <t>MALAGA HERMOZA AUGUSTO</t>
  </si>
  <si>
    <t>00093017</t>
  </si>
  <si>
    <t>MALDONADO DEL CASTILLO CARLOS ALBERTO</t>
  </si>
  <si>
    <t>40241331</t>
  </si>
  <si>
    <t>MAMANI AHUMADA ALEJANDRO</t>
  </si>
  <si>
    <t>40017802</t>
  </si>
  <si>
    <t>MAMANI RIVERA ISOLDE DIANA</t>
  </si>
  <si>
    <t>47480562</t>
  </si>
  <si>
    <t>MANCHAY HUAMAN DAGOBERTO</t>
  </si>
  <si>
    <t>46429836</t>
  </si>
  <si>
    <t>MANCILLA ESPINOZA SVETLANIE</t>
  </si>
  <si>
    <t>08044858</t>
  </si>
  <si>
    <t>MANDAMIENTO PAZ MIGUEL ANGEL</t>
  </si>
  <si>
    <t>10874943</t>
  </si>
  <si>
    <t>MARCELINO GOMEZ ANA MYRIAM</t>
  </si>
  <si>
    <t>42833558</t>
  </si>
  <si>
    <t>MARCHAND REYES YRMA CAROLAYN</t>
  </si>
  <si>
    <t>10280972</t>
  </si>
  <si>
    <t>MARCOS LAUPA HENRY WILDER</t>
  </si>
  <si>
    <t>CIENCIAS SOCIALES</t>
  </si>
  <si>
    <t>23834537</t>
  </si>
  <si>
    <t>MARTINEZ CALDERON ROCIO</t>
  </si>
  <si>
    <t>28237882</t>
  </si>
  <si>
    <t>MARTINEZ ENCISO OSMAN</t>
  </si>
  <si>
    <t>28309143</t>
  </si>
  <si>
    <t>MARTINEZ HUAMAN KANALY</t>
  </si>
  <si>
    <t>29583658</t>
  </si>
  <si>
    <t>MARTINEZ RIVERA GUSTAVO PAUL</t>
  </si>
  <si>
    <t>10471160</t>
  </si>
  <si>
    <t>MARTINEZ SEVILLANO MILAGROS ROSARIO</t>
  </si>
  <si>
    <t>ESPECIALISTA EN ADJUDICACION DE MERCADOS Y LOTES ONEROSOS</t>
  </si>
  <si>
    <t>10360468</t>
  </si>
  <si>
    <t>MATEO ARIAS MIRIAN YOSHI</t>
  </si>
  <si>
    <t>OPERADOR DE ATENCION AL CIUDADANO</t>
  </si>
  <si>
    <t>40341387</t>
  </si>
  <si>
    <t>MATIENZO RAMIREZ MELLANY CLARISSA</t>
  </si>
  <si>
    <t>SUPERVISOR EN PROCEDIMIENTOS ADMINISTRATIVOS</t>
  </si>
  <si>
    <t>42435242</t>
  </si>
  <si>
    <t>MAU LLERENA DULIA MORAYMA</t>
  </si>
  <si>
    <t>41196969</t>
  </si>
  <si>
    <t>MEDIANERO BRACAMONTE JENNIFER SHANA</t>
  </si>
  <si>
    <t>TELEOPERADOR DE CENTRALES TELEFONICAS</t>
  </si>
  <si>
    <t>TECNICA TELEOPERADORA</t>
  </si>
  <si>
    <t>16689700</t>
  </si>
  <si>
    <t>MEDIANERO ENRIQUEZ IVAN DEMETRIO</t>
  </si>
  <si>
    <t>05393496</t>
  </si>
  <si>
    <t>MEDINA GARCIA JORGE LUIS</t>
  </si>
  <si>
    <t>42662351</t>
  </si>
  <si>
    <t>MEDINA GARCIA PATRICIA DEL CARMEN</t>
  </si>
  <si>
    <t>INGENIERO TUPA</t>
  </si>
  <si>
    <t>06256702</t>
  </si>
  <si>
    <t>MEDINA RODRIGUEZ ELPIDIO ROMULO</t>
  </si>
  <si>
    <t>06789497</t>
  </si>
  <si>
    <t>MEDRANO RIVERA MONICA TERESA</t>
  </si>
  <si>
    <t>23267089</t>
  </si>
  <si>
    <t>MEJIA AYUQUE GLADYS</t>
  </si>
  <si>
    <t>41326393</t>
  </si>
  <si>
    <t>MEJIA BUSTILLOS EVELYN GIANINNA</t>
  </si>
  <si>
    <t>31673185</t>
  </si>
  <si>
    <t>MEJIA DAMIAN RUSOL MIGUEL</t>
  </si>
  <si>
    <t>SUPERVISOR EN SEGUIMIENTO Y REVISION DE LEVANTAMIENTO DE CONTINGENCIAS</t>
  </si>
  <si>
    <t>40810360</t>
  </si>
  <si>
    <t>MEJIA GOMERO HUGO RENE</t>
  </si>
  <si>
    <t>45533695</t>
  </si>
  <si>
    <t>MELENDEZ DUEñAS FREDDY ALFONSO</t>
  </si>
  <si>
    <t>42538548</t>
  </si>
  <si>
    <t>MELENDEZ MOGOLLON JOSE PAUL</t>
  </si>
  <si>
    <t>CURSANDO</t>
  </si>
  <si>
    <t>Tecnico de Procesos</t>
  </si>
  <si>
    <t>09567320</t>
  </si>
  <si>
    <t>MELENDEZ SALCEDO LUIS ALBERTO</t>
  </si>
  <si>
    <t>ABOGADO/A DE FORMALIZACIÓN INTEGRAL</t>
  </si>
  <si>
    <t>47180889</t>
  </si>
  <si>
    <t>MELENDEZ SILVA JHOSELYN CAROLINA</t>
  </si>
  <si>
    <t>ABOGADO REVERSIONES</t>
  </si>
  <si>
    <t>40294941</t>
  </si>
  <si>
    <t>MELO BELLIDO MICHELLE DINA</t>
  </si>
  <si>
    <t>29597445</t>
  </si>
  <si>
    <t>MENDOZA ARREDONDO ROSALIA HERMELINDA</t>
  </si>
  <si>
    <t>70300626</t>
  </si>
  <si>
    <t>MENDOZA GALINDO KARINA</t>
  </si>
  <si>
    <t>DISEÑO ARQUITECTONICO E INDUSTRIAL</t>
  </si>
  <si>
    <t>TECNICOS MOTORIZADOS</t>
  </si>
  <si>
    <t>25553134</t>
  </si>
  <si>
    <t>MENDOZA SAJACO MARIO DAVID</t>
  </si>
  <si>
    <t>48699351</t>
  </si>
  <si>
    <t>MENDOZA SHAPIAMA ERCILIA</t>
  </si>
  <si>
    <t>09434455</t>
  </si>
  <si>
    <t>MENDOZA TENORIO MARIA ESTHELLY</t>
  </si>
  <si>
    <t>42828247</t>
  </si>
  <si>
    <t>MENESES PALOMINO CATTY</t>
  </si>
  <si>
    <t>42629927</t>
  </si>
  <si>
    <t>MERA CASTRO NOELIA</t>
  </si>
  <si>
    <t>CIENCIAS ADMINISTRATIVAS Y ECONOMICAS</t>
  </si>
  <si>
    <t>SUPERVISOR EN EDICION Y ESTANDARIZACION DE LA BASE GRAFICA C</t>
  </si>
  <si>
    <t>07198959</t>
  </si>
  <si>
    <t>MESAJIL MORI MARCO ANTONIO</t>
  </si>
  <si>
    <t>29628383</t>
  </si>
  <si>
    <t>MEZA CAMARA ORLANDO ENRIQUE</t>
  </si>
  <si>
    <t>MECANICA AUTOMOTORES DIESEL</t>
  </si>
  <si>
    <t>MECANICO</t>
  </si>
  <si>
    <t>44301284</t>
  </si>
  <si>
    <t>MIRANDA APAZA NATALI</t>
  </si>
  <si>
    <t>ESPECIALISTA EN SEGURIDAD</t>
  </si>
  <si>
    <t>43267686</t>
  </si>
  <si>
    <t>MIRANDA MOSCOSO PERCY DANIEL</t>
  </si>
  <si>
    <t>ANALISTA EN ASISTENCIA LEGAL AL USUARIO</t>
  </si>
  <si>
    <t>29636233</t>
  </si>
  <si>
    <t>MIRANDA ORMACHEA VICTOR ABEL</t>
  </si>
  <si>
    <t>ADMINISTRADOR DE RED</t>
  </si>
  <si>
    <t>42337731</t>
  </si>
  <si>
    <t>MITMA SIVIRUERO RAUL OSCAR</t>
  </si>
  <si>
    <t>41071687</t>
  </si>
  <si>
    <t>MOLINA BARTOLO EVELIN  MILAGROS</t>
  </si>
  <si>
    <t>ESPECIALISTA EN CATASTRO</t>
  </si>
  <si>
    <t>07971965</t>
  </si>
  <si>
    <t>MOLINA YANCAYA MARIELA ROCIO</t>
  </si>
  <si>
    <t>ESPECIALISTA EN GEODESIA</t>
  </si>
  <si>
    <t>44016871</t>
  </si>
  <si>
    <t>MONGRUT FLORES VICTOR JORGE ESTEBAN</t>
  </si>
  <si>
    <t>17431676</t>
  </si>
  <si>
    <t>MONTENEGRO SERQUEN JUAN FRANCISCO</t>
  </si>
  <si>
    <t>MECANICA DE PRODUCCION</t>
  </si>
  <si>
    <t>TECNICO EN MECANICA AGRICOLA</t>
  </si>
  <si>
    <t>ESPECIALISTA EN COMUNICACIONES</t>
  </si>
  <si>
    <t>15693523</t>
  </si>
  <si>
    <t>MONTERO QUISPE MARIANO JULIAN</t>
  </si>
  <si>
    <t>30563859</t>
  </si>
  <si>
    <t>MONTES LAZO JULIO CESAR</t>
  </si>
  <si>
    <t>20021845</t>
  </si>
  <si>
    <t>MONTES LAZO ROSA MARIA</t>
  </si>
  <si>
    <t>SUPERVISOR ESPECIALISTA EN FORMALIZACION INDIVIDUAL</t>
  </si>
  <si>
    <t>45103617</t>
  </si>
  <si>
    <t>MORA ZAMBRANO MARLIZ GABRIELA</t>
  </si>
  <si>
    <t>29321220</t>
  </si>
  <si>
    <t>MORALES DE HILASACA ELVIRA PABLINA</t>
  </si>
  <si>
    <t>32652903</t>
  </si>
  <si>
    <t>MORALES PADILLA JHONNY OSCAR</t>
  </si>
  <si>
    <t>41261180</t>
  </si>
  <si>
    <t>MORALES PEZO MARIA PATRICIA</t>
  </si>
  <si>
    <t>44441906</t>
  </si>
  <si>
    <t>MORALES POMASONCCO VICTORIA MARISOL</t>
  </si>
  <si>
    <t>42074055</t>
  </si>
  <si>
    <t>MORALES TARAZONA GILMAR FILCO</t>
  </si>
  <si>
    <t>45665723</t>
  </si>
  <si>
    <t>MORALES VIERA JESUS FIDENCIO</t>
  </si>
  <si>
    <t>06175566</t>
  </si>
  <si>
    <t>MORALES ZUÑIGA JULIO ALFONSO</t>
  </si>
  <si>
    <t>46206118</t>
  </si>
  <si>
    <t>MORENO AGUILAR IBON NATALI</t>
  </si>
  <si>
    <t>00239195</t>
  </si>
  <si>
    <t>MORENO BARRETO MICHELSON</t>
  </si>
  <si>
    <t>40795659</t>
  </si>
  <si>
    <t>MORENO ELERA JANET REGINA</t>
  </si>
  <si>
    <t>41260623</t>
  </si>
  <si>
    <t>MORENO HUIVIN JHOHANA</t>
  </si>
  <si>
    <t>17885392</t>
  </si>
  <si>
    <t>MORENO MORENO SUCENA ELIZABETH</t>
  </si>
  <si>
    <t>SECRETARIADO BILINGUE</t>
  </si>
  <si>
    <t>40384573</t>
  </si>
  <si>
    <t>MORENO NAVARRO VIRGILIO</t>
  </si>
  <si>
    <t>ABOGADO ESPECIALISTA EN DERECHO PENAL Y PROCESAL PENAL</t>
  </si>
  <si>
    <t>25419450</t>
  </si>
  <si>
    <t>MORENO VARGAS MARIA CARMEN</t>
  </si>
  <si>
    <t>ABOGADO EN DERECHO PENAL Y PROCESAL PENAL</t>
  </si>
  <si>
    <t>08132704</t>
  </si>
  <si>
    <t>MORI VILLATIZ GILBER</t>
  </si>
  <si>
    <t>16734687</t>
  </si>
  <si>
    <t>MOROCHO ABAD MARITA AURORA</t>
  </si>
  <si>
    <t>02771163</t>
  </si>
  <si>
    <t>MOROCHO PALACIOS LORENA MARGARITA</t>
  </si>
  <si>
    <t>01289441</t>
  </si>
  <si>
    <t>MORON MACHACA FRANCISCO MARTIN</t>
  </si>
  <si>
    <t>COORDINADOR EN FORMALIZACION INTEGRAL</t>
  </si>
  <si>
    <t>21862652</t>
  </si>
  <si>
    <t>MORON OLIVA CARLOS TOMAS</t>
  </si>
  <si>
    <t>COORDINADOR EN AREA TECNICA</t>
  </si>
  <si>
    <t>25621918</t>
  </si>
  <si>
    <t>MORQUENCHO CASTILLO JOSE FRANCISCO</t>
  </si>
  <si>
    <t>26613084</t>
  </si>
  <si>
    <t>MOSQUERA HERNANDEZ HILDA VIOLETA</t>
  </si>
  <si>
    <t>01163611</t>
  </si>
  <si>
    <t>MOYA BARTRA CARLOS EDUARDO</t>
  </si>
  <si>
    <t>43533613</t>
  </si>
  <si>
    <t>MOZOMBITE GUERRA DIANA GISELLA</t>
  </si>
  <si>
    <t>TECNICO EN RECEPCIÓN DOCUMENTARIA</t>
  </si>
  <si>
    <t>42795557</t>
  </si>
  <si>
    <t>MUCHAYPIÑA CANALES MOISES ORLANDO</t>
  </si>
  <si>
    <t>40749765</t>
  </si>
  <si>
    <t>MUCHAYPIÑA VERA FIORELLA CAROLA</t>
  </si>
  <si>
    <t>Analista en Desarrollo de Capacitaciones</t>
  </si>
  <si>
    <t>08886361</t>
  </si>
  <si>
    <t>MUÑOZ MALDONADO GIOVANNA</t>
  </si>
  <si>
    <t>02824146</t>
  </si>
  <si>
    <t>MUñOZ VILCHEZ JULIO CESAR</t>
  </si>
  <si>
    <t>43403682</t>
  </si>
  <si>
    <t>MUÑUICO FLORES ELVER YONY</t>
  </si>
  <si>
    <t>AUDITOR SENIOR</t>
  </si>
  <si>
    <t>02822868</t>
  </si>
  <si>
    <t>NATHALS SOLIS ERICSON</t>
  </si>
  <si>
    <t>JEFE DE OFICINA HUANCAVELICA</t>
  </si>
  <si>
    <t>19904137</t>
  </si>
  <si>
    <t>NAVARRO DAVIRAN JOHN FISHER</t>
  </si>
  <si>
    <t>FUNCIONARIO</t>
  </si>
  <si>
    <t>ANALISTA EN CONTROL DE PRODUCCION Y BASE DE DATOS</t>
  </si>
  <si>
    <t>08689255</t>
  </si>
  <si>
    <t>NAVARRO GOMEZ JESUS SALVADOR</t>
  </si>
  <si>
    <t>INGENIERIA DE SISTEMAS Y COMPUTACION</t>
  </si>
  <si>
    <t>42779399</t>
  </si>
  <si>
    <t>NAVARRO SALCEDO YENNY MARIBEL</t>
  </si>
  <si>
    <t>43813608</t>
  </si>
  <si>
    <t>NINA VIZCARRA NATALY PAOLA</t>
  </si>
  <si>
    <t>23965077</t>
  </si>
  <si>
    <t>NIÑO DE GUZMAN FIGUEROA MARIO</t>
  </si>
  <si>
    <t>43257269</t>
  </si>
  <si>
    <t>NOLASCO CABANILLAS JUAN REYNALDO</t>
  </si>
  <si>
    <t>31889016</t>
  </si>
  <si>
    <t>NORIEGA BRITO NELVA OCTAVIA</t>
  </si>
  <si>
    <t>46587138</t>
  </si>
  <si>
    <t>NOVOA ELESCANO CARLOS</t>
  </si>
  <si>
    <t>ESPECIALISTA</t>
  </si>
  <si>
    <t>80442043</t>
  </si>
  <si>
    <t>NUÑEZ CHAVEZ MARCO ANTONIO</t>
  </si>
  <si>
    <t>40620842</t>
  </si>
  <si>
    <t>NUÑEZ GUERRA OSCAR LUIS</t>
  </si>
  <si>
    <t>45445881</t>
  </si>
  <si>
    <t>NUÑEZ MANRIQUE ROBINSON ESMITH</t>
  </si>
  <si>
    <t>29593445</t>
  </si>
  <si>
    <t>NUÑEZ NUÑEZ FLORENTINO EDILBERTO</t>
  </si>
  <si>
    <t>TECNICO EN GESTION I</t>
  </si>
  <si>
    <t>08710451</t>
  </si>
  <si>
    <t>NUÑEZ RIVERA ROSA</t>
  </si>
  <si>
    <t>41067749</t>
  </si>
  <si>
    <t>ÑATO DIAZ ROGER ADOLFO</t>
  </si>
  <si>
    <t>ANALISTA EN CONTROL PATRIMONIAL</t>
  </si>
  <si>
    <t>09318398</t>
  </si>
  <si>
    <t>ÑAUPA ROJAS ROMULO JESUS</t>
  </si>
  <si>
    <t>09794892</t>
  </si>
  <si>
    <t>OBLITAS FELIX ISRAEL CARLOS</t>
  </si>
  <si>
    <t>09721987</t>
  </si>
  <si>
    <t>OCHOA BECERRA ROXANA MILUSKA</t>
  </si>
  <si>
    <t>COORDINADOR DE PROCESOS DE FORMALIZACION INDIVIDUAL</t>
  </si>
  <si>
    <t>09249278</t>
  </si>
  <si>
    <t>ODRIA CORTEZ FULLMER VIVIANO</t>
  </si>
  <si>
    <t>BACHILLER EN INGENIERIA GEOLOGICA</t>
  </si>
  <si>
    <t>08312896</t>
  </si>
  <si>
    <t>ODRIA SALDAñA JOSE  IRINEO</t>
  </si>
  <si>
    <t>TECNICO PROGRAMADOR DE COMPUTADORAS</t>
  </si>
  <si>
    <t>41651124</t>
  </si>
  <si>
    <t>OJEDA MIÑANO ABEL OSCAR</t>
  </si>
  <si>
    <t>COORDINADOR/A I</t>
  </si>
  <si>
    <t>09299787</t>
  </si>
  <si>
    <t>OLIVA MONTI HAYDEN FRIDA PATRICIA</t>
  </si>
  <si>
    <t>10108746</t>
  </si>
  <si>
    <t>OLIVERA JAMES MANUEL JESUS</t>
  </si>
  <si>
    <t>10463131</t>
  </si>
  <si>
    <t>ORCON SICHA VERONICA BEATRIZ</t>
  </si>
  <si>
    <t>28309389</t>
  </si>
  <si>
    <t>ORE CURI ANA MELVA</t>
  </si>
  <si>
    <t>41225298</t>
  </si>
  <si>
    <t>ORE LEON KENETH</t>
  </si>
  <si>
    <t>09838880</t>
  </si>
  <si>
    <t>ORELLANA ALARCON EUDOCIA</t>
  </si>
  <si>
    <t>TECNICO EN LIMPIEZA</t>
  </si>
  <si>
    <t>16429190</t>
  </si>
  <si>
    <t>ORELLANO CHIRINOS CARLOS</t>
  </si>
  <si>
    <t>TECNICO EN BASE GRAFICA Y SISTEMAS</t>
  </si>
  <si>
    <t>41937850</t>
  </si>
  <si>
    <t>OROZCO BASILIO SARELA</t>
  </si>
  <si>
    <t>09477579</t>
  </si>
  <si>
    <t>ORTIZ ROÑA BLANCA MERCEDES</t>
  </si>
  <si>
    <t>07973465</t>
  </si>
  <si>
    <t>ORTIZ SALDARRIAGA PEDRO JOSE</t>
  </si>
  <si>
    <t>43515488</t>
  </si>
  <si>
    <t>ORUE AYQUIPA MARISOL</t>
  </si>
  <si>
    <t>10495847</t>
  </si>
  <si>
    <t>OSTOS QUISPE CECILIA MERCEDES</t>
  </si>
  <si>
    <t>43863237</t>
  </si>
  <si>
    <t>PACCI ROMERO YURG THOMAS</t>
  </si>
  <si>
    <t>45143898</t>
  </si>
  <si>
    <t>PACHECO RAMIREZ PAMELA ROXANA</t>
  </si>
  <si>
    <t>04015755</t>
  </si>
  <si>
    <t>PACHECO SANDOVAL JOSE LUIS</t>
  </si>
  <si>
    <t>ASISTENTE ADMINISTRATIVO - ASISTENCIA</t>
  </si>
  <si>
    <t>41689853</t>
  </si>
  <si>
    <t>PACHECO TORRES DAVID ALBERTO</t>
  </si>
  <si>
    <t>46661617</t>
  </si>
  <si>
    <t>PACHERRE ESPINOZA DARWIN DANIEL</t>
  </si>
  <si>
    <t>15676292</t>
  </si>
  <si>
    <t>PADILLA DIONICIO EDUARDO YSMAEL</t>
  </si>
  <si>
    <t>45593632</t>
  </si>
  <si>
    <t>PAIVA VALDERRAMA MANUEL ANTONIO</t>
  </si>
  <si>
    <t>41108999</t>
  </si>
  <si>
    <t>PALACIOS CASTILLO ROLANDO</t>
  </si>
  <si>
    <t>40646988</t>
  </si>
  <si>
    <t>PALACIOS OLIVA GERARDO JUAN FRANCISCO</t>
  </si>
  <si>
    <t>TECNICA EN COMPUTACION Y SISTEMAS</t>
  </si>
  <si>
    <t>ABOGADO III</t>
  </si>
  <si>
    <t>02814290</t>
  </si>
  <si>
    <t>PALACIOS VALDIVIEZO VICTOR CARACCIOLO</t>
  </si>
  <si>
    <t>22998121</t>
  </si>
  <si>
    <t>PALMA SAJAMI CESAR HERNAN</t>
  </si>
  <si>
    <t>TECNICO EN GESTION IV</t>
  </si>
  <si>
    <t>08365393</t>
  </si>
  <si>
    <t>PALMIERI LA TORRE JUAN CARLOS</t>
  </si>
  <si>
    <t>Profesional en Formulación de Proyectos</t>
  </si>
  <si>
    <t>28316865</t>
  </si>
  <si>
    <t>PALOMINO FIGUEROA LUIS ANGEL</t>
  </si>
  <si>
    <t>OPERADOR EN SERVICIOS GENERALES</t>
  </si>
  <si>
    <t>06200403</t>
  </si>
  <si>
    <t>PALOMINO REYNA MARIA</t>
  </si>
  <si>
    <t>44012439</t>
  </si>
  <si>
    <t>PANDURO CORAL FRANZ</t>
  </si>
  <si>
    <t>43785964</t>
  </si>
  <si>
    <t>PANITZ ZEVALLOS JACKELIN ELIZABETH</t>
  </si>
  <si>
    <t>40986124</t>
  </si>
  <si>
    <t>PANTIGOSO MORALES MARCIA MASSIEL</t>
  </si>
  <si>
    <t>AUXILIAR DE SECRETARIADO</t>
  </si>
  <si>
    <t>07873950</t>
  </si>
  <si>
    <t>PARDAVE DOMINGUEZ ANA CECILIA</t>
  </si>
  <si>
    <t>SECRETARIAS, TELEFONISTAS Y OTROS TECNICOS DE NIVEL MEDIO</t>
  </si>
  <si>
    <t>ABOGADO/A EN PROGRAMA DE ADJUDICACION DE LOTES</t>
  </si>
  <si>
    <t>10612289</t>
  </si>
  <si>
    <t>PARDAVE MONTALVAN JESSY MILAGROS</t>
  </si>
  <si>
    <t>TECNICO EN GESTION III - SECRETARIA DE DIRECCION</t>
  </si>
  <si>
    <t>07283440</t>
  </si>
  <si>
    <t>PAREDES ALMONTE VILA NORA</t>
  </si>
  <si>
    <t>INGENIERO I</t>
  </si>
  <si>
    <t>29557349</t>
  </si>
  <si>
    <t>PARI LUDEÑA ESTANISLAO JESUS</t>
  </si>
  <si>
    <t>42729767</t>
  </si>
  <si>
    <t>PARI SUCASACA JUDITH ROXANA</t>
  </si>
  <si>
    <t>72945535</t>
  </si>
  <si>
    <t>PARI VILCA GERARDO MANUEL</t>
  </si>
  <si>
    <t>ABOGADO FORMALIZACION INDIVIDUAL</t>
  </si>
  <si>
    <t>40877382</t>
  </si>
  <si>
    <t>PARICOTO SIMON MAGNOLIA JOSEFINA</t>
  </si>
  <si>
    <t>21533573</t>
  </si>
  <si>
    <t>PARIONA CASAS ERIKA CECILIA</t>
  </si>
  <si>
    <t>44352491</t>
  </si>
  <si>
    <t>PARRAGA ROMERO SHEILA NATALY</t>
  </si>
  <si>
    <t>33343400</t>
  </si>
  <si>
    <t>PASTOR LEON PERCY ROBERTH</t>
  </si>
  <si>
    <t>08983798</t>
  </si>
  <si>
    <t>PATIÑO ALATA WALTER YSMAEL</t>
  </si>
  <si>
    <t>71080277</t>
  </si>
  <si>
    <t>PAUCAR CELIS KATHERIN GRACE</t>
  </si>
  <si>
    <t>40320656</t>
  </si>
  <si>
    <t>PAUCAR HUAMAN EDU</t>
  </si>
  <si>
    <t>09856341</t>
  </si>
  <si>
    <t>PAZ GUERRA JUAN CARLOS</t>
  </si>
  <si>
    <t>42715316</t>
  </si>
  <si>
    <t>PAZ SOLORZANO JULIO CESAR</t>
  </si>
  <si>
    <t>28286245</t>
  </si>
  <si>
    <t>PEÑA HUAYHUA PAULINA</t>
  </si>
  <si>
    <t>PROFESORA DE EDUCACION PRIMARIA</t>
  </si>
  <si>
    <t>TECNICO EN TRANSPORTE DE ALTA DIRECCION</t>
  </si>
  <si>
    <t>08395277</t>
  </si>
  <si>
    <t>PEÑA REVILLA JORGE ALEJANDRO</t>
  </si>
  <si>
    <t>45551240</t>
  </si>
  <si>
    <t>PERALTA TORRES DAISY PATRICIA</t>
  </si>
  <si>
    <t>47204193</t>
  </si>
  <si>
    <t>PEREZ ASALDE ANA RUTH</t>
  </si>
  <si>
    <t>00954531</t>
  </si>
  <si>
    <t>PEREZ FLORES DARVIN</t>
  </si>
  <si>
    <t>43710752</t>
  </si>
  <si>
    <t>PEREZ LEIVA TERESITA DEL CARMEN</t>
  </si>
  <si>
    <t>09338652</t>
  </si>
  <si>
    <t>PEREZ RISCO CARMEN INES</t>
  </si>
  <si>
    <t>41281175</t>
  </si>
  <si>
    <t>PEZO PICON CARLOS</t>
  </si>
  <si>
    <t>05356774</t>
  </si>
  <si>
    <t>PFENNIG PANDURO RICARDO EDUARDO CARLOS</t>
  </si>
  <si>
    <t>40554468</t>
  </si>
  <si>
    <t>PHILIPPS ROJAS EVELYN ELIZABETH</t>
  </si>
  <si>
    <t>31015220</t>
  </si>
  <si>
    <t>PINEDA BARRIENTOS FABIANA</t>
  </si>
  <si>
    <t>42512283</t>
  </si>
  <si>
    <t>PINEDO GOMEZ KORINTYA DESIREE</t>
  </si>
  <si>
    <t>TECNICO EN PROCESOS</t>
  </si>
  <si>
    <t>46231122</t>
  </si>
  <si>
    <t>PINEDO ORELLANA CAROLINA NATALIA</t>
  </si>
  <si>
    <t>73890662</t>
  </si>
  <si>
    <t>PINEDO VASQUEZ YAZIRE</t>
  </si>
  <si>
    <t>08160668</t>
  </si>
  <si>
    <t>PINELO SUAREZ GLADYS PILAR</t>
  </si>
  <si>
    <t>ASISTENTE DE GESTION DOCUMENTAL</t>
  </si>
  <si>
    <t>09909585</t>
  </si>
  <si>
    <t>PINTO PINTO JORGE EDUARDO</t>
  </si>
  <si>
    <t>42263260</t>
  </si>
  <si>
    <t>POEMAPE CORDOVA KATHERINE MILUSKA</t>
  </si>
  <si>
    <t>47619376</t>
  </si>
  <si>
    <t>POLO LOPEZ JHOSELYN ANDREA</t>
  </si>
  <si>
    <t>INGENIERO II</t>
  </si>
  <si>
    <t>09443818</t>
  </si>
  <si>
    <t>POLO TISNADO ENRIQUE IVAN</t>
  </si>
  <si>
    <t>18173157</t>
  </si>
  <si>
    <t>POLONIO CHAVEZ JUANA NELIDA</t>
  </si>
  <si>
    <t>09826955</t>
  </si>
  <si>
    <t>POMA ARANDA ELEANA ROSSANA</t>
  </si>
  <si>
    <t>SECRETARIADO EJECUTIVO BANCARIO</t>
  </si>
  <si>
    <t>20062454</t>
  </si>
  <si>
    <t>POMA QUISPE ELEUTERIO HECTOR</t>
  </si>
  <si>
    <t>22505318</t>
  </si>
  <si>
    <t>PONCE AGUIRRE EDYTH</t>
  </si>
  <si>
    <t>41795163</t>
  </si>
  <si>
    <t>PONCE CAPRA KATHYLLEN NOEMI</t>
  </si>
  <si>
    <t>09973637</t>
  </si>
  <si>
    <t>PORTUGUEZ GEMIN JOSE LUIS</t>
  </si>
  <si>
    <t>16718435</t>
  </si>
  <si>
    <t>POZO HUANCA ORFELINDA</t>
  </si>
  <si>
    <t>46950433</t>
  </si>
  <si>
    <t>PRADA SANTAMARIA YENNY IVONE</t>
  </si>
  <si>
    <t>09787288</t>
  </si>
  <si>
    <t>PRADO CASABLANCA JULIO ALFREDO</t>
  </si>
  <si>
    <t>DIBUJANTE TECNICO MECANICO</t>
  </si>
  <si>
    <t>Especialista en Control</t>
  </si>
  <si>
    <t>10606211</t>
  </si>
  <si>
    <t>PRADO FLORES RODRIGO</t>
  </si>
  <si>
    <t>TECNICO EN VERIFICACION CATASTRAL</t>
  </si>
  <si>
    <t>31172441</t>
  </si>
  <si>
    <t>PRADO HUAMAN ARISTIDES</t>
  </si>
  <si>
    <t>CIENCIAS AGRARIAS</t>
  </si>
  <si>
    <t>40136730</t>
  </si>
  <si>
    <t>PRADO HUAYNACHO DONALD FREDY</t>
  </si>
  <si>
    <t>44736181</t>
  </si>
  <si>
    <t>PRETELL RODRIGUEZ LUIS ALBERTO</t>
  </si>
  <si>
    <t>23996043</t>
  </si>
  <si>
    <t>PUELLES CUBA JORGE EDILBERTO</t>
  </si>
  <si>
    <t>43713846</t>
  </si>
  <si>
    <t>PUMALLICA MOLINA NELLY</t>
  </si>
  <si>
    <t>ESPECIALISTA EN PROCESAMIENTO CATASTRAL</t>
  </si>
  <si>
    <t>09943639</t>
  </si>
  <si>
    <t>QUILLAY SAMANIEGO ERLLY CRISTHIAN</t>
  </si>
  <si>
    <t>41508771</t>
  </si>
  <si>
    <t>QUINTANA QUISPE RUTH VERONICA</t>
  </si>
  <si>
    <t>42602602</t>
  </si>
  <si>
    <t>QUINTANILLA CASTILLO FLOR DE MARIA</t>
  </si>
  <si>
    <t>GUIA OFICIAL DE TURISMO</t>
  </si>
  <si>
    <t>29612173</t>
  </si>
  <si>
    <t>QUINTASI HERRERA JOSE WILBER</t>
  </si>
  <si>
    <t>07099678</t>
  </si>
  <si>
    <t>QUINTO VELASQUEZ FERNAN JULIO</t>
  </si>
  <si>
    <t>19329001</t>
  </si>
  <si>
    <t>QUIROZ RAMOS RAUL EUSEBIO</t>
  </si>
  <si>
    <t>CONSULTOR GIS</t>
  </si>
  <si>
    <t>41885688</t>
  </si>
  <si>
    <t>QUIROZ ROJAS GABRIEL DANIEL</t>
  </si>
  <si>
    <t>TECNICO EN GEOMATICA</t>
  </si>
  <si>
    <t>42724098</t>
  </si>
  <si>
    <t>QUISPE ARTEAGA WENDY BERTHA</t>
  </si>
  <si>
    <t>ASESOR TECNICO</t>
  </si>
  <si>
    <t>09615264</t>
  </si>
  <si>
    <t>QUISPE CALDERON FREDDY ANTONIO</t>
  </si>
  <si>
    <t>29540882</t>
  </si>
  <si>
    <t>QUISPE CORAHUA FREDDY ALFREDO</t>
  </si>
  <si>
    <t>INGENIEROS CIVILES</t>
  </si>
  <si>
    <t>41941645</t>
  </si>
  <si>
    <t>QUISPE ECHACCAYA FREDDY</t>
  </si>
  <si>
    <t>29582967</t>
  </si>
  <si>
    <t>QUISPE QUISPE CIRILO</t>
  </si>
  <si>
    <t>LICENCIADA EN EDUCACION SECUNDARIA</t>
  </si>
  <si>
    <t>28604138</t>
  </si>
  <si>
    <t>QUISPE RAMIREZ WALTER</t>
  </si>
  <si>
    <t>40655684</t>
  </si>
  <si>
    <t>QUISPE TRONCOSO NERY</t>
  </si>
  <si>
    <t>23930811</t>
  </si>
  <si>
    <t>QUISPEHUANCA LOAIZA MIRELA</t>
  </si>
  <si>
    <t>ABOGADO/A II</t>
  </si>
  <si>
    <t>21555556</t>
  </si>
  <si>
    <t>RAFFO AGREDA JOSE CARLOS</t>
  </si>
  <si>
    <t>UNIV - EGRESADO DE DOCTORADO</t>
  </si>
  <si>
    <t>06085785</t>
  </si>
  <si>
    <t>RAFFO ALCALDE MARITZA ROSSANA</t>
  </si>
  <si>
    <t>41622219</t>
  </si>
  <si>
    <t>RAJO HINOSTROZA SILVIA TAVITA</t>
  </si>
  <si>
    <t>PROFESIONAL III - ASISTENTE EJECUTIVO</t>
  </si>
  <si>
    <t>40974998</t>
  </si>
  <si>
    <t>RAMIREZ BASTIDAS DE MOSTACERO HELEN NORKA</t>
  </si>
  <si>
    <t>OPERADOR EN CONTROL PATRIMONIAL</t>
  </si>
  <si>
    <t>40199497</t>
  </si>
  <si>
    <t>RAMIREZ CORREA RODOLFO</t>
  </si>
  <si>
    <t>ADMINISTRACION DE NEGOCIOS</t>
  </si>
  <si>
    <t>30858783</t>
  </si>
  <si>
    <t>RAMIREZ DIAZ VICTOR ALBINO</t>
  </si>
  <si>
    <t>06447314</t>
  </si>
  <si>
    <t>RAMIREZ LAZO RICHARD ROBERT</t>
  </si>
  <si>
    <t>22521624</t>
  </si>
  <si>
    <t>RAMIREZ MATTO ERWIN ELIO</t>
  </si>
  <si>
    <t>40256416</t>
  </si>
  <si>
    <t>RAMIREZ MILLA DEYSI GIOVANNA</t>
  </si>
  <si>
    <t>41854134</t>
  </si>
  <si>
    <t>RAMIREZ REATEGUI BORIS</t>
  </si>
  <si>
    <t>42949552</t>
  </si>
  <si>
    <t>RAMIREZ RODRIGUEZ MARIA DEL CARMEN</t>
  </si>
  <si>
    <t>09594627</t>
  </si>
  <si>
    <t>RAMOS ARAUJO ETHEL JANNINA</t>
  </si>
  <si>
    <t>47213358</t>
  </si>
  <si>
    <t>RAMOS FLORES CESAR JESUS</t>
  </si>
  <si>
    <t>44281755</t>
  </si>
  <si>
    <t>RAMOS FLORES FANNY MARISELA</t>
  </si>
  <si>
    <t>43096676</t>
  </si>
  <si>
    <t>RAMOS MITMA CYNTHIA</t>
  </si>
  <si>
    <t>FILOSOFOS Y ESPECIALISTAS EN CIENCIAS POLITICAS</t>
  </si>
  <si>
    <t>21422700</t>
  </si>
  <si>
    <t>RAMOS MOZO PAUL NESTOR</t>
  </si>
  <si>
    <t>80608474</t>
  </si>
  <si>
    <t>RAMOS SHAPIAMA WILLIAM DANTE</t>
  </si>
  <si>
    <t>ARQUITECTOS, URBANISTAS E INGENIEROS DE TRANSITO</t>
  </si>
  <si>
    <t>41107290</t>
  </si>
  <si>
    <t>RAMOS SOTO CARMEN YESICA</t>
  </si>
  <si>
    <t>40126373</t>
  </si>
  <si>
    <t>RAMOS SOTO JANET ROCIO</t>
  </si>
  <si>
    <t>05414303</t>
  </si>
  <si>
    <t>REATEGUI CHUQUIPIONDO ANA ELVIRA</t>
  </si>
  <si>
    <t>18216896</t>
  </si>
  <si>
    <t>REBAZA RODRIGUEZ IVAN</t>
  </si>
  <si>
    <t>08040811</t>
  </si>
  <si>
    <t>REGALADO VELASQUEZ MARIA CONSUELO</t>
  </si>
  <si>
    <t>CAPACITADOR</t>
  </si>
  <si>
    <t>25677738</t>
  </si>
  <si>
    <t>REINOSO EGUSQUIZA MARIA ESMERALDA</t>
  </si>
  <si>
    <t>72707679</t>
  </si>
  <si>
    <t>RENGIFO CANDELA MOUSHELLY DAYAN</t>
  </si>
  <si>
    <t>06250012</t>
  </si>
  <si>
    <t>RENTERIA CARRION JORGE GERARDO</t>
  </si>
  <si>
    <t>42573821</t>
  </si>
  <si>
    <t>REQUE ESQUECHE KATIA YESSICA</t>
  </si>
  <si>
    <t>Coordinador en Control de Calidad y Revisión de Calificación Individual</t>
  </si>
  <si>
    <t>08105275</t>
  </si>
  <si>
    <t>REYES FANNIG MARIA VIOLETA</t>
  </si>
  <si>
    <t>OPERADOR EN ARCHIVO ZONAL</t>
  </si>
  <si>
    <t>44384376</t>
  </si>
  <si>
    <t>REYES GARCIA LUIS ANGEL</t>
  </si>
  <si>
    <t>LICENCIADO EN CIENCIAS ADMINISTRATIVAS</t>
  </si>
  <si>
    <t>45225235</t>
  </si>
  <si>
    <t>REYES HIDALGO GUILLERMO DAVID</t>
  </si>
  <si>
    <t>43701441</t>
  </si>
  <si>
    <t>REYES MEZA ARNOLD BELGICO</t>
  </si>
  <si>
    <t>28568633</t>
  </si>
  <si>
    <t>REYES QUISPE DAVID</t>
  </si>
  <si>
    <t>10202872</t>
  </si>
  <si>
    <t>REYNA RIVAS KETTY YESSYCA</t>
  </si>
  <si>
    <t>00430873</t>
  </si>
  <si>
    <t>RIOS ADRIANZEN MARTHA ANGELICA</t>
  </si>
  <si>
    <t>43683165</t>
  </si>
  <si>
    <t>RIOS DIAZ ELINA DEL PILAR</t>
  </si>
  <si>
    <t>44346617</t>
  </si>
  <si>
    <t>RIOS OSORIO BRIGGITTE CELINNE</t>
  </si>
  <si>
    <t>ARQUITECTO/INGENIERO FORMALIZACION INTEGRAL</t>
  </si>
  <si>
    <t>42816355</t>
  </si>
  <si>
    <t>RIVAS VILLAFUERTE EDSON</t>
  </si>
  <si>
    <t>70906171</t>
  </si>
  <si>
    <t>RIVERA GUTIERREZ ELVIS CRISTHIAN</t>
  </si>
  <si>
    <t>44677759</t>
  </si>
  <si>
    <t>RIVERA LAUREANO SUSAN MIRELLI</t>
  </si>
  <si>
    <t>05643220</t>
  </si>
  <si>
    <t>RIVERA MELENDRES DILCIA</t>
  </si>
  <si>
    <t>SECRETARIADO EJECUTIVO BILLINGUE</t>
  </si>
  <si>
    <t>09049930</t>
  </si>
  <si>
    <t>RIVERA OLIVERA JAIME ALBERTO</t>
  </si>
  <si>
    <t>41394137</t>
  </si>
  <si>
    <t>RIVERA PEREZ MARITZA</t>
  </si>
  <si>
    <t>00512432</t>
  </si>
  <si>
    <t>RIVERA RIVERA KATERINE ELENA</t>
  </si>
  <si>
    <t>08520411</t>
  </si>
  <si>
    <t>RIVERA SANCHEZ TOMAS RAUL</t>
  </si>
  <si>
    <t>EMISOR DE INSTRUMENTOS DE FORMALIZACION</t>
  </si>
  <si>
    <t>42585049</t>
  </si>
  <si>
    <t>ROBLES SAAVEDRA ESTEBAN DAVID</t>
  </si>
  <si>
    <t>COORDINADOR ESPECIALISTA  MANTENIMIENTO Y CONTROL DE CALIDAD</t>
  </si>
  <si>
    <t>07253125</t>
  </si>
  <si>
    <t>ROBLES VENTOCILLA JANET MARITZA</t>
  </si>
  <si>
    <t>COMPUTACION Y SISTEMAS</t>
  </si>
  <si>
    <t>TECNICO EN COMPUTACION Y SISTEMAS</t>
  </si>
  <si>
    <t>PROCURADOR</t>
  </si>
  <si>
    <t>07621074</t>
  </si>
  <si>
    <t>RODRIGUEZ ACOSTA MERCEDES DEL CARMEN</t>
  </si>
  <si>
    <t>70671861</t>
  </si>
  <si>
    <t>RODRIGUEZ BARRIOS ANTHONY WILLIAM</t>
  </si>
  <si>
    <t>ESPECIALISTA EN COMUNICACION AUDIOVISUAL</t>
  </si>
  <si>
    <t>41300979</t>
  </si>
  <si>
    <t>RODRIGUEZ GUILLEN JOSE ANTONIO</t>
  </si>
  <si>
    <t>CIENCIAS DE LA COMUNICACIÓN</t>
  </si>
  <si>
    <t>09520342</t>
  </si>
  <si>
    <t>RODRIGUEZ GUTIERREZ MAGALI EUMELIA</t>
  </si>
  <si>
    <t>07545812</t>
  </si>
  <si>
    <t>RODRIGUEZ LOPEZ GINA ROSARIO</t>
  </si>
  <si>
    <t>45588329</t>
  </si>
  <si>
    <t>RODRIGUEZ RIVERA HOWELL LUIGGI</t>
  </si>
  <si>
    <t>04338924</t>
  </si>
  <si>
    <t>RODRIGUEZ TAPIA JOSE ANTONIO</t>
  </si>
  <si>
    <t>09391688</t>
  </si>
  <si>
    <t>RODRIGUEZ TIJERO XIMENA ISABEL</t>
  </si>
  <si>
    <t>40655716</t>
  </si>
  <si>
    <t>RODRIGUEZ TORRES NATIVIDAD</t>
  </si>
  <si>
    <t>07426541</t>
  </si>
  <si>
    <t>RODRIGUEZ VASQUEZ CESAR ALBERTO</t>
  </si>
  <si>
    <t>08963632</t>
  </si>
  <si>
    <t>RODRIGUEZ YBAÑEZ FRANCISCA MAURA</t>
  </si>
  <si>
    <t>43715874</t>
  </si>
  <si>
    <t>RODRIGUEZ ZELADA KARINA PAMELA</t>
  </si>
  <si>
    <t>47323828</t>
  </si>
  <si>
    <t>ROJAS AYQUIPA VICTOR CARLOS</t>
  </si>
  <si>
    <t>40300609</t>
  </si>
  <si>
    <t>ROJAS DAVILA PEDRO LEONARDO</t>
  </si>
  <si>
    <t>SOPORTE TÉCNICO DE CABLEADO Y TELEFONÍA</t>
  </si>
  <si>
    <t>07518522</t>
  </si>
  <si>
    <t>ROJAS LLANOS LUIS ALBERTO</t>
  </si>
  <si>
    <t>41033359</t>
  </si>
  <si>
    <t>ROJAS LOAYZA GISELLA</t>
  </si>
  <si>
    <t>ABOGADO EN DERECHO CIVIL</t>
  </si>
  <si>
    <t>45739997</t>
  </si>
  <si>
    <t>ROJAS OCMIN GINELLY</t>
  </si>
  <si>
    <t>16740026</t>
  </si>
  <si>
    <t>ROJAS RANGEL JESUS TEODORO</t>
  </si>
  <si>
    <t>46075464</t>
  </si>
  <si>
    <t>ROJAS TELLO YENY YESENIA</t>
  </si>
  <si>
    <t>41949818</t>
  </si>
  <si>
    <t>ROJAS TORO KRISTHELL MAYKE</t>
  </si>
  <si>
    <t>41648898</t>
  </si>
  <si>
    <t>ROJAS VALENCIA EMGYE CAROL</t>
  </si>
  <si>
    <t>ESPECIALISTA EN PLANEAMIENTO Y CONTROL</t>
  </si>
  <si>
    <t>06774875</t>
  </si>
  <si>
    <t>ROMERO BARBOZA IVAN ALBERTO</t>
  </si>
  <si>
    <t>INGENIERIA ESTADISTICA</t>
  </si>
  <si>
    <t>ESPECIALISTA II</t>
  </si>
  <si>
    <t>45628894</t>
  </si>
  <si>
    <t>ROMERO BEINGOLEA FABRICIO ANDRES</t>
  </si>
  <si>
    <t>TECNICO EN ATENCION AL USUARIO</t>
  </si>
  <si>
    <t>42038646</t>
  </si>
  <si>
    <t>ROMERO LAZO KATHERIN FABIOLA</t>
  </si>
  <si>
    <t>TECNICO EN CONTROL PATRIMONIAL</t>
  </si>
  <si>
    <t>43246546</t>
  </si>
  <si>
    <t>ROMERO MAMANI MARIO DAVID</t>
  </si>
  <si>
    <t>08508398</t>
  </si>
  <si>
    <t>ROMERO OCROSPOMA ROLANDO ELVIS</t>
  </si>
  <si>
    <t>40639909</t>
  </si>
  <si>
    <t>ROMERO REYNA ANTHONY EDWIN</t>
  </si>
  <si>
    <t>41655259</t>
  </si>
  <si>
    <t>RONDOY POLO EVELING MILAGROS</t>
  </si>
  <si>
    <t>41587919</t>
  </si>
  <si>
    <t>ROQUE NEYRA ELISA GERALDINE</t>
  </si>
  <si>
    <t>42437222</t>
  </si>
  <si>
    <t>ROSALES MIRANDA MICHAEL HENRRY</t>
  </si>
  <si>
    <t>20721646</t>
  </si>
  <si>
    <t>ROSALES SALAZAR JAIME MARTIN</t>
  </si>
  <si>
    <t>70444597</t>
  </si>
  <si>
    <t>ROSARIO GONZALES JANETH WENDDY</t>
  </si>
  <si>
    <t>01227139</t>
  </si>
  <si>
    <t>RUBIN DE CELIS URIARTE ELEUTERIO GRACIANO</t>
  </si>
  <si>
    <t>UNIV. DIPLOMADO</t>
  </si>
  <si>
    <t>30944232</t>
  </si>
  <si>
    <t>RUBIO JAUREGUI MARINO</t>
  </si>
  <si>
    <t>40909181</t>
  </si>
  <si>
    <t>RUBIO SAVOIRE CAROLINE MANUELA</t>
  </si>
  <si>
    <t>ABOGADO - AUDITOR</t>
  </si>
  <si>
    <t>42371614</t>
  </si>
  <si>
    <t>RUIZ NUÑEZ LEIDY CAROLINA</t>
  </si>
  <si>
    <t>43187675</t>
  </si>
  <si>
    <t>RUIZ PICKMANS KEMMERLY MARLY</t>
  </si>
  <si>
    <t>43276089</t>
  </si>
  <si>
    <t>RUIZ RAMOS FRANCISCO JAVIER</t>
  </si>
  <si>
    <t>CONTRUCCION CIVIL</t>
  </si>
  <si>
    <t>44720225</t>
  </si>
  <si>
    <t>RUIZ TARAZONA JACKELINE KATHERINE</t>
  </si>
  <si>
    <t>26690764</t>
  </si>
  <si>
    <t>RUIZ TORRES NICOLAS</t>
  </si>
  <si>
    <t>BACHILLER EN AGRONOMIA</t>
  </si>
  <si>
    <t>10684569</t>
  </si>
  <si>
    <t>SAAVEDRA LOPEZ MARIO ALFONSO</t>
  </si>
  <si>
    <t>40645225</t>
  </si>
  <si>
    <t>SAAVEDRA LUNA CARLOS ENRIQUE</t>
  </si>
  <si>
    <t>45238580</t>
  </si>
  <si>
    <t>SAAVEDRA LUNA LUIS ARTURO</t>
  </si>
  <si>
    <t>43521071</t>
  </si>
  <si>
    <t>SAAVEDRA PEREZ JEFFERSON</t>
  </si>
  <si>
    <t>42330585</t>
  </si>
  <si>
    <t>SAENZ BEDON MARIA YSABEL</t>
  </si>
  <si>
    <t>40110385</t>
  </si>
  <si>
    <t>SALAS CAPIZO GLADIS LILIANA</t>
  </si>
  <si>
    <t>CIENCIAS AGROPECUARIAS</t>
  </si>
  <si>
    <t>INGENIERO ZOOTECNISTA</t>
  </si>
  <si>
    <t>SUPERVISOR DE TITULACION</t>
  </si>
  <si>
    <t>02448915</t>
  </si>
  <si>
    <t>SALAS GOMEZ JAVIER ARTURO</t>
  </si>
  <si>
    <t>JEFE DE UNIDAD</t>
  </si>
  <si>
    <t>41754203</t>
  </si>
  <si>
    <t>SALAS SAAVEDRA JHONNATHAN RAUL</t>
  </si>
  <si>
    <t>ABOGADO EN DERECHO LABORAL</t>
  </si>
  <si>
    <t>41847926</t>
  </si>
  <si>
    <t>SALAS SOLIZ RENAN</t>
  </si>
  <si>
    <t>41089397</t>
  </si>
  <si>
    <t>SALAZAR CHAMORRO VIOLETA INA</t>
  </si>
  <si>
    <t>09951870</t>
  </si>
  <si>
    <t>SALAZAR CORDERO GIOVANNI</t>
  </si>
  <si>
    <t>08881990</t>
  </si>
  <si>
    <t>SALAZAR MENDOZA VIOLETA</t>
  </si>
  <si>
    <t>45808660</t>
  </si>
  <si>
    <t>SALAZAR QUISOCALA JHON EDYSON</t>
  </si>
  <si>
    <t>06766020</t>
  </si>
  <si>
    <t>SALAZAR RETUERTO JULIO CESAR</t>
  </si>
  <si>
    <t>47030155</t>
  </si>
  <si>
    <t>SALAZAR SIALER CARLA YESENIA</t>
  </si>
  <si>
    <t>40008900</t>
  </si>
  <si>
    <t>SALAZAR TORRES ROCIO MERCEDES</t>
  </si>
  <si>
    <t>41592561</t>
  </si>
  <si>
    <t>SALCEDO ALBITREZ SILVIA HERMELINDA</t>
  </si>
  <si>
    <t>28311215</t>
  </si>
  <si>
    <t>SALCEDO LUJAN OLGA</t>
  </si>
  <si>
    <t>20112565</t>
  </si>
  <si>
    <t>SALDAÑA ALIAGA JOSE ANTONIO</t>
  </si>
  <si>
    <t>47766824</t>
  </si>
  <si>
    <t>SALDAñA ALIAGA RICARDO JORDAN</t>
  </si>
  <si>
    <t>16667057</t>
  </si>
  <si>
    <t>SALDAÑA NUÑEZ WILDER ARTURO</t>
  </si>
  <si>
    <t>08610982</t>
  </si>
  <si>
    <t>SALDAÑA PAUCAR MARIA DEL PILAR</t>
  </si>
  <si>
    <t>06775978</t>
  </si>
  <si>
    <t>SALDAÑA SALTACHIN JOSE GABRIEL</t>
  </si>
  <si>
    <t>17876364</t>
  </si>
  <si>
    <t>SALDAÑA SANCHEZ JUDITH HAYDEE</t>
  </si>
  <si>
    <t>40955037</t>
  </si>
  <si>
    <t>SALGADO GARCIA ROBERTH MANOLO</t>
  </si>
  <si>
    <t>32960419</t>
  </si>
  <si>
    <t>SALGADO OLIVOS PAUL CHRISTIAN</t>
  </si>
  <si>
    <t>SEGURIDAD Y METODOS</t>
  </si>
  <si>
    <t>40182154</t>
  </si>
  <si>
    <t>SALINAS GARIVAY VIVIAN FLOR</t>
  </si>
  <si>
    <t>18190141</t>
  </si>
  <si>
    <t>SALIS TARAZONA ANA LIZ</t>
  </si>
  <si>
    <t>28299108</t>
  </si>
  <si>
    <t>SALVATIERRA QUISPE JUAN CESAR</t>
  </si>
  <si>
    <t>INGENIERIA AGRONOMIA</t>
  </si>
  <si>
    <t>40645554</t>
  </si>
  <si>
    <t>SANCHEZ BALDEON RICHARD FREDY</t>
  </si>
  <si>
    <t>47358782</t>
  </si>
  <si>
    <t>SANCHEZ CASSANA JEZEBEL FIORELLA</t>
  </si>
  <si>
    <t>ANALISTA DEL SEGUIMIENTO DEL PROCESO DE FORMALIZACIÓN INDIVIDUAL</t>
  </si>
  <si>
    <t>25830845</t>
  </si>
  <si>
    <t>SANCHEZ MACHADO EVELYN JULISSA</t>
  </si>
  <si>
    <t>ADMINSTRADOR</t>
  </si>
  <si>
    <t>43517654</t>
  </si>
  <si>
    <t>SANCHEZ MAMANI JULIO CESAR</t>
  </si>
  <si>
    <t>47054623</t>
  </si>
  <si>
    <t>SANCHEZ MERINO IRINA FABIOLA</t>
  </si>
  <si>
    <t>46620690</t>
  </si>
  <si>
    <t>SANCHEZ RIOS SARA MILAGROS</t>
  </si>
  <si>
    <t>46256359</t>
  </si>
  <si>
    <t>SANCHEZ RUPAY JULIA YULIANA</t>
  </si>
  <si>
    <t>10772164</t>
  </si>
  <si>
    <t>SANCHEZ SEVILLANO MARCO ANTONIO</t>
  </si>
  <si>
    <t>19090589</t>
  </si>
  <si>
    <t>SANCHEZ VERA WILSON DECIDERIO</t>
  </si>
  <si>
    <t>TECNICO ELECTRICO - INSTALACION Y MONTAJE DE PLANTA INSDUSTRIAL</t>
  </si>
  <si>
    <t>TECNICO ELECTRICO - INSTALACION Y MONTAJE DE PLANTA</t>
  </si>
  <si>
    <t>40821894</t>
  </si>
  <si>
    <t>SANCHEZ ZEA SANDRA FABIOLA</t>
  </si>
  <si>
    <t>32917709</t>
  </si>
  <si>
    <t>SANDONAS CASTAÑEDA HERNAN VICTOR</t>
  </si>
  <si>
    <t>76245777</t>
  </si>
  <si>
    <t>SANDOVAL ALAMO DAVID SALOMON</t>
  </si>
  <si>
    <t>17624557</t>
  </si>
  <si>
    <t>SANTAMARIA SANTISTEBAN JUAN DEL CARMEN</t>
  </si>
  <si>
    <t>40396049</t>
  </si>
  <si>
    <t>SANTILLAN BOCANEGRA JOEL ROBINSON</t>
  </si>
  <si>
    <t>47000817</t>
  </si>
  <si>
    <t>SANTOS JHONG EILLEN YANIRE</t>
  </si>
  <si>
    <t>BACHILLER EN CIENCIAS ADMINISTRATIVAS</t>
  </si>
  <si>
    <t>ESPECIALISTA EN COORDINACIÓN Y FORMALIZACION</t>
  </si>
  <si>
    <t>25769549</t>
  </si>
  <si>
    <t>SCHODER CHAVEZ MELINA MARGARITA</t>
  </si>
  <si>
    <t>42765198</t>
  </si>
  <si>
    <t>SEBASTIANI PECEROS GRACIERINE JOHANY</t>
  </si>
  <si>
    <t>02619402</t>
  </si>
  <si>
    <t>SEMINARIO ZAPATA JULIO MARTIN</t>
  </si>
  <si>
    <t>09711744</t>
  </si>
  <si>
    <t>SERRANO FLORES LIDIA ALEJANDRINA</t>
  </si>
  <si>
    <t>42211979</t>
  </si>
  <si>
    <t>SIERRA RAMOS JESSICA RUTH</t>
  </si>
  <si>
    <t>AGRONOMOS Y AFINES</t>
  </si>
  <si>
    <t>70911570</t>
  </si>
  <si>
    <t>SIERRA RIOS MIGUEL ALONSO</t>
  </si>
  <si>
    <t>48036750</t>
  </si>
  <si>
    <t>SIESQUEN MORE JORGE ARTURO</t>
  </si>
  <si>
    <t>32983952</t>
  </si>
  <si>
    <t>SIFUENTES KANO KEVIN ENRIQUE</t>
  </si>
  <si>
    <t>31620510</t>
  </si>
  <si>
    <t>SIGUEñAS LEON PICENA GREGORIA</t>
  </si>
  <si>
    <t>CONCENTRACION DE MINERALES</t>
  </si>
  <si>
    <t>TECNICA CONCENTRACION DE MINERALES</t>
  </si>
  <si>
    <t>43256717</t>
  </si>
  <si>
    <t>SIGUEÑAS TANTARICO MARCOS</t>
  </si>
  <si>
    <t>TECNICO CATASTRAL</t>
  </si>
  <si>
    <t>42876558</t>
  </si>
  <si>
    <t>SILVA BARROS INES MAGALY</t>
  </si>
  <si>
    <t>INGENIERIA FORESTAL</t>
  </si>
  <si>
    <t>45835584</t>
  </si>
  <si>
    <t>SILVA CHAVEZ EDGAR ANTHONY</t>
  </si>
  <si>
    <t>41125267</t>
  </si>
  <si>
    <t>SILVA ESPEJO RAQUEL CAROLINA</t>
  </si>
  <si>
    <t>00367924</t>
  </si>
  <si>
    <t>SILVA MARCHAN NELSON LUIS</t>
  </si>
  <si>
    <t>09896955</t>
  </si>
  <si>
    <t>SILVA MONTEZA EXIQUIEL ANTONIO</t>
  </si>
  <si>
    <t>46757433</t>
  </si>
  <si>
    <t>SIVIPAUCAR PAUCAR OMAR VICTOR</t>
  </si>
  <si>
    <t>46995872</t>
  </si>
  <si>
    <t>SOLANO CASTILLO ANALIZ MONICA</t>
  </si>
  <si>
    <t>19968051</t>
  </si>
  <si>
    <t>SOLANO INGA LUVIDA</t>
  </si>
  <si>
    <t>44196126</t>
  </si>
  <si>
    <t>SOLIS GONZALES YANET IRIS</t>
  </si>
  <si>
    <t>41639068</t>
  </si>
  <si>
    <t>SOLIS LLERENA JULIO CESAR</t>
  </si>
  <si>
    <t>46759054</t>
  </si>
  <si>
    <t>SOLIS ROSALES STEFANY PATRICIA</t>
  </si>
  <si>
    <t>45444367</t>
  </si>
  <si>
    <t>SOLORZANO CARTAGENA MAGALI</t>
  </si>
  <si>
    <t>CIENCIAS POLITICAS</t>
  </si>
  <si>
    <t>20096704</t>
  </si>
  <si>
    <t>SORIANO ARAUCO ANIBAL EVARISTO</t>
  </si>
  <si>
    <t>43457019</t>
  </si>
  <si>
    <t>SOTA LOPEZ JANINA JOSELIN</t>
  </si>
  <si>
    <t>43250611</t>
  </si>
  <si>
    <t>SOTO LOPEZ DIANA LUCIA</t>
  </si>
  <si>
    <t>41818763</t>
  </si>
  <si>
    <t>SOTO MENESES JESÚS ABEL</t>
  </si>
  <si>
    <t>10403231</t>
  </si>
  <si>
    <t>SUAREZ RODRIGUEZ MERCEDES</t>
  </si>
  <si>
    <t>41154905</t>
  </si>
  <si>
    <t>SUCLUPE VIDAURRE ELVA JESUS</t>
  </si>
  <si>
    <t>40514891</t>
  </si>
  <si>
    <t>TAFUR ALBURQUEQUE SHELBY DEL PILAR</t>
  </si>
  <si>
    <t>ANALISTA PROGRAMADOR II</t>
  </si>
  <si>
    <t>20048661</t>
  </si>
  <si>
    <t>TAIPE MAYHUASCA WALTER DANIEL</t>
  </si>
  <si>
    <t>31033419</t>
  </si>
  <si>
    <t>TAIPE PECEROS JAVIER</t>
  </si>
  <si>
    <t>40606827</t>
  </si>
  <si>
    <t>TALLEDO PEÑA IRINA AMPARO</t>
  </si>
  <si>
    <t>05226336</t>
  </si>
  <si>
    <t>TANANTA HUAYMACARI JORGE AMARINO</t>
  </si>
  <si>
    <t>QUIMICOS</t>
  </si>
  <si>
    <t>44413944</t>
  </si>
  <si>
    <t>TANG HUANSI ANGEL CHRISTIAN</t>
  </si>
  <si>
    <t>01323702</t>
  </si>
  <si>
    <t>TAPIA QUISPE BONIFACIO</t>
  </si>
  <si>
    <t>ANTROPOLOGIA SOCIAL</t>
  </si>
  <si>
    <t>46465367</t>
  </si>
  <si>
    <t>TEMOCHE AREVALO RUBY KATHERINE</t>
  </si>
  <si>
    <t>28604382</t>
  </si>
  <si>
    <t>TEMOCHE ORELLANO JAIME AUGUSTO</t>
  </si>
  <si>
    <t>POLICIA NACIONAL</t>
  </si>
  <si>
    <t>45084158</t>
  </si>
  <si>
    <t>TERAN HUAMAN OSCAR GILMER</t>
  </si>
  <si>
    <t>40547033</t>
  </si>
  <si>
    <t>TERRONES JIMENEZ LIZBETH PAOLA</t>
  </si>
  <si>
    <t>08257670</t>
  </si>
  <si>
    <t>TERRY LOYOLA JONNE SOLEDAD</t>
  </si>
  <si>
    <t>TAQUIMECANOGRAFA</t>
  </si>
  <si>
    <t>23955568</t>
  </si>
  <si>
    <t>TICLLAHUANCA HUARCAYA MAGALY AMELIA</t>
  </si>
  <si>
    <t>TECNICA EN OBSTETRICIA</t>
  </si>
  <si>
    <t>20076811</t>
  </si>
  <si>
    <t>TOLENTINO RODRIGUEZ JUAN MISAEL</t>
  </si>
  <si>
    <t>41382845</t>
  </si>
  <si>
    <t>TOMAYLLA HUARANCCA ABDON</t>
  </si>
  <si>
    <t>CONSULTOR(A) LEGAL EN TRÁMITE DOCUMENTARIO</t>
  </si>
  <si>
    <t>40195227</t>
  </si>
  <si>
    <t>TORIBIO VILLALOBOS KATUISCIA PAOLA</t>
  </si>
  <si>
    <t>AREA DERECHO Y CIENCIA POLITICA</t>
  </si>
  <si>
    <t>31628628</t>
  </si>
  <si>
    <t>TORRE TORRES DOMINGO FABIAN</t>
  </si>
  <si>
    <t>21521129</t>
  </si>
  <si>
    <t>TORREALVA MENDOZA JOSE ENRIQUE</t>
  </si>
  <si>
    <t>21289888</t>
  </si>
  <si>
    <t>TORREJON ROJAS EVER LUIS</t>
  </si>
  <si>
    <t>41803274</t>
  </si>
  <si>
    <t>TORRES HUARIPATA ALFREDO</t>
  </si>
  <si>
    <t>40917533</t>
  </si>
  <si>
    <t>TORRES LOPEZ CARLOS JAVIER</t>
  </si>
  <si>
    <t>04822318</t>
  </si>
  <si>
    <t>TORRES PERDOMO LUCIA</t>
  </si>
  <si>
    <t>46819656</t>
  </si>
  <si>
    <t>TORRES RIMEY JESUS ALEJANDRO</t>
  </si>
  <si>
    <t>ESPECIALISTA SIAF- SP</t>
  </si>
  <si>
    <t>25690369</t>
  </si>
  <si>
    <t>TORRES TOCTO OSCAR ENRIQUE</t>
  </si>
  <si>
    <t>43880597</t>
  </si>
  <si>
    <t>TUMI RIVAS ALBERTH JESUS</t>
  </si>
  <si>
    <t>LICENCIADO EN SOCIOLOGIA</t>
  </si>
  <si>
    <t>42382237</t>
  </si>
  <si>
    <t>UBILLUS GONZALES MAGALY DEL CARMEN</t>
  </si>
  <si>
    <t>40606184</t>
  </si>
  <si>
    <t>UDOLKIN JUAREZ KATHLEEN SONIA</t>
  </si>
  <si>
    <t>45244491</t>
  </si>
  <si>
    <t>UGAZ SANCHEZ CESAR AUGUSTO</t>
  </si>
  <si>
    <t>08833727</t>
  </si>
  <si>
    <t>URCIA SAAVEDRA AUGUSTA ISABEL</t>
  </si>
  <si>
    <t>43055043</t>
  </si>
  <si>
    <t>URRELO RIOS JANINA</t>
  </si>
  <si>
    <t>26728605</t>
  </si>
  <si>
    <t>URTEAGA GARCIA MARTIN HORACIO</t>
  </si>
  <si>
    <t>31033886</t>
  </si>
  <si>
    <t>USTUA CAMACHO HILDA</t>
  </si>
  <si>
    <t>21553714</t>
  </si>
  <si>
    <t>VAJALQUE HUAUYA CESAR MANUEL</t>
  </si>
  <si>
    <t>40844267</t>
  </si>
  <si>
    <t>VALDEZ BARRERA ROSA MARIA</t>
  </si>
  <si>
    <t>MATEMATICA</t>
  </si>
  <si>
    <t>LICENCIADA EN MATEMATICA E INFORMATICA</t>
  </si>
  <si>
    <t>ABOGADO DE PRESCRIPCION Y TRACTO</t>
  </si>
  <si>
    <t>10750685</t>
  </si>
  <si>
    <t>VALDEZ DIAZ CRISTINA</t>
  </si>
  <si>
    <t>ASISTENTE ADMINISTRATIVO III</t>
  </si>
  <si>
    <t>28314375</t>
  </si>
  <si>
    <t>VALDEZ GONZALEZ ELVIRA</t>
  </si>
  <si>
    <t>41499271</t>
  </si>
  <si>
    <t>VALDIVIA RAMOS CARLOS</t>
  </si>
  <si>
    <t>07584100</t>
  </si>
  <si>
    <t>VALDIVIA TAGLE JORGE ALBERTO</t>
  </si>
  <si>
    <t>08535332</t>
  </si>
  <si>
    <t>VALDIVIEZO CALISAYA BEDER</t>
  </si>
  <si>
    <t>02779719</t>
  </si>
  <si>
    <t>VALDIVIEZO VARGAS CARMEN ADRIANA</t>
  </si>
  <si>
    <t>SECRETARIA EJECUTIVA EN ESPAÑOL</t>
  </si>
  <si>
    <t>29567794</t>
  </si>
  <si>
    <t>VALENCIA ANDIA MARISOL ROCIO</t>
  </si>
  <si>
    <t>Coordinador en Levantamiento de Contingencias</t>
  </si>
  <si>
    <t>25715632</t>
  </si>
  <si>
    <t>VALLE CERVERA HENRY DAVID</t>
  </si>
  <si>
    <t>40682726</t>
  </si>
  <si>
    <t>VALLEJOS LAURA YESICA</t>
  </si>
  <si>
    <t>09201425</t>
  </si>
  <si>
    <t>VALQUI VELA MANUELA</t>
  </si>
  <si>
    <t>43381185</t>
  </si>
  <si>
    <t>VALVERDE VALVERDE JOSE MIGUEL</t>
  </si>
  <si>
    <t>45096254</t>
  </si>
  <si>
    <t>VARGAS BELLIDO ERICKSON CESAR</t>
  </si>
  <si>
    <t>41296873</t>
  </si>
  <si>
    <t>VARGAS MEDINA LUZ ANGELICA VANESSA</t>
  </si>
  <si>
    <t>26663870</t>
  </si>
  <si>
    <t>VARGAS PRADO JOSE LIZANDRO</t>
  </si>
  <si>
    <t>ABOGADO PAD</t>
  </si>
  <si>
    <t>22244503</t>
  </si>
  <si>
    <t>VASQUEZ ARROYO JHONY ABEL</t>
  </si>
  <si>
    <t>40236410</t>
  </si>
  <si>
    <t>VASQUEZ CARLOS EDUARDO</t>
  </si>
  <si>
    <t>70035791</t>
  </si>
  <si>
    <t>VASQUEZ CHAUCA MARDELIT</t>
  </si>
  <si>
    <t>18210417</t>
  </si>
  <si>
    <t>VASQUEZ ENRIQUEZ JONNY ROBERTO</t>
  </si>
  <si>
    <t>CAPACITADOR/A</t>
  </si>
  <si>
    <t>47507523</t>
  </si>
  <si>
    <t>VASQUEZ LA ROSA ELIZABETH NOEMI</t>
  </si>
  <si>
    <t>ASISTENTE EN COORDINACION ZONAL</t>
  </si>
  <si>
    <t>21861320</t>
  </si>
  <si>
    <t>VASQUEZ MENDOZA CARLOS ALBERTO</t>
  </si>
  <si>
    <t>41693440</t>
  </si>
  <si>
    <t>VASQUEZ TORRES ERICSSON</t>
  </si>
  <si>
    <t>FOTOGRÁFO</t>
  </si>
  <si>
    <t>41085324</t>
  </si>
  <si>
    <t>VEGA LLOSA JAIRO ROGELIO</t>
  </si>
  <si>
    <t>PERIODISTA</t>
  </si>
  <si>
    <t>18077807</t>
  </si>
  <si>
    <t>VELASQUEZ ORDOÑEZ JHON ROBERT</t>
  </si>
  <si>
    <t>45952707</t>
  </si>
  <si>
    <t>VENEGAS CASAVERDE SAULO ARMANDO</t>
  </si>
  <si>
    <t>41272193</t>
  </si>
  <si>
    <t>VERA EGOAVIL VANESSA ESMERALDA</t>
  </si>
  <si>
    <t>40908735</t>
  </si>
  <si>
    <t>VERA FALCONI MARIA LORENA</t>
  </si>
  <si>
    <t>29641765</t>
  </si>
  <si>
    <t>VERA UCHUYA OMAR ALAN</t>
  </si>
  <si>
    <t>43446048</t>
  </si>
  <si>
    <t>VERDE HUAMAN FREDY ANTONIO</t>
  </si>
  <si>
    <t>BACHILLER EN CIENCIAS AGRARIAS</t>
  </si>
  <si>
    <t>45704577</t>
  </si>
  <si>
    <t>VERGARA SOLANO ELLISON FRANK</t>
  </si>
  <si>
    <t>07931836</t>
  </si>
  <si>
    <t>VIA PEÑA WILLIAMS AUGUSTO</t>
  </si>
  <si>
    <t>19813419</t>
  </si>
  <si>
    <t>VICUÑA PALACIOS CARLOS ENRIQUE</t>
  </si>
  <si>
    <t>21416252</t>
  </si>
  <si>
    <t>VILCA AGUERO JOSE MELQUIADES</t>
  </si>
  <si>
    <t>07161441</t>
  </si>
  <si>
    <t>VILCA RAMIREZ ANTONIO NARCISO</t>
  </si>
  <si>
    <t>09840951</t>
  </si>
  <si>
    <t>VILCAPOMA SEDANO LILIANA</t>
  </si>
  <si>
    <t>40247431</t>
  </si>
  <si>
    <t>VILCHEZ CASTRO MARIBEL</t>
  </si>
  <si>
    <t>46002946</t>
  </si>
  <si>
    <t>VILLACORTA PEÑA CECILIA ESTEFANI</t>
  </si>
  <si>
    <t>40503029</t>
  </si>
  <si>
    <t>VILLACORTA RENGIFO ROBERT ALBERTO</t>
  </si>
  <si>
    <t>00093865</t>
  </si>
  <si>
    <t>VILLACORTA RICOPA ABNER RONALD</t>
  </si>
  <si>
    <t>42007192</t>
  </si>
  <si>
    <t>VILLAFUERTE FERNANDEZ RUTH</t>
  </si>
  <si>
    <t>42645931</t>
  </si>
  <si>
    <t>VILLALOBOS SILVA MELINA</t>
  </si>
  <si>
    <t>48261102</t>
  </si>
  <si>
    <t>VILLALOBOS VALERA NICOLE ANNETTE</t>
  </si>
  <si>
    <t>10316333</t>
  </si>
  <si>
    <t>VILLANUEVA DIAZ ROLANDO</t>
  </si>
  <si>
    <t>GUARDIA CIVIL</t>
  </si>
  <si>
    <t>GUARDIA CIVIL - POLICIA NACIONAL DEL PERU</t>
  </si>
  <si>
    <t>31670102</t>
  </si>
  <si>
    <t>VILLANUEVA MARTINEZ JHONSTON INDELBER</t>
  </si>
  <si>
    <t>INGENIERIA DE MINAS</t>
  </si>
  <si>
    <t>INGENIERO DE MINAS</t>
  </si>
  <si>
    <t>SUPERVISOR TECNICO CATASTRAL</t>
  </si>
  <si>
    <t>09897998</t>
  </si>
  <si>
    <t>VILLANUEVA SANDOVAL MIRNA ELIZABETH</t>
  </si>
  <si>
    <t>70847408</t>
  </si>
  <si>
    <t>VILLANUEVA VELASQUEZ LIZZETH AMIRALI</t>
  </si>
  <si>
    <t>OPERADOR EN PLANILLA</t>
  </si>
  <si>
    <t>09930887</t>
  </si>
  <si>
    <t>VILLANUEVA VILLAR ERNESTO ANTONIO</t>
  </si>
  <si>
    <t>80303883</t>
  </si>
  <si>
    <t>VILLEGAS AJAHUANA CARMEN ESTHER</t>
  </si>
  <si>
    <t>73193267</t>
  </si>
  <si>
    <t>VILLENA SUCLUPE JULISSA MARGOT</t>
  </si>
  <si>
    <t>SERVICIO DE JARDINERIA</t>
  </si>
  <si>
    <t>04080562</t>
  </si>
  <si>
    <t>VILLOGAS GUERRA PATROCINIO</t>
  </si>
  <si>
    <t>41469045</t>
  </si>
  <si>
    <t>VINCES FERNANDEZ CESAR ARMANDO</t>
  </si>
  <si>
    <t>76548975</t>
  </si>
  <si>
    <t>VIVANCO SANCHEZ JACQUELINE BRIGGIT</t>
  </si>
  <si>
    <t>Asistente de Giros</t>
  </si>
  <si>
    <t>46082950</t>
  </si>
  <si>
    <t>VIVEROS PEREZ JOHN CHRISTIAN</t>
  </si>
  <si>
    <t>10189479</t>
  </si>
  <si>
    <t>VIVES FLOR TEODOSIO MARCELINO</t>
  </si>
  <si>
    <t>INGENIEROS MECANICOS</t>
  </si>
  <si>
    <t>ARQUITECTO II</t>
  </si>
  <si>
    <t>29354770</t>
  </si>
  <si>
    <t>VIZCARRA CONDORI MARIA SOLEDAD</t>
  </si>
  <si>
    <t>07255587</t>
  </si>
  <si>
    <t>YACTAYO ESCUDERO YEVGUENI IGOR</t>
  </si>
  <si>
    <t>ANALISTA EN GEODESIA</t>
  </si>
  <si>
    <t>09940760</t>
  </si>
  <si>
    <t>YARANGA RIVERA PEDRO CESAR</t>
  </si>
  <si>
    <t>07530087</t>
  </si>
  <si>
    <t>YATACO ARAMBURU ALEX ROBERTO</t>
  </si>
  <si>
    <t>ANALISTA EN TEMAS ADMINISTRATIVOS Y DE CONTROL INTERNO</t>
  </si>
  <si>
    <t>10459084</t>
  </si>
  <si>
    <t>YDIAQUEZ VEGA YORK AGUSTIN</t>
  </si>
  <si>
    <t>40794084</t>
  </si>
  <si>
    <t>YOVERA FOX DENNYS ENRIQUE</t>
  </si>
  <si>
    <t>21534078</t>
  </si>
  <si>
    <t>YTA ESPINOZA JULIO ENRIQUE</t>
  </si>
  <si>
    <t>21288323</t>
  </si>
  <si>
    <t>YUPANQUI PALACIOS NILTON CESAR</t>
  </si>
  <si>
    <t>42644714</t>
  </si>
  <si>
    <t>ZAA CAÑARI DIANA ESTEFANY</t>
  </si>
  <si>
    <t>42694160</t>
  </si>
  <si>
    <t>ZACARIAS AMARO RICARDO HUBERT</t>
  </si>
  <si>
    <t>40652473</t>
  </si>
  <si>
    <t>ZAMORA RUIZ OMAR ALEXANDER</t>
  </si>
  <si>
    <t>TECNICO DE ARCHIVO ATENCION DE SOLICITUDES</t>
  </si>
  <si>
    <t>45223923</t>
  </si>
  <si>
    <t>ZAPATA LARA YANINA YVET</t>
  </si>
  <si>
    <t>42926099</t>
  </si>
  <si>
    <t>ZAPATA MEDINA FRANCISCO RICARDO</t>
  </si>
  <si>
    <t>ASISTENTE EN EJECUCION CONTRACTUAL</t>
  </si>
  <si>
    <t>42315721</t>
  </si>
  <si>
    <t>ZAPATERO CASTRO ZULYA MAGALY</t>
  </si>
  <si>
    <t>25760580</t>
  </si>
  <si>
    <t>ZEA QUISPE MARLENE MARIA</t>
  </si>
  <si>
    <t>LICENCIADO EN HISTORIA</t>
  </si>
  <si>
    <t>29242125</t>
  </si>
  <si>
    <t>ZEBALLOS ZEBALLOS LUIS GUILLERMO</t>
  </si>
  <si>
    <t>46561569</t>
  </si>
  <si>
    <t>ZEGARRA BARBARAN JEAN CARLOS</t>
  </si>
  <si>
    <t>SUPERVISOR LOTES SUSPENDIDOS</t>
  </si>
  <si>
    <t>06249136</t>
  </si>
  <si>
    <t>ZEGARRA TARQUI JOSE ALBERTO</t>
  </si>
  <si>
    <t>ESPECIALISTA EN PROCEDIMIENTOS ADMINISTRATIVOS</t>
  </si>
  <si>
    <t>41930582</t>
  </si>
  <si>
    <t>ZEGARRA ZARATE LIZ</t>
  </si>
  <si>
    <t>44076109</t>
  </si>
  <si>
    <t>ZELA CAMPOS WALTER ARMANDO</t>
  </si>
  <si>
    <t>70440778</t>
  </si>
  <si>
    <t>ZELAYA MINAYA LOURDES EMELYN</t>
  </si>
  <si>
    <t>09636377</t>
  </si>
  <si>
    <t>ZENTENO CONDEZO JHONY OVID</t>
  </si>
  <si>
    <t>41689751</t>
  </si>
  <si>
    <t>ZEVALLOS DEL AGUILA WENDY MAYRA</t>
  </si>
  <si>
    <t>SUPERVISOR Y SOPORTE TECNICO</t>
  </si>
  <si>
    <t>41897784</t>
  </si>
  <si>
    <t>ZEVALLOS PAREDES EMERSON JUSTO</t>
  </si>
  <si>
    <t>40854686</t>
  </si>
  <si>
    <t>ZUMAETA ROJAS ROSSINI HAYLE</t>
  </si>
  <si>
    <t>TRABAJADOR/A SOCIAL</t>
  </si>
  <si>
    <t>07216099</t>
  </si>
  <si>
    <t>ZUÑIGA RAMIREZ HAYDEE ALICIA</t>
  </si>
  <si>
    <t>LICENCIADA EN TRABAJO SOCIAL</t>
  </si>
  <si>
    <t>00467238</t>
  </si>
  <si>
    <t>TAPIA SARABIA LILIANA LORENA</t>
  </si>
  <si>
    <t>06775942</t>
  </si>
  <si>
    <t>CARRION VERA YULIANA MARIA</t>
  </si>
  <si>
    <t>06776802</t>
  </si>
  <si>
    <t>ARBULU SAN MIGUEL ANA LUCIA</t>
  </si>
  <si>
    <t>07877235</t>
  </si>
  <si>
    <t>TIPA PAREDES MAGDA MARLENE</t>
  </si>
  <si>
    <t>09273312</t>
  </si>
  <si>
    <t>CHIPOCO TOLEDO JUAN CARLOS</t>
  </si>
  <si>
    <t>10264990</t>
  </si>
  <si>
    <t>GONZALES CUADRADO RICHARD VIRGILIO</t>
  </si>
  <si>
    <t>TÉCNICO MOTORIZADO</t>
  </si>
  <si>
    <t>10782248</t>
  </si>
  <si>
    <t>LOPEZ SANCHEZ ANGELA MARCELA</t>
  </si>
  <si>
    <t>10784025</t>
  </si>
  <si>
    <t>BALCAZAR LABRIN JOSE LUIS</t>
  </si>
  <si>
    <t>16440239</t>
  </si>
  <si>
    <t>BAZAN ALCANTARA LUIS DANNY</t>
  </si>
  <si>
    <t>NIVEL SECUNDARIO</t>
  </si>
  <si>
    <t>OPERADOR/A DE ATENCIÓN AL CIUDADANO</t>
  </si>
  <si>
    <t>40675747</t>
  </si>
  <si>
    <t>CATTER ARCE DOLLY JACQUELINE</t>
  </si>
  <si>
    <t>41217921</t>
  </si>
  <si>
    <t>SANGAMA MURAYARI CARLOS ALBERTO</t>
  </si>
  <si>
    <t>41300268</t>
  </si>
  <si>
    <t>NEGRI GOMES OMAR JAIR</t>
  </si>
  <si>
    <t>41848024</t>
  </si>
  <si>
    <t>DEL AGUILA VASQUEZ JESUS</t>
  </si>
  <si>
    <t>TÉCNICO EN ARCHIVO Y ATENCIÓN DE SOLICITUDES</t>
  </si>
  <si>
    <t>43095636</t>
  </si>
  <si>
    <t>MENACHO MALARA LUIS GUILLERMO MARTIN</t>
  </si>
  <si>
    <t>43323067</t>
  </si>
  <si>
    <t>VITOR VILLANUEVA JOKABET MAGALY</t>
  </si>
  <si>
    <t>43685596</t>
  </si>
  <si>
    <t>ZUMAETA MENDIETA EDWIN LUIS</t>
  </si>
  <si>
    <t>45049724</t>
  </si>
  <si>
    <t>RIOS DUAREZ TATIANA</t>
  </si>
  <si>
    <t>45241321</t>
  </si>
  <si>
    <t>RODRIGUEZ CASTILLO SARA MILAGROS</t>
  </si>
  <si>
    <t>46675471</t>
  </si>
  <si>
    <t>ARAUJO VARGAS KHEVINA LIZ</t>
  </si>
  <si>
    <t>AUXILIAR DE PLANILLAS</t>
  </si>
  <si>
    <t>46815346</t>
  </si>
  <si>
    <t>ROJAS BARDALES NOE JHONATAN</t>
  </si>
  <si>
    <t>46955297</t>
  </si>
  <si>
    <t>PACO PRUCIL LUCIA MERCEDES</t>
  </si>
  <si>
    <t>47118459</t>
  </si>
  <si>
    <t>FLORES CLAVO FANY ISELA</t>
  </si>
  <si>
    <t>47179734</t>
  </si>
  <si>
    <t>PEREZ UNTIVEROS ENRIQUE GUSTAVO</t>
  </si>
  <si>
    <t>47272836</t>
  </si>
  <si>
    <t>SANCHO FERRER JEAN MANUEL</t>
  </si>
  <si>
    <t>47665546</t>
  </si>
  <si>
    <t>SERNAQUE VALLADOLID YURICO JHAMPIERO</t>
  </si>
  <si>
    <t>74567550</t>
  </si>
  <si>
    <t>ROBLES ORE MAYLI YHISENIA</t>
  </si>
  <si>
    <t>00822382</t>
  </si>
  <si>
    <t>ARCE HAYA JORGE ARMANDO</t>
  </si>
  <si>
    <t>MARKETING</t>
  </si>
  <si>
    <t>SUPERIOR UNIVERSITARIA</t>
  </si>
  <si>
    <t>INGENIERIA MECANICA</t>
  </si>
  <si>
    <t>COORDINADOR ZONAL</t>
  </si>
  <si>
    <t>NIVEL PRIMARIO</t>
  </si>
  <si>
    <t>ESPECIALISTA I - INVERSIÓN PÚBLICA</t>
  </si>
  <si>
    <t>ESPECIALISTA EN PROCESO ADMINISTRATIVO DISCIPLINARIO</t>
  </si>
  <si>
    <t>40271986</t>
  </si>
  <si>
    <t>TAMBRA HUAMANI HENRY VLADEMIR</t>
  </si>
  <si>
    <t>SUPERIOR NO UNIVERSITARIA</t>
  </si>
  <si>
    <t>MAESTRIA</t>
  </si>
  <si>
    <t>COORDINADOR/A ZONAL</t>
  </si>
  <si>
    <t>SISTEMAS</t>
  </si>
  <si>
    <t>ANALISTA EN MONITOREO</t>
  </si>
  <si>
    <t>SUPERVISOR DE ATENCIÓN AL CIUDADANO</t>
  </si>
  <si>
    <t>LIMO APAGÜEÑO PEDRO MARTIN</t>
  </si>
  <si>
    <t>SUPERVISOR EN EDICIÓN Y BASE GRÁFICA</t>
  </si>
  <si>
    <t>43232176</t>
  </si>
  <si>
    <t>FARFAN JURADO JESUS PERCY</t>
  </si>
  <si>
    <t>44162031</t>
  </si>
  <si>
    <t>MENDOZA CALLA VLADIMIR</t>
  </si>
  <si>
    <t>47550058</t>
  </si>
  <si>
    <t>APARICIO FLORES FATIMA LOURDES EULALIA</t>
  </si>
  <si>
    <t>PSICOLOGIA</t>
  </si>
  <si>
    <t>70869512</t>
  </si>
  <si>
    <t>FIGUEROA CARDENAS LIZ CAROL</t>
  </si>
  <si>
    <t>72184559</t>
  </si>
  <si>
    <t>AGUIRRE MORALES LIDIA MARINA</t>
  </si>
  <si>
    <t>72193162</t>
  </si>
  <si>
    <t>CONDORI VARGAS LUZ ANDREA</t>
  </si>
  <si>
    <t>73964489</t>
  </si>
  <si>
    <t>GOMEZ MAYTA KEITLYN MARJORIE</t>
  </si>
  <si>
    <t>EJECUTORA 001 -OTASS</t>
  </si>
  <si>
    <t>COORDINADORA EN COMUNICACIONES</t>
  </si>
  <si>
    <t>07494689</t>
  </si>
  <si>
    <t>ACOSTA ACOSTA CARMEN CECILIA</t>
  </si>
  <si>
    <t>LICENCIADA EN CIENCIAS DE LA COMUNICACIÓN</t>
  </si>
  <si>
    <t>JEFA DE LA OFICINA DE GESTION SOCIAL Y COMUNICACIONES</t>
  </si>
  <si>
    <t>COORDINADOR DE REFLOTAMIENTO</t>
  </si>
  <si>
    <t>08695644</t>
  </si>
  <si>
    <t>ACOSTA ARCE RICHARD ANTONIO</t>
  </si>
  <si>
    <t>GERENTE DE ADMINISTRACIÓN Y FINANZAS</t>
  </si>
  <si>
    <t>32944658</t>
  </si>
  <si>
    <t>ACUÑA SUAREZ HECTOR</t>
  </si>
  <si>
    <t>GERENTE GENERAL</t>
  </si>
  <si>
    <t>29724317</t>
  </si>
  <si>
    <t>AGRAMONTE FLORES SOLANGE DEL PILAR</t>
  </si>
  <si>
    <t>AGRAMONTE FLORES SOLANGE DEL PILAR1</t>
  </si>
  <si>
    <t>ESPECIALISTA DE REFLOTAMIENTO</t>
  </si>
  <si>
    <t>09414793</t>
  </si>
  <si>
    <t>ALARCO BASALDUA HENRY</t>
  </si>
  <si>
    <t>INGENIERO EN ESTADISTICA E INFORMATICA</t>
  </si>
  <si>
    <t>ASESOR DE DIRECCION EJECUTIVA</t>
  </si>
  <si>
    <t>23990263</t>
  </si>
  <si>
    <t>ALCA CASTILLO JAMIL</t>
  </si>
  <si>
    <t>DIRECTOR DE INTEGRACIÓN</t>
  </si>
  <si>
    <t>JEFE DE LA UNIDAD DE RECURSOS HUMANOS</t>
  </si>
  <si>
    <t>26681667</t>
  </si>
  <si>
    <t>ALCALDE POMA RAMON FERNANDO</t>
  </si>
  <si>
    <t>29707399</t>
  </si>
  <si>
    <t>ALCÁZAR CASTRO JENISSE EUGENIA</t>
  </si>
  <si>
    <t>40772866</t>
  </si>
  <si>
    <t>ALCAZAR TABOADA SUSANN JESUS</t>
  </si>
  <si>
    <t>GERENTE COMERCIAL</t>
  </si>
  <si>
    <t>16716386</t>
  </si>
  <si>
    <t>ALEJANDRIA BRAVO JOSE CARLOS</t>
  </si>
  <si>
    <t>GERENTE DE OPERACIONES</t>
  </si>
  <si>
    <t>15723015</t>
  </si>
  <si>
    <t>ALIAGA PICHILINGUE ULISES</t>
  </si>
  <si>
    <t>23985924</t>
  </si>
  <si>
    <t>ALOSILLA ROBLES WASHINGTON</t>
  </si>
  <si>
    <t>COORDINADOR DE LOGÍSTICA</t>
  </si>
  <si>
    <t>09533481</t>
  </si>
  <si>
    <t>ALVARADO GALLARDO ALEJANDRO ALVARO</t>
  </si>
  <si>
    <t>25798467</t>
  </si>
  <si>
    <t>ALVARADO PAZ AIDA</t>
  </si>
  <si>
    <t>BACHILLER EN DERECHO Y CIENCIAS POLÍTICAS</t>
  </si>
  <si>
    <t>COORDINADOR DE DIRECCIÓN</t>
  </si>
  <si>
    <t>08106145</t>
  </si>
  <si>
    <t>ALVARADO RUBINA JACINTO SANTIAGO</t>
  </si>
  <si>
    <t xml:space="preserve">ADMINISTRACION DE EMPRESAS COOPERATIVAS </t>
  </si>
  <si>
    <t>09613164</t>
  </si>
  <si>
    <t>ALVAREZ QUINTANA SONIA</t>
  </si>
  <si>
    <t>ESPECIALISTA EN EL SISTEMA DE ADMINISTRACIÓN DE GESTIÓN DE RECURSOS HUMANOS</t>
  </si>
  <si>
    <t>42555109</t>
  </si>
  <si>
    <t>AMANCIO ARANDA MARIO VICENTE</t>
  </si>
  <si>
    <t>ESPECIALISTA TECNICO DE POLITICAS Y GOBIERNO CORPORATIVO</t>
  </si>
  <si>
    <t>43568633</t>
  </si>
  <si>
    <t>AMANCIO CASTRO DIANA LUCIA</t>
  </si>
  <si>
    <t>ASISTENTE DE HIDROJET</t>
  </si>
  <si>
    <t>10053938</t>
  </si>
  <si>
    <t>AMBROSIO URETA LUIS ALBERTO</t>
  </si>
  <si>
    <t>DIRECTOR DE MONITOREO Y EVALUACIÓN</t>
  </si>
  <si>
    <t>06607654</t>
  </si>
  <si>
    <t>AMESQUITA CUBILLAS FIDEL EDGARD</t>
  </si>
  <si>
    <t>GERENTE DE ASESORÍA JURÍDICA</t>
  </si>
  <si>
    <t>29602187</t>
  </si>
  <si>
    <t>AMEZQUITA FLOREZ MIGUEL ANGEL</t>
  </si>
  <si>
    <t>OPERADOR DE HIDROJET</t>
  </si>
  <si>
    <t>10526711</t>
  </si>
  <si>
    <t>ANAMPA FALCON LORENZO</t>
  </si>
  <si>
    <t>CHOFER CAMIÓN CISTERNA</t>
  </si>
  <si>
    <t>08903478</t>
  </si>
  <si>
    <t>ANCO CHITE MERZABEL ANGEL</t>
  </si>
  <si>
    <t>29710727</t>
  </si>
  <si>
    <t>ANDIA ROMERO ROGER</t>
  </si>
  <si>
    <t>80188561</t>
  </si>
  <si>
    <t>ANGLES CUSI GODOFREDO</t>
  </si>
  <si>
    <t>ESPECIALISTA EN GESTIÓN DE ARCHIVO</t>
  </si>
  <si>
    <t>44350735</t>
  </si>
  <si>
    <t>APONTE FAJARDO CHRISTIAN IVAN</t>
  </si>
  <si>
    <t>23896825</t>
  </si>
  <si>
    <t>ARAGON AEDO MARCELINA YANET</t>
  </si>
  <si>
    <t>ABOGADO LABORALISTA</t>
  </si>
  <si>
    <t>10291787</t>
  </si>
  <si>
    <t>ARAGON DUEÑAS MIGUEL ANGEL</t>
  </si>
  <si>
    <t>ANALISTA DE SISTEMAS DE INFORMACIÓN GEOGRÁFICA</t>
  </si>
  <si>
    <t>41939928</t>
  </si>
  <si>
    <t>ARAOZ TARCO RODMAN</t>
  </si>
  <si>
    <t>INGENIERO GEOLOGO</t>
  </si>
  <si>
    <t>ANALISTA EN GESTION DE RELACIONES HUMANAS Y BIENESTAR SOCIAL</t>
  </si>
  <si>
    <t>46759038</t>
  </si>
  <si>
    <t>ARAUJO PALACIOS ELVIRA GIANINA</t>
  </si>
  <si>
    <t>LICENCIA DEN TRABAJO SOCIAL</t>
  </si>
  <si>
    <t>ESPECIALISTA TÉCNICO</t>
  </si>
  <si>
    <t>10343054</t>
  </si>
  <si>
    <t>ARELLANOS CARRION LUCIA</t>
  </si>
  <si>
    <t>46522820</t>
  </si>
  <si>
    <t>ARENAS ESPINOZA ROSA AYLEEN</t>
  </si>
  <si>
    <t>ASISTENTE DE MESA DE AYUDA</t>
  </si>
  <si>
    <t>45144268</t>
  </si>
  <si>
    <t>ARROYO CASANA RICARDO MANUEL</t>
  </si>
  <si>
    <t>TECNICO COMPUTACION</t>
  </si>
  <si>
    <t>17933747</t>
  </si>
  <si>
    <t>ASCOY DE LA CRUZ WIGBERTO ABEL</t>
  </si>
  <si>
    <t>ESPECIALISTA LEGAL EN GESTIÓN PÚBLICA Y/O DERECHO ADMINISTRATIVO</t>
  </si>
  <si>
    <t>42644420</t>
  </si>
  <si>
    <t>AVILA MENDOZA MANUEL ELIAS</t>
  </si>
  <si>
    <t>07644629</t>
  </si>
  <si>
    <t>AYALA SALAZAR DINA ROSA</t>
  </si>
  <si>
    <t>15358292</t>
  </si>
  <si>
    <t>BALBIN PALOMINO LUIS ENRIQUE</t>
  </si>
  <si>
    <t>32980649</t>
  </si>
  <si>
    <t>BALDEON CARBAJAL JOSE ANTONIO</t>
  </si>
  <si>
    <t>07584055</t>
  </si>
  <si>
    <t>BARANDIARAN ROJAS JUAN CARLOS MOISES</t>
  </si>
  <si>
    <t>ECÓNOMA</t>
  </si>
  <si>
    <t>ESPECIALISTA EN EL SISTEMA DE ADMINISTRACION DE GESTION DE RECURSOS HUMANOS</t>
  </si>
  <si>
    <t>06803440</t>
  </si>
  <si>
    <t>BARRANTES MARQUEZ SUSAN NATHALY</t>
  </si>
  <si>
    <t>29708956</t>
  </si>
  <si>
    <t>BARREDA DOMINGUEZ HECTOR VLADIMIR</t>
  </si>
  <si>
    <t>DIRECTOR DE GESTION Y FINANCIAMIENTO</t>
  </si>
  <si>
    <t>00428715</t>
  </si>
  <si>
    <t>BARRIONUEVO CHIRI FRESIA MARIA</t>
  </si>
  <si>
    <t xml:space="preserve">ABOGADA </t>
  </si>
  <si>
    <t>ESPECIALISTA EN GESTIÓN DE CONFLICTOS LABORALES</t>
  </si>
  <si>
    <t>29589009</t>
  </si>
  <si>
    <t>BARRIONUEVO ZUÑIGA RENÉ GUSTAVO</t>
  </si>
  <si>
    <t>LICENCIADO EN RELACIONES INDUSTRIALES</t>
  </si>
  <si>
    <t>15435801</t>
  </si>
  <si>
    <t>BENAVENTE BRAVO DE RIVADENEYRA ANA MILAGROS</t>
  </si>
  <si>
    <t>LIC,ADMINISTRACION</t>
  </si>
  <si>
    <t>01284615</t>
  </si>
  <si>
    <t>BEROLATTI DE LA CUBA ROSSANA</t>
  </si>
  <si>
    <t>INGENIERIO QUIMICO</t>
  </si>
  <si>
    <t>42508007</t>
  </si>
  <si>
    <t>BIEBERACH MUGRUZA HUMBERTO JOSEPH</t>
  </si>
  <si>
    <t>INGENIERO  SANITARIO</t>
  </si>
  <si>
    <t>10059229</t>
  </si>
  <si>
    <t>BLANCAS PEÑA EDWARD GUSTAVO</t>
  </si>
  <si>
    <t>ESPECIALISTA EN INGENIERÍA PARA LA ASISTENCIA TÉCNICA</t>
  </si>
  <si>
    <t>07262966</t>
  </si>
  <si>
    <t>BLAS BAZALAR JOSE CARLOS</t>
  </si>
  <si>
    <t>42674376</t>
  </si>
  <si>
    <t>BONILLA ACOSTA JUAN DIEGO</t>
  </si>
  <si>
    <t>09886854</t>
  </si>
  <si>
    <t>BOSSIO BALAREZO MANUEL FERNANDO</t>
  </si>
  <si>
    <t>16710472</t>
  </si>
  <si>
    <t>BRAVO HIDALGO LILY PATRICIA</t>
  </si>
  <si>
    <t>15727370</t>
  </si>
  <si>
    <t>BRAVO MONTOYA FELIX HIPOLITO</t>
  </si>
  <si>
    <t>ASISTENTE LEGAL LABORAL</t>
  </si>
  <si>
    <t>71337174</t>
  </si>
  <si>
    <t>BRAVO VEGAS SAMANTA ESTEFANI</t>
  </si>
  <si>
    <t>DIRECTOR DE POLITICAS Y GOBIERNO CORPORATIVO</t>
  </si>
  <si>
    <t>26730200</t>
  </si>
  <si>
    <t>BRINGAS USQUIANO WILDER ANTONIO</t>
  </si>
  <si>
    <t>20434331</t>
  </si>
  <si>
    <t>BUENALAYA AQUINO EDFOR ERNESTO</t>
  </si>
  <si>
    <t>JEFE DE LA UNIDAD DE TECNOLOGÍAS DE LA INFORMACIÓN</t>
  </si>
  <si>
    <t>40295718</t>
  </si>
  <si>
    <t>BUSTAMANTE MONDRAGON HUGO RONALD</t>
  </si>
  <si>
    <t>INGENIERO EN COMPUTACION E INFORMATICA</t>
  </si>
  <si>
    <t>06308551</t>
  </si>
  <si>
    <t>BUSTAMANTE ZAMALLOA JOSE ANTONIO</t>
  </si>
  <si>
    <t>10610760</t>
  </si>
  <si>
    <t>CABEZAS ACHA KARINA YODELL</t>
  </si>
  <si>
    <t>ESPECIALISTA EN COMUNICACIÓN SOCIAL</t>
  </si>
  <si>
    <t>43281269</t>
  </si>
  <si>
    <t>CÁCERES PEÑARANDA JEBZABETH JOHANNA</t>
  </si>
  <si>
    <t>LIC.CIENCIAS DE LA COMUN.</t>
  </si>
  <si>
    <t>10681043</t>
  </si>
  <si>
    <t>CACHAY VILCA BALTAZAR</t>
  </si>
  <si>
    <t>MAESTRO EN GESTION PUBLICA</t>
  </si>
  <si>
    <t>ESPECIALISTA LEGAL DE REGULACION SECTORIAL</t>
  </si>
  <si>
    <t>70245446</t>
  </si>
  <si>
    <t>CAHUI HUAMANI KARINA JOVITA</t>
  </si>
  <si>
    <t>40288662</t>
  </si>
  <si>
    <t>CALDERON - LAURA CECILIA</t>
  </si>
  <si>
    <t>08037851</t>
  </si>
  <si>
    <t>CALDERON DE LA BARCA LEON RICARDO ALBERTO</t>
  </si>
  <si>
    <t>JEFE DE LA OFICINA DE ASESORÍA JURÍDICA</t>
  </si>
  <si>
    <t>ANALISTA EN COMUNICACIÓN</t>
  </si>
  <si>
    <t>47688569</t>
  </si>
  <si>
    <t>CALLIRGOS BERNAL ESTEPHANI GABRIELA</t>
  </si>
  <si>
    <t>ESPECIALISTA EN SEGURIDAD DE LA INFORMACION</t>
  </si>
  <si>
    <t>40450487</t>
  </si>
  <si>
    <t>CAMPOS BRACAMONTE PERSIA ANGELICA</t>
  </si>
  <si>
    <t>ESPECIALISTA EN INGENIERIA ELECTROMECANICA</t>
  </si>
  <si>
    <t>07553043</t>
  </si>
  <si>
    <t>CAMPOS ROMERO BALCORT</t>
  </si>
  <si>
    <t>INGENIERO MECANICO</t>
  </si>
  <si>
    <t>22070733</t>
  </si>
  <si>
    <t>CANALES SIMON MARLENI MARIA</t>
  </si>
  <si>
    <t>09894088</t>
  </si>
  <si>
    <t>CARBAJAL BORJAS FIDEL JORGE</t>
  </si>
  <si>
    <t>ESPECIALISTA SENIOR EN APLICACIÓN DE SISTEMAS DE INFORMACIÓN GEORREFERENCIADOS</t>
  </si>
  <si>
    <t>02429203</t>
  </si>
  <si>
    <t>CARCAUSTO ROSSEL DAVID ELISEO</t>
  </si>
  <si>
    <t>INGENIERO MECANICOELECTRICISTA</t>
  </si>
  <si>
    <t>09620074</t>
  </si>
  <si>
    <t>CARDENAS AREVALO GUILLERMO RAFAEL</t>
  </si>
  <si>
    <t>LICENCIADO EN ADMINISTRACIÓN</t>
  </si>
  <si>
    <t>30828872</t>
  </si>
  <si>
    <t>CARDENAS HINOJOSA JAIME ALFREDO</t>
  </si>
  <si>
    <t>70440055</t>
  </si>
  <si>
    <t>CARDENAS PINCHE NURIA KRIZZIE</t>
  </si>
  <si>
    <t>LIC.EN ADM.EN TURISMO Y HOTELERIA</t>
  </si>
  <si>
    <t>01287333</t>
  </si>
  <si>
    <t>CARNERO RIVEROS JOSE VICENTE WILBER</t>
  </si>
  <si>
    <t>CARNERO RIVEROS JOSE VICENTE WILBER1</t>
  </si>
  <si>
    <t>47202144</t>
  </si>
  <si>
    <t>CARPIO SALGUERO MIJAIL DIODORO</t>
  </si>
  <si>
    <t>42826720</t>
  </si>
  <si>
    <t>CARRASCO CAMPANA MICHAEL</t>
  </si>
  <si>
    <t>41081700</t>
  </si>
  <si>
    <t>CARRASCO RAPRAY EVELYN MAGALLY</t>
  </si>
  <si>
    <t>45437929</t>
  </si>
  <si>
    <t>CARRUITERO ARMÉSTAR JENNIPHER ROSA</t>
  </si>
  <si>
    <t>40264999</t>
  </si>
  <si>
    <t>CASACHAGUA GARCIA LUIS ALBERTO</t>
  </si>
  <si>
    <t>21425065</t>
  </si>
  <si>
    <t>CASALINO URIBE CARLOS ROBERTO</t>
  </si>
  <si>
    <t>ADMINISTRACIÓN</t>
  </si>
  <si>
    <t>ESPECIALISTA EN REFLOTAMIENTO</t>
  </si>
  <si>
    <t>40250698</t>
  </si>
  <si>
    <t>CASAS  SEPULVEDA MARÍA DEL CARMEN</t>
  </si>
  <si>
    <t>ASISTENTE DE MONITOREO Y EVALUACION</t>
  </si>
  <si>
    <t>72526662</t>
  </si>
  <si>
    <t>CASAS CORAZ KARLA ESTEYSI</t>
  </si>
  <si>
    <t>43694770</t>
  </si>
  <si>
    <t>CASOS GUZMAN LIDIA MERCEDES</t>
  </si>
  <si>
    <t>01344422</t>
  </si>
  <si>
    <t>CASTILLO CASTILLO DANIEL EFRAIN</t>
  </si>
  <si>
    <t xml:space="preserve">INGENIERO CIVIL </t>
  </si>
  <si>
    <t>02874154</t>
  </si>
  <si>
    <t>CASTILLO NIMA MANUEL FRANCISCO</t>
  </si>
  <si>
    <t>08214149</t>
  </si>
  <si>
    <t>CASTILLO PEÑA ROBERTO</t>
  </si>
  <si>
    <t>09279042</t>
  </si>
  <si>
    <t>CASTRO AMES LUIS ALBERTO</t>
  </si>
  <si>
    <t>00450963</t>
  </si>
  <si>
    <t>CASTRO AYCA DANTE AUSBERTO</t>
  </si>
  <si>
    <t>40911873</t>
  </si>
  <si>
    <t>CASTRO CHUNGA DE MATA JOHANA DENYS</t>
  </si>
  <si>
    <t>ESPECIALISTA EN CONTRATACIONES PÚBLICAS</t>
  </si>
  <si>
    <t>70435612</t>
  </si>
  <si>
    <t>CASTRO MIRANDA LIZETH JOSEFA</t>
  </si>
  <si>
    <t>ESPECIALISTA LEGAL JUNIOR</t>
  </si>
  <si>
    <t>09998749</t>
  </si>
  <si>
    <t>CASTRO VELARDE JACQUELINE VIOLETA</t>
  </si>
  <si>
    <t>01213221</t>
  </si>
  <si>
    <t>CATACORA VELASQUEZ TEOFANO DOMINGO</t>
  </si>
  <si>
    <t>29500615</t>
  </si>
  <si>
    <t>CEBALLOS PACHECO ROMAN GUILLERMO</t>
  </si>
  <si>
    <t>10612713</t>
  </si>
  <si>
    <t>CERPA BARRIGA RIGOBERTO FEDERICO</t>
  </si>
  <si>
    <t>BACHILLER EN INGENIERIA INDUSTRIAL</t>
  </si>
  <si>
    <t>ESPECIALISTA EN GESTION PUBLICA.</t>
  </si>
  <si>
    <t>10359804</t>
  </si>
  <si>
    <t>CHACALTANA ROMERO BEATRIZ DOLORES</t>
  </si>
  <si>
    <t>COORDINADORA DE RECURSOS HUMANOS</t>
  </si>
  <si>
    <t>09541347</t>
  </si>
  <si>
    <t>CHANAME CASTILLO LILIANA MARGOT</t>
  </si>
  <si>
    <t>ESPECIALISTA EN GESTIÓN DE LA CAPACITACIÓN Y RENDIMIENTO</t>
  </si>
  <si>
    <t>43086314</t>
  </si>
  <si>
    <t>CHANG BELTRAN FIORELLA JUDITH</t>
  </si>
  <si>
    <t>LICENCIADA EN PSICOLOGIA</t>
  </si>
  <si>
    <t>00836182</t>
  </si>
  <si>
    <t>CHAVEZ CASIQUE HAMILTON</t>
  </si>
  <si>
    <t>ESPECIALISTA EN INTEGRACION REGIONAL - REGION CAJAMARCA</t>
  </si>
  <si>
    <t>26692241</t>
  </si>
  <si>
    <t>CHAVEZ CASTRO PETER EDUARDO</t>
  </si>
  <si>
    <t>LIC.EN SOCIOLOGIA</t>
  </si>
  <si>
    <t>ASISTENTE DE SOPORTE TECNICO INFORMATICO</t>
  </si>
  <si>
    <t>42447744</t>
  </si>
  <si>
    <t>CHAVEZ ROSALES GUSTAVO CRISANTO</t>
  </si>
  <si>
    <t>JEFE DE LA OFICINA DE PLANEAMIENTO Y PRESUPUESTO</t>
  </si>
  <si>
    <t>40690136</t>
  </si>
  <si>
    <t>CHAVEZ TEJEDA NUBIE MARALI</t>
  </si>
  <si>
    <t>72180537</t>
  </si>
  <si>
    <t>CHILET HIDALGO SHAREEN CAROLINE</t>
  </si>
  <si>
    <t>ANALISTA LEGAL EN GESTION CORPORATIVA</t>
  </si>
  <si>
    <t>45489199</t>
  </si>
  <si>
    <t>CHILET ROSALES KAREM MERCEDES DE LOS MILAGROS</t>
  </si>
  <si>
    <t>40239944</t>
  </si>
  <si>
    <t>CHIRINOS CRUZ DANIEL</t>
  </si>
  <si>
    <t>ESPECIALISTA DE PROCESOS ADMINISTRATIVOS</t>
  </si>
  <si>
    <t>02835405</t>
  </si>
  <si>
    <t>CHIROQUE CRUZ PEDRO JULIO</t>
  </si>
  <si>
    <t xml:space="preserve">INGENIERO INDUSTRIAL </t>
  </si>
  <si>
    <t>20057110</t>
  </si>
  <si>
    <t>CHUMACERO RIVAS JUAN MANUEL</t>
  </si>
  <si>
    <t xml:space="preserve">INGENIERO DE SISTEMAS Y COMPUTACION </t>
  </si>
  <si>
    <t>44804139</t>
  </si>
  <si>
    <t>CHUMBE RAMOS MIGUEL ANGEL</t>
  </si>
  <si>
    <t>LIC.EN PSICOLOGIA</t>
  </si>
  <si>
    <t>COORDINADOR DE PLANEAMIENTO Y MODERNIZACIÓN</t>
  </si>
  <si>
    <t>LICENCIADO EN CIENCIA POLITICA</t>
  </si>
  <si>
    <t>16413262</t>
  </si>
  <si>
    <t>COLCHADO BOLIVAR ARTURO DANIEL</t>
  </si>
  <si>
    <t>INGENIERÍA INDUSTRIAL Y DE SISTEMAS</t>
  </si>
  <si>
    <t>07631080</t>
  </si>
  <si>
    <t>COLLAZOS MUNIVE GLORIA ANGELICA</t>
  </si>
  <si>
    <t>ESPECIALISTA EN PROCESOS ADMINISTRATIVOS</t>
  </si>
  <si>
    <t>40523478</t>
  </si>
  <si>
    <t>COLLINS SALDAÑA HELLEN ELIZABETH</t>
  </si>
  <si>
    <t>LIC.ADMINISTRACION</t>
  </si>
  <si>
    <t>19808020</t>
  </si>
  <si>
    <t>CORDOVA CARRILLO WILFREDO</t>
  </si>
  <si>
    <t>ESPECIALISTA TÉCNICO EN GESTIÓN AMBIENTAL</t>
  </si>
  <si>
    <t>10696621</t>
  </si>
  <si>
    <t>CORDOVA CHUQUIVAL RUBEN ALFREDO</t>
  </si>
  <si>
    <t>ESPECIALISTA LEGAL EN GESTION CORPORATIVA</t>
  </si>
  <si>
    <t>41226704</t>
  </si>
  <si>
    <t>CORDOVA SCHAEFER JESUS JUNIOR</t>
  </si>
  <si>
    <t>ASISTENTE EN SISTEMA DE INFORMACION GEOGRAFICA</t>
  </si>
  <si>
    <t>43819370</t>
  </si>
  <si>
    <t>CORDOVA SERNA JUAN MANUEL</t>
  </si>
  <si>
    <t>BACH.EN INGENIERIA GEOGRAFICA</t>
  </si>
  <si>
    <t>23848878</t>
  </si>
  <si>
    <t>CORIMANYA BARRIO DE MENDOZA PORFIRIO</t>
  </si>
  <si>
    <t>COORDINADOR DE ESTRATEGIAS DE GESTIÓN PARA EMPRESAS PRESTADORAS DE SERVICIO DE SANEAMIENTO</t>
  </si>
  <si>
    <t>ESPECIALISTA DE GESTION DE LA COMPENSACION</t>
  </si>
  <si>
    <t>10117441</t>
  </si>
  <si>
    <t>CORNEJO TOVAR ISMAEL</t>
  </si>
  <si>
    <t>DESARROLLADOR DE SISTEMAS DE INFORMACION</t>
  </si>
  <si>
    <t>16716300</t>
  </si>
  <si>
    <t>CORONEL CHEMPEN ALCIDES NICOLAS</t>
  </si>
  <si>
    <t>21459974</t>
  </si>
  <si>
    <t>CORRALES GALLEGOS EDGAR</t>
  </si>
  <si>
    <t>ABOGADO </t>
  </si>
  <si>
    <t>45124779</t>
  </si>
  <si>
    <t>CRUZ BLAS ERICK JHONATAN</t>
  </si>
  <si>
    <t>33826348</t>
  </si>
  <si>
    <t>CRUZ CASTILLO FRANCISCO</t>
  </si>
  <si>
    <t>ESPECIALISTA EN GESTIÓN ADMINISTRATIVA PARA EL FORTALECIMIENTO DE EPS</t>
  </si>
  <si>
    <t>08110817</t>
  </si>
  <si>
    <t>CURACA FERNANDEZ JAVIER FRANCISCO</t>
  </si>
  <si>
    <t xml:space="preserve">BACHILLER EN CONTABILIDAD </t>
  </si>
  <si>
    <t>23984925</t>
  </si>
  <si>
    <t>CUSI JUAREZ NERY ZULEMA</t>
  </si>
  <si>
    <t>DIRECTOR DE MONITOREO</t>
  </si>
  <si>
    <t>23891976</t>
  </si>
  <si>
    <t>DAVALOS ROBLES LUIS GERMAN</t>
  </si>
  <si>
    <t>TITULO DE INGENIERO CIVIL</t>
  </si>
  <si>
    <t>COORDINADOR DE DIRECCIÓN DE EPS</t>
  </si>
  <si>
    <t>06965930</t>
  </si>
  <si>
    <t>DAVILA SALDARRIAGA JOSE MARIA RAUL</t>
  </si>
  <si>
    <t>ESPECIALISTA EN INTEGRACION REGIONAL - REGION CUSCO</t>
  </si>
  <si>
    <t>41839962</t>
  </si>
  <si>
    <t>DAVILA VELASQUEZ KARINA INES</t>
  </si>
  <si>
    <t>LIC.EN ANTROPOLOGIA</t>
  </si>
  <si>
    <t>15376244</t>
  </si>
  <si>
    <t>DE LA CRUZ CAJO BENITO PABLO</t>
  </si>
  <si>
    <t>07913681</t>
  </si>
  <si>
    <t>DE LAS CASAS RIOS VERONICA ROSA</t>
  </si>
  <si>
    <t>42844408</t>
  </si>
  <si>
    <t>DE LOS SANTOS VASQUEZ KAROL JOSEF</t>
  </si>
  <si>
    <t>JEFE DE LA UNIDAD DE FINANZAS</t>
  </si>
  <si>
    <t>29493790</t>
  </si>
  <si>
    <t>DEL CARPIO DEL CARPIO GRACIELA</t>
  </si>
  <si>
    <t>10653598</t>
  </si>
  <si>
    <t>DEL RIO RUIZ VICTOR SANTOS</t>
  </si>
  <si>
    <t>07275253</t>
  </si>
  <si>
    <t>DELGADO CAMPOS ORLANDO</t>
  </si>
  <si>
    <t>ESPECIALISTA EN INTEGRACION</t>
  </si>
  <si>
    <t>46317872</t>
  </si>
  <si>
    <t>DELGADO MONTERO OMAYRA DEL CARMEN</t>
  </si>
  <si>
    <t>LIC,EN ADMINISTRACION DE EMPRESAS</t>
  </si>
  <si>
    <t>40424979</t>
  </si>
  <si>
    <t>DIAZ CALDERON BETZY ROSA</t>
  </si>
  <si>
    <t>LICENCIADA EN ADMINISTRACIÓN</t>
  </si>
  <si>
    <t>ANALISTA PROGRAMADOR DE SISTEMAS</t>
  </si>
  <si>
    <t>19189971</t>
  </si>
  <si>
    <t>DIAZ ESPINOZA JAIME GUILLERMO</t>
  </si>
  <si>
    <t>ING.DE SISTEMAS Y SEGURIDAD INFORMATICA</t>
  </si>
  <si>
    <t>40054976</t>
  </si>
  <si>
    <t>DIAZ GOMEZ LUIS ALBERTO</t>
  </si>
  <si>
    <t>42622260</t>
  </si>
  <si>
    <t>DIAZ RODRIGUEZ SEBASTIAN</t>
  </si>
  <si>
    <t xml:space="preserve">LICENCIADO EN PSICOLOGIA </t>
  </si>
  <si>
    <t>29617335</t>
  </si>
  <si>
    <t>DIONICIO GUEVARA MOISES ELEAZAR</t>
  </si>
  <si>
    <t>40394234</t>
  </si>
  <si>
    <t>DUEÑAS ENRIQUEZ MILTON GODOFREDO</t>
  </si>
  <si>
    <t>EXPERTO EN GESTION DE MONITOREO</t>
  </si>
  <si>
    <t>10812824</t>
  </si>
  <si>
    <t>ELIAS SALAS ELBA CORINA</t>
  </si>
  <si>
    <t>SUPERVISOR DE DESCOLMATACIÓN DE REDES DE ALCANTARILLADO</t>
  </si>
  <si>
    <t>41631979</t>
  </si>
  <si>
    <t>ELLIOTT QUISPE JULIO JAVIER DANIEL</t>
  </si>
  <si>
    <t>INGENIERO AGROINDUSTRIAL</t>
  </si>
  <si>
    <t>42455337</t>
  </si>
  <si>
    <t>ENRIQUEZ ALIAGA CLARIBEL</t>
  </si>
  <si>
    <t xml:space="preserve">LICENCIADA EN HISTORIA </t>
  </si>
  <si>
    <t>16805150</t>
  </si>
  <si>
    <t>ENRIQUEZ CALDERÓN ROBERTO ALONSO</t>
  </si>
  <si>
    <t>10460884</t>
  </si>
  <si>
    <t>ENRIQUEZ MUÑOZ DINO MICHAEL</t>
  </si>
  <si>
    <t>DIRECTOR DE OPERACIONES</t>
  </si>
  <si>
    <t>07309466</t>
  </si>
  <si>
    <t>ENZIAN SANSUY RUBEN HUMBERTO</t>
  </si>
  <si>
    <t>ESPECIALISTA EN SALUD OCUPACIONAL Y SEGURIDAD Y SALUD EN EL TRABAJO</t>
  </si>
  <si>
    <t>21536684</t>
  </si>
  <si>
    <t>ERAS LEVANO CESAR JESUS</t>
  </si>
  <si>
    <t>07644081</t>
  </si>
  <si>
    <t>ESCOBEDO GUIELAC MANUEL</t>
  </si>
  <si>
    <t>LICENCIADO EN EDUCACION SECUNDARIA </t>
  </si>
  <si>
    <t>ESPECIALISTA ELECTROMECANICO</t>
  </si>
  <si>
    <t>23870682</t>
  </si>
  <si>
    <t>ESCOBEDO SILVA ROGER ANTONIO</t>
  </si>
  <si>
    <t>ING.ELECTIRCISTA</t>
  </si>
  <si>
    <t>ESPECIALISTA SENIOR DE CONTROL GUBERNAMENTAL</t>
  </si>
  <si>
    <t>22270296</t>
  </si>
  <si>
    <t>ESPINO MARTÍNEZ JORGE GUILLERMO</t>
  </si>
  <si>
    <t>21450894</t>
  </si>
  <si>
    <t>ESPINOZA CABRERA MANUEL EMILIO</t>
  </si>
  <si>
    <t>31669872</t>
  </si>
  <si>
    <t>ESPIRITU CASTILLO OSCAR UGALINO</t>
  </si>
  <si>
    <t>ING.EN INDUSTRIAS ALIMENTARIAS</t>
  </si>
  <si>
    <t>40215658</t>
  </si>
  <si>
    <t>ESTEBAN CAMPODONICO TANIA</t>
  </si>
  <si>
    <t>ESPECIALISTA TECNICO EN TEMAS AMBIENTALES</t>
  </si>
  <si>
    <t>09559898</t>
  </si>
  <si>
    <t>ESTEBAN VALERIO MARIA JULIA</t>
  </si>
  <si>
    <t>ING.SANITARIO</t>
  </si>
  <si>
    <t>17531362</t>
  </si>
  <si>
    <t>FANZO NIQUEN MIGUEL NICOLAS</t>
  </si>
  <si>
    <t>ING.QUIMICO</t>
  </si>
  <si>
    <t>46419690</t>
  </si>
  <si>
    <t>FARFAN HERMOZA ANDREE FERDINAND</t>
  </si>
  <si>
    <t>JEFE DE LA OFICINA DE ADMINISTRACIÓN</t>
  </si>
  <si>
    <t>07769638</t>
  </si>
  <si>
    <t>FERNANDEZ  CARDENAS MARIA LUZ</t>
  </si>
  <si>
    <t>41834450</t>
  </si>
  <si>
    <t>FERNANDEZ CRUZ MARILU FRANCISCA</t>
  </si>
  <si>
    <t>BACH.EN CONTABILIDAD Y FINANZAS</t>
  </si>
  <si>
    <t>10542217</t>
  </si>
  <si>
    <t>FERNANDEZ ESPINOZA ROCIO MIRTHA</t>
  </si>
  <si>
    <t>ESPECIALISTA EN GESTIÓN CORPORATIVA</t>
  </si>
  <si>
    <t>44225661</t>
  </si>
  <si>
    <t>FERNANDEZ FACUNDO DIANA CAROLINA</t>
  </si>
  <si>
    <t>ESPECIALISTA INSTITUCIONAL</t>
  </si>
  <si>
    <t>25790967</t>
  </si>
  <si>
    <t>FERNANDEZ GARAY CESAR ALBERTO</t>
  </si>
  <si>
    <t>25772213</t>
  </si>
  <si>
    <t>FERNANDEZ GARAY JAIME MIGUEL</t>
  </si>
  <si>
    <t>ABOGADO/licenciado en administracion</t>
  </si>
  <si>
    <t>29440636</t>
  </si>
  <si>
    <t>FERNANDEZ NINA ARTURO ERNESTO</t>
  </si>
  <si>
    <t>47203576</t>
  </si>
  <si>
    <t>FERREL CORRALES PAOLA AMELIA</t>
  </si>
  <si>
    <t>LIC.EN RELACIONES INDUSTRIALES</t>
  </si>
  <si>
    <t>ESPECIALISTA EN INTEGRACION REGIONAL - REGION LIMA</t>
  </si>
  <si>
    <t>10669141</t>
  </si>
  <si>
    <t>FIDEL ÑAHUIN BLINDER</t>
  </si>
  <si>
    <t>EJECUTIVO EN GESTION CORPORATIVA</t>
  </si>
  <si>
    <t>40894246</t>
  </si>
  <si>
    <t>FLORES CARCAGNO AMADEO JAVIER</t>
  </si>
  <si>
    <t>GERENTE LEGAL</t>
  </si>
  <si>
    <t>40736978</t>
  </si>
  <si>
    <t>FLORES CHIRINOS HUBERT ALFREDO</t>
  </si>
  <si>
    <t>41213286</t>
  </si>
  <si>
    <t>FLORES LOPEZ THONY</t>
  </si>
  <si>
    <t>00101422</t>
  </si>
  <si>
    <t>FLORES PERDOMO JULITA PATRICIA</t>
  </si>
  <si>
    <t>ESPECIALISTA EN PROCESOS DE SELECCIÓN</t>
  </si>
  <si>
    <t>15756040</t>
  </si>
  <si>
    <t>FLORES PEREZ HUMBER HERNAN</t>
  </si>
  <si>
    <t>ESPECIALISTA EN COMUNICACION</t>
  </si>
  <si>
    <t>42084304</t>
  </si>
  <si>
    <t>FLORES RIOS LUIS ANGELO</t>
  </si>
  <si>
    <t>LIC.EN PERIODISMO</t>
  </si>
  <si>
    <t>42666325</t>
  </si>
  <si>
    <t>FLORES SALAS DIANA</t>
  </si>
  <si>
    <t>04742196</t>
  </si>
  <si>
    <t>GALINDO VERA ALBERTO MARTIN</t>
  </si>
  <si>
    <t>08344101</t>
  </si>
  <si>
    <t>GARCIA ARENAS ANGEL</t>
  </si>
  <si>
    <t>22423184</t>
  </si>
  <si>
    <t>GARCIA CARDICH JOSE LUIS</t>
  </si>
  <si>
    <t>21431132</t>
  </si>
  <si>
    <t>GARCIA CHACALTANA BETTY ROSANA</t>
  </si>
  <si>
    <t xml:space="preserve">LICENCIADO EN ADMINISTRACION </t>
  </si>
  <si>
    <t>01149441</t>
  </si>
  <si>
    <t>GARCIA HIDALGO MARIA ISABEL</t>
  </si>
  <si>
    <t>45065354</t>
  </si>
  <si>
    <t>GARCIA HUAYANAY FREDY RICHARD</t>
  </si>
  <si>
    <t>ESPECIALISTA DE EVALUACIÓN</t>
  </si>
  <si>
    <t>25745181</t>
  </si>
  <si>
    <t>GARCIA VILLEGAS HECTOR VLADYR</t>
  </si>
  <si>
    <t>ESPECIALISTA DE GESTION DEL EMPLEO</t>
  </si>
  <si>
    <t>09597911</t>
  </si>
  <si>
    <t>GAVE ZARATE MARIO ALBERTO1</t>
  </si>
  <si>
    <t>GAVE ZARATE MARIO ALBERTO</t>
  </si>
  <si>
    <t>20050993</t>
  </si>
  <si>
    <t>GOETENDIA ALARCON MIGUEL ANGEL</t>
  </si>
  <si>
    <t xml:space="preserve">ECONOMISTA </t>
  </si>
  <si>
    <t>08144862</t>
  </si>
  <si>
    <t>GOMEZ RINCON LUIS HARRINZON</t>
  </si>
  <si>
    <t>10482390</t>
  </si>
  <si>
    <t>GONZALES JURADO MARIA ELENA</t>
  </si>
  <si>
    <t>42480504</t>
  </si>
  <si>
    <t>GONZALES ZEGARRA URSULA GRIGORIEVNA</t>
  </si>
  <si>
    <t>42642873</t>
  </si>
  <si>
    <t>GRANADA CHAHUA DANILO CARLOS</t>
  </si>
  <si>
    <t>ESPECIALISTA TÉCNICO EN INTEGRACIÓN</t>
  </si>
  <si>
    <t>40323670</t>
  </si>
  <si>
    <t>GUARDAMINO RIOS IVAN</t>
  </si>
  <si>
    <t>42114268</t>
  </si>
  <si>
    <t>GUERRERO CHUMACERO JORGE</t>
  </si>
  <si>
    <t>40782554</t>
  </si>
  <si>
    <t>GUEVARA GUERRERO VIKTOR FILEMON</t>
  </si>
  <si>
    <t>GERENTE DE ASESORIA JURIDICA</t>
  </si>
  <si>
    <t>GUILLEN CAJO JUAN CIRILO</t>
  </si>
  <si>
    <t>09888217</t>
  </si>
  <si>
    <t>GUZMAN HERRERA MERCEDES</t>
  </si>
  <si>
    <t>ESPECIALISTA EN CATASTRO COMERCIAL</t>
  </si>
  <si>
    <t>23956632</t>
  </si>
  <si>
    <t>GUZMAN VALLENAS JESUS</t>
  </si>
  <si>
    <t>70450084</t>
  </si>
  <si>
    <t>HERNÁNDEZ CRUZ GRACIELA EDELMIRA DEL PILAR</t>
  </si>
  <si>
    <t>00240959</t>
  </si>
  <si>
    <t>HERRERA RAMIREZ CAROLA LILLET</t>
  </si>
  <si>
    <t>06818833</t>
  </si>
  <si>
    <t>HERRERA RAMOS MARCELO TEODORO</t>
  </si>
  <si>
    <t>09801451</t>
  </si>
  <si>
    <t>HITO ZUÑIGA EMILIO JOSE</t>
  </si>
  <si>
    <t>INGENIERO MECANICO DE FLUIDOS</t>
  </si>
  <si>
    <t>08206671</t>
  </si>
  <si>
    <t>HOYOS DE VINATEA LUIS</t>
  </si>
  <si>
    <t>21858707</t>
  </si>
  <si>
    <t>HUAMAN CASANOVA ROLANDO NELSON</t>
  </si>
  <si>
    <t>INGENERIO CIVIL</t>
  </si>
  <si>
    <t>41588794</t>
  </si>
  <si>
    <t>HUANAY ECOS CYNTHIA PAMELA</t>
  </si>
  <si>
    <t>BACHILLER EN ADMINISTRACIÓN DE EMPRESAS</t>
  </si>
  <si>
    <t>07938942</t>
  </si>
  <si>
    <t>IBERICO OCAMPO MARIA DEL PILAR</t>
  </si>
  <si>
    <t>19922395</t>
  </si>
  <si>
    <t>INGA ORE FROYLAN</t>
  </si>
  <si>
    <t>ESPECIALISTA EN AGUA POTABLE Y ALCANTARILLADO</t>
  </si>
  <si>
    <t>16723907</t>
  </si>
  <si>
    <t>IRIGOYEN TENORIO MANUEL</t>
  </si>
  <si>
    <t>ING.CIVIL</t>
  </si>
  <si>
    <t>15582764</t>
  </si>
  <si>
    <t>ISIQUE BARRERA MANUEL HUGO</t>
  </si>
  <si>
    <t>09722647</t>
  </si>
  <si>
    <t>JAVIER CASTRO RAUL RUBEN</t>
  </si>
  <si>
    <t>03887924</t>
  </si>
  <si>
    <t>JIMENEZ VALLADARES AUGUSTO</t>
  </si>
  <si>
    <t>04644377</t>
  </si>
  <si>
    <t>JUAREZ ALFARO CARLOS ALBERTO</t>
  </si>
  <si>
    <t>10621651</t>
  </si>
  <si>
    <t>JURADO DUEÑAS MIRKO FELIX</t>
  </si>
  <si>
    <t>42759197</t>
  </si>
  <si>
    <t>KONG VENEGAS JORGE</t>
  </si>
  <si>
    <t>KONG VENEGAS JORGE1</t>
  </si>
  <si>
    <t>22401943</t>
  </si>
  <si>
    <t>LAGUNA Y MORENO EDGARD</t>
  </si>
  <si>
    <t>30836307</t>
  </si>
  <si>
    <t>LAM TORRES MILAGROS EUGENIA</t>
  </si>
  <si>
    <t>QUIMICO FARMACEUTICO</t>
  </si>
  <si>
    <t>40562524</t>
  </si>
  <si>
    <t>LAMA SALOMON MELISSA THALIA YAMILE</t>
  </si>
  <si>
    <t>71933994</t>
  </si>
  <si>
    <t>LANAZCA OREJON ROBERT</t>
  </si>
  <si>
    <t>16734861</t>
  </si>
  <si>
    <t>LEON ZAPATA SEGUNDO PEDRO</t>
  </si>
  <si>
    <t>ESPECIALISTA TÉCNICO EN REFLOTAMIENTO</t>
  </si>
  <si>
    <t>41050202</t>
  </si>
  <si>
    <t>LEYVA RAMIREZ SABY MARIELA</t>
  </si>
  <si>
    <t>42148191</t>
  </si>
  <si>
    <t>LIMAYLLA HUISA SERGIO RODRIGO</t>
  </si>
  <si>
    <t>04432662</t>
  </si>
  <si>
    <t>LINARES MANCHEGO RAUL ADOLFO</t>
  </si>
  <si>
    <t>02685066</t>
  </si>
  <si>
    <t>LIZANA CALLE WILSON SAMUEL</t>
  </si>
  <si>
    <t>COORDINADOR DE PROCESOS</t>
  </si>
  <si>
    <t>02775824</t>
  </si>
  <si>
    <t>LIZANA PUELLES GILMAR AUGUSTO</t>
  </si>
  <si>
    <t>ING.INDUSTRIAL</t>
  </si>
  <si>
    <t>ESPECIALISTA COMERCIAL</t>
  </si>
  <si>
    <t>00496840</t>
  </si>
  <si>
    <t>LLANOS LOPEZ ELVIS OMAR</t>
  </si>
  <si>
    <t xml:space="preserve">ING.DE SISTEMAS </t>
  </si>
  <si>
    <t>LLANOS LOPEZ ELVIS OMAR1</t>
  </si>
  <si>
    <t>40514265</t>
  </si>
  <si>
    <t>LOPEZ DAMASO MARIA LIZ</t>
  </si>
  <si>
    <t xml:space="preserve">INGENIERO SANITARIO </t>
  </si>
  <si>
    <t>40932273</t>
  </si>
  <si>
    <t>LOPEZ LOZANO LENY LUZ</t>
  </si>
  <si>
    <t>40083057</t>
  </si>
  <si>
    <t>LOPEZ PALOMINO JOSE LUIS</t>
  </si>
  <si>
    <t>ESPECIALISTA EN SEGUIMIENTO Y GESTIÓN PRESUPUESTAL</t>
  </si>
  <si>
    <t>06844252</t>
  </si>
  <si>
    <t>LUYA ESTRADA ULISES TADEO</t>
  </si>
  <si>
    <t>08147679</t>
  </si>
  <si>
    <t>MACERA ARONES ALDO GIOVANNI</t>
  </si>
  <si>
    <t>46689174</t>
  </si>
  <si>
    <t>MACHACA SURCO RITA MARIBEL</t>
  </si>
  <si>
    <t>LICENCIADA EN ADMINISTRACION Y MARKETING</t>
  </si>
  <si>
    <t>42632484</t>
  </si>
  <si>
    <t>MACHACUAY CRISOSTOMO JHONNY JUSTO</t>
  </si>
  <si>
    <t>09932289</t>
  </si>
  <si>
    <t>MACHUCA ROMERO YOVANNA CARMEN</t>
  </si>
  <si>
    <t>ESPECIALISTA EN GESTIÓN DE LOS SISTE. AGUA POT. Y ALCANTARILLADO SANITARIO</t>
  </si>
  <si>
    <t>40413008</t>
  </si>
  <si>
    <t>MAGUIÑA FLORES RICARDO SAUL</t>
  </si>
  <si>
    <t>10282874</t>
  </si>
  <si>
    <t>MALDONADO AYRES GUSTAVO ANTONIO</t>
  </si>
  <si>
    <t>ESPECIALISTA LEGAL EN GESTION PUBLICA</t>
  </si>
  <si>
    <t>40559313</t>
  </si>
  <si>
    <t>MANDUJANO LUJAN NATALY YUDMILA</t>
  </si>
  <si>
    <t>08461890</t>
  </si>
  <si>
    <t>MANRIQUE REYES JUAN DE DIOS</t>
  </si>
  <si>
    <t>41650719</t>
  </si>
  <si>
    <t>MARIN ARAYA FRANCISCO SAMUEL</t>
  </si>
  <si>
    <t>COORDINADOR DE APOYO A LA SOST - CENTRO</t>
  </si>
  <si>
    <t>19896132</t>
  </si>
  <si>
    <t>MARMANILLO BUSTAMANTE FELIX DOMINGO</t>
  </si>
  <si>
    <t>45469494</t>
  </si>
  <si>
    <t>MEDINA BARDALEZ KEILA</t>
  </si>
  <si>
    <t>04748350</t>
  </si>
  <si>
    <t>MEDINA DURAND EDGAR DIONEL</t>
  </si>
  <si>
    <t>INGENIERIO INDUSTRIAL</t>
  </si>
  <si>
    <t>10346339</t>
  </si>
  <si>
    <t>MEDINA QUESQUEN JULIO ENRIQUE</t>
  </si>
  <si>
    <t>LICENCIADO EN COMUNICACIÓN Y MARKETING</t>
  </si>
  <si>
    <t>15762779</t>
  </si>
  <si>
    <t>MEJIA PINO VICTOR RAUL</t>
  </si>
  <si>
    <t>23984161</t>
  </si>
  <si>
    <t>MENACHO NAVARRETE BILL HERLING</t>
  </si>
  <si>
    <t>ESPECIALISTA EN GESTIÓN ECONÓMICA</t>
  </si>
  <si>
    <t>09997908</t>
  </si>
  <si>
    <t>MENDOZA CABRERA JORGE LUIS</t>
  </si>
  <si>
    <t>21413912</t>
  </si>
  <si>
    <t>MENDOZA DE CORNEJO SONIA ELIANA</t>
  </si>
  <si>
    <t>07226335</t>
  </si>
  <si>
    <t>MENDOZA DE IBARRA JANET LUCIA</t>
  </si>
  <si>
    <t>43498435</t>
  </si>
  <si>
    <t>MENDOZA MALLQUI VICTOR SAÚL</t>
  </si>
  <si>
    <t>17440260</t>
  </si>
  <si>
    <t>MENDOZA MORETO JUAN FERNANDO</t>
  </si>
  <si>
    <t>41626770</t>
  </si>
  <si>
    <t>MENDOZA SANCHEZ JOSE LUIS</t>
  </si>
  <si>
    <t>40038838</t>
  </si>
  <si>
    <t>MENESES CASTAÑEDA KARLA MAGALY</t>
  </si>
  <si>
    <t>04640043</t>
  </si>
  <si>
    <t>MENESES MOSTAJO MARIA ROSA</t>
  </si>
  <si>
    <t>ANALISTA PATRIMONIAL</t>
  </si>
  <si>
    <t>10359676</t>
  </si>
  <si>
    <t>MERCADO CERVERA RONALD ALFREDO</t>
  </si>
  <si>
    <t>BACHILLER EN ADMINISTRACIÓN Y SISTEMAS</t>
  </si>
  <si>
    <t>33432237</t>
  </si>
  <si>
    <t>MESTANZA IBERICO CARLOS ALBERTO</t>
  </si>
  <si>
    <t>INGENIERO AGRÓNOMO</t>
  </si>
  <si>
    <t>18120728</t>
  </si>
  <si>
    <t>MILLA RISCO GIOVANNI ELOY</t>
  </si>
  <si>
    <t>10105283</t>
  </si>
  <si>
    <t>MIRANDA GOMEZ GERSON JUSTO</t>
  </si>
  <si>
    <t>28306592</t>
  </si>
  <si>
    <t>MITMA HUAMANI MARIANO</t>
  </si>
  <si>
    <t>25713914</t>
  </si>
  <si>
    <t>MONTALVO FALCON JUAN ANULFO</t>
  </si>
  <si>
    <t>08135268</t>
  </si>
  <si>
    <t>MONTENEGRO MARCELO ENRIQUE</t>
  </si>
  <si>
    <t xml:space="preserve">INGENIERO DE SISTEMAS / INGENIERO INDUSTRIAL </t>
  </si>
  <si>
    <t>ESPECIALISTA EN PERIODISMO DIGITAL</t>
  </si>
  <si>
    <t>44129562</t>
  </si>
  <si>
    <t>MONTES BENITES MIGUEL ANGEL</t>
  </si>
  <si>
    <t>41845135</t>
  </si>
  <si>
    <t>MONTES NUÑOVERO PAOLA DEL PILAR</t>
  </si>
  <si>
    <t>JEFE DE LA UNIDAD DE ABASTECIMIENTO</t>
  </si>
  <si>
    <t>07497628</t>
  </si>
  <si>
    <t>MONTESINOS DELGADO FLOR MICHELE</t>
  </si>
  <si>
    <t>46081240</t>
  </si>
  <si>
    <t>MORE TARRILLO MARIA JUDITH</t>
  </si>
  <si>
    <t>07828058</t>
  </si>
  <si>
    <t>MORENO RODRIGUEZ FIDEL AUGUSTO</t>
  </si>
  <si>
    <t>41889422</t>
  </si>
  <si>
    <t>MORENO ROJAS LADY DIANA</t>
  </si>
  <si>
    <t>23858790</t>
  </si>
  <si>
    <t>MORMONTOY GONZALES DANTE</t>
  </si>
  <si>
    <t>ASESORA DE LA DIRECCIÓN EJECUTIVA</t>
  </si>
  <si>
    <t>15848613</t>
  </si>
  <si>
    <t>MORRIS CASTILLO BEBELÚ ROCÍO</t>
  </si>
  <si>
    <t>40449970</t>
  </si>
  <si>
    <t>MUÑOZ LOPEZ RAUL</t>
  </si>
  <si>
    <t>19998409</t>
  </si>
  <si>
    <t>MURILLO HUAMAN VICTOR</t>
  </si>
  <si>
    <t>INGENIERO ELECTRICISTA</t>
  </si>
  <si>
    <t>41188835</t>
  </si>
  <si>
    <t>NAJARRO ALCARRAZ ALFREDO DONATO</t>
  </si>
  <si>
    <t>40081763</t>
  </si>
  <si>
    <t>NAMUCHE MANDARE EDGAR WILLIAM</t>
  </si>
  <si>
    <t>29608252</t>
  </si>
  <si>
    <t>NORIEGA FLORES JUAN CARLOS</t>
  </si>
  <si>
    <t>23904988</t>
  </si>
  <si>
    <t>NUÑEZ DEL PRADO COLL CÁRDENAS MARCO ANTONIO</t>
  </si>
  <si>
    <t>72323156</t>
  </si>
  <si>
    <t>NUÑEZ NEYRA PAULA ARMINDA</t>
  </si>
  <si>
    <t>LIC.EN CIENCIAS DE LA COMUN.</t>
  </si>
  <si>
    <t>23872234</t>
  </si>
  <si>
    <t>NUÑEZ Y ALVAREZ JAIME ROBERTO</t>
  </si>
  <si>
    <t>41744688</t>
  </si>
  <si>
    <t>OCHANTE SURICHAQUI LUIS ALBERTO</t>
  </si>
  <si>
    <t>41280270</t>
  </si>
  <si>
    <t>ODAR BANCES JESUS ALBERTO</t>
  </si>
  <si>
    <t>ESPECIALISTA DE EVALUACION.</t>
  </si>
  <si>
    <t>40651880</t>
  </si>
  <si>
    <t>OGATA BRAVO ANTHONY MARCELL</t>
  </si>
  <si>
    <t>COORDINADOR DE EVALUACION</t>
  </si>
  <si>
    <t>41015620</t>
  </si>
  <si>
    <t>OJEDA YAURI RAFAEL CHRISTHIAN</t>
  </si>
  <si>
    <t>GERENTE DE ADMINISTRACION</t>
  </si>
  <si>
    <t>OLARTE SANCHEZ VICTOR</t>
  </si>
  <si>
    <t>45111702</t>
  </si>
  <si>
    <t>OLIBOS GARCÍA DANY DANIEL</t>
  </si>
  <si>
    <t>ESPECIALISTA EN CONTRATACIONES PUBLICAS</t>
  </si>
  <si>
    <t>40348603</t>
  </si>
  <si>
    <t>OLIVERA ENRIQUEZ GERBERT ORLANDO</t>
  </si>
  <si>
    <t>ESPECIALISTA SENIOR EN CONTRATACIONES DEL ESTADO</t>
  </si>
  <si>
    <t>09651486</t>
  </si>
  <si>
    <t>OLORTEGUI CASTILLO VICTOR MANUEL</t>
  </si>
  <si>
    <t>42971657</t>
  </si>
  <si>
    <t>ORELLANA CASAS JHONATAN JORGE</t>
  </si>
  <si>
    <t>40302569</t>
  </si>
  <si>
    <t>ORJEDA PEREDA RAUL ENRIQUE</t>
  </si>
  <si>
    <t>COORDINADORA DE CONTABILIDAD</t>
  </si>
  <si>
    <t>09996316</t>
  </si>
  <si>
    <t>ORTEGA VERA GIOVANNA MARIBEL</t>
  </si>
  <si>
    <t>06802072</t>
  </si>
  <si>
    <t>ORTIZ HUILCAYA ANTONIO ABAD</t>
  </si>
  <si>
    <t>23864240</t>
  </si>
  <si>
    <t>ORTIZ SOTO ALDO</t>
  </si>
  <si>
    <t>09634956</t>
  </si>
  <si>
    <t>OSHIRO RODRIGUEZ JUAN ALBERTO</t>
  </si>
  <si>
    <t>46179474</t>
  </si>
  <si>
    <t>PABLO SALVADOR JULIA</t>
  </si>
  <si>
    <t>ESPECIALISTA EN GOBIERNO CORPORATIVO</t>
  </si>
  <si>
    <t>42352032</t>
  </si>
  <si>
    <t>PACHECO SALVADOR JORGE FERNANDO</t>
  </si>
  <si>
    <t>46524152</t>
  </si>
  <si>
    <t>PAIRAZAMAN GRADOS LUIS DANIEL</t>
  </si>
  <si>
    <t>CONTADOR PÚBLICO</t>
  </si>
  <si>
    <t>ESPECIALISTA EN ARTICULACIÓN Y GESTIÓN DE LA INTEGRACIÓN</t>
  </si>
  <si>
    <t>23923776</t>
  </si>
  <si>
    <t>PAIVA VILLAFUERTE JUAN</t>
  </si>
  <si>
    <t xml:space="preserve">LICENCIADO EN ANTROPOLOGIA </t>
  </si>
  <si>
    <t>74982857</t>
  </si>
  <si>
    <t>PALACIOS QUISPE JEEF EDUARD</t>
  </si>
  <si>
    <t>ESPECIALISTA EN GESTION CORPORATIVA</t>
  </si>
  <si>
    <t>PALMA ENCALADA DEIVIS</t>
  </si>
  <si>
    <t>25849754</t>
  </si>
  <si>
    <t>PALMADERA ROMERO DORIS FABIOLA</t>
  </si>
  <si>
    <t>23984395</t>
  </si>
  <si>
    <t>PALOMINO MIRANDA MILAGROS</t>
  </si>
  <si>
    <t>ESPECIALISTA LEGAL EN PLANEAMIENTO Y PRESUPUESTO</t>
  </si>
  <si>
    <t>09617004</t>
  </si>
  <si>
    <t>PARRA TORIBIO MONICA</t>
  </si>
  <si>
    <t>ESPECIALISTA DE IMPLEMENTACIÓN EN APLICACIONES INFORMATICAS</t>
  </si>
  <si>
    <t>10323238</t>
  </si>
  <si>
    <t>PASTOR MONIER ERNESTO JOHNNATAN</t>
  </si>
  <si>
    <t>ING. INFORMATICO</t>
  </si>
  <si>
    <t>EXPERTO EN GESTIÓN DE RECURSOS HUMANOS PARA EPS</t>
  </si>
  <si>
    <t>09339355</t>
  </si>
  <si>
    <t>PATIÑO GUEVARA MILAGROS DEL PILAR</t>
  </si>
  <si>
    <t>09089655</t>
  </si>
  <si>
    <t>PERALTA QUINTANA JAIME</t>
  </si>
  <si>
    <t>27660447</t>
  </si>
  <si>
    <t>PEREZ CASTILLO MIRIAM</t>
  </si>
  <si>
    <t>21429857</t>
  </si>
  <si>
    <t>PEREZ CHACALIAZA ALBERTO LUIS</t>
  </si>
  <si>
    <t xml:space="preserve">CONTADOR PUBLICO </t>
  </si>
  <si>
    <t>PEREZ CHACALIAZA ALBERTO LUIS1</t>
  </si>
  <si>
    <t>ESPECIALISTA EN EJECUCION CONTRACTUAL</t>
  </si>
  <si>
    <t>40594522</t>
  </si>
  <si>
    <t>PEREZ FERNANDEZ ELENA MARITZA</t>
  </si>
  <si>
    <t>09949063</t>
  </si>
  <si>
    <t>PEREZ PAMUSENA JUAN DE LA CRUZ ALEXIS</t>
  </si>
  <si>
    <t>BACH.ECONOMIA</t>
  </si>
  <si>
    <t>40062176</t>
  </si>
  <si>
    <t>PÉREZ SÁNCHEZ SAMUEL</t>
  </si>
  <si>
    <t>BACHILLER ADMINISTRACION</t>
  </si>
  <si>
    <t>29664024</t>
  </si>
  <si>
    <t>PINTO SANTOS EDGAR TEMISTOCLES</t>
  </si>
  <si>
    <t>45679292</t>
  </si>
  <si>
    <t>PIZARRO CCOA ALBERTO</t>
  </si>
  <si>
    <t>80086031</t>
  </si>
  <si>
    <t>POMALAZO CORDOVA ALEX FRANKLIN</t>
  </si>
  <si>
    <t>10188981</t>
  </si>
  <si>
    <t>PONCE ABARCA ANA MARIA</t>
  </si>
  <si>
    <t xml:space="preserve">INGENIERO QUIMICO </t>
  </si>
  <si>
    <t>07721436</t>
  </si>
  <si>
    <t>PONCE ZENTENO VICTOR DAVID</t>
  </si>
  <si>
    <t>41199432</t>
  </si>
  <si>
    <t>PORTOCARRERO CONTRERAS CARLOS JESUS</t>
  </si>
  <si>
    <t>COORDINADORA DE PRESUPUESTO</t>
  </si>
  <si>
    <t>42768855</t>
  </si>
  <si>
    <t>PRADO  CAJALEON MAGUIÑA</t>
  </si>
  <si>
    <t>ANALISTA EN REDES E INFRAESTRUCTURA TECNOLÓGICA</t>
  </si>
  <si>
    <t>41599817</t>
  </si>
  <si>
    <t>QUIROZ TUEROS HEBER RUBEN</t>
  </si>
  <si>
    <t>INGENIERO DE SISTEMAS Y COMPUTO</t>
  </si>
  <si>
    <t>ANALISTA DE GESTION DE SERVICIOS DE TECNOLOGIAS DE LA INFORMACION</t>
  </si>
  <si>
    <t>44004782</t>
  </si>
  <si>
    <t>QUISPE CASTILLON PEDRO JESUS</t>
  </si>
  <si>
    <t>ING.DE COMPUTACION Y SISTEMAS</t>
  </si>
  <si>
    <t>10411006</t>
  </si>
  <si>
    <t>QUISPE FLORES ELOY</t>
  </si>
  <si>
    <t>ANALISTA EN GESTIÓN DE RECURSOS HUMANOS</t>
  </si>
  <si>
    <t>43729543</t>
  </si>
  <si>
    <t>RAEZ CASABONA EDMEE</t>
  </si>
  <si>
    <t>06803770</t>
  </si>
  <si>
    <t>RAMIREZ ARCA JANET DEL ROCIO</t>
  </si>
  <si>
    <t>41975943</t>
  </si>
  <si>
    <t>RAMIREZ BRONCANO AGHELY KREESKION</t>
  </si>
  <si>
    <t>47422511</t>
  </si>
  <si>
    <t>RAMIREZ CHOQUE HECTOR EDUARDO</t>
  </si>
  <si>
    <t>01159819</t>
  </si>
  <si>
    <t>RAMIREZ GARCIA MANUEL ANGEL</t>
  </si>
  <si>
    <t>00822290</t>
  </si>
  <si>
    <t>RAMIREZ MAS FAUSTINO</t>
  </si>
  <si>
    <t>25837383</t>
  </si>
  <si>
    <t>RAMIREZ MORENO RICARDO FRANCISCO</t>
  </si>
  <si>
    <t>09649291</t>
  </si>
  <si>
    <t>RAMOS CHUNGUE DIONICIO ALBERTO</t>
  </si>
  <si>
    <t>09982546</t>
  </si>
  <si>
    <t>RAMOS DE LA CRUZ ELIZABETH</t>
  </si>
  <si>
    <t>43460216</t>
  </si>
  <si>
    <t>RETUERTO ARANA PAMELA LISETH</t>
  </si>
  <si>
    <t>08167444</t>
  </si>
  <si>
    <t>REYES PEREZ MARIBEL ROSA</t>
  </si>
  <si>
    <t>BACHILLER EN COMUNICACIÓN SOCIAL</t>
  </si>
  <si>
    <t>07583612</t>
  </si>
  <si>
    <t>RIOS CHINCHIHUALPA EDUARDO</t>
  </si>
  <si>
    <t>23838627</t>
  </si>
  <si>
    <t>RIOS MAYORGA MARIO</t>
  </si>
  <si>
    <t>LIC.EN ADMINISTRACION</t>
  </si>
  <si>
    <t>00413322</t>
  </si>
  <si>
    <t>RIOS MORA ADOLFO</t>
  </si>
  <si>
    <t>41501383</t>
  </si>
  <si>
    <t>RIOS SILVA MARJORIE</t>
  </si>
  <si>
    <t>42768171</t>
  </si>
  <si>
    <t>RIVERA TARAZONA ANTHONY JEFFERSON</t>
  </si>
  <si>
    <t>ESPECIALISTA FINANCIERO INSTITUCIONAL</t>
  </si>
  <si>
    <t>04637131</t>
  </si>
  <si>
    <t>RIVERA VERA CESAR EDUARDO</t>
  </si>
  <si>
    <t>ESPECIALISTA TÉCNICO EN TESORERÍA</t>
  </si>
  <si>
    <t>06782445</t>
  </si>
  <si>
    <t>RIVERA ZEGARRA JULIO CESAR</t>
  </si>
  <si>
    <t>03692983</t>
  </si>
  <si>
    <t>RIVERA ZETA JOSE OSWALDO</t>
  </si>
  <si>
    <t>COORDINADOR DE FINANZAS</t>
  </si>
  <si>
    <t>07343704</t>
  </si>
  <si>
    <t>RODRIGUEZ  GIRALDO ERYK MAGIN</t>
  </si>
  <si>
    <t>44878761</t>
  </si>
  <si>
    <t>RODRIGUEZ ASENCIOS GILMER SMITH</t>
  </si>
  <si>
    <t>16751343</t>
  </si>
  <si>
    <t>RODRIGUEZ CALDERON JULIO CESAR</t>
  </si>
  <si>
    <t>21562026</t>
  </si>
  <si>
    <t>RODRIGUEZ CASAVILCA MARCO ANTONIO</t>
  </si>
  <si>
    <t>42518793</t>
  </si>
  <si>
    <t>RODRIGUEZ CUEVA HELMUT RICKY</t>
  </si>
  <si>
    <t>TITULO PROFESIONAL DE INGENIERO SANITARIO</t>
  </si>
  <si>
    <t>08683908</t>
  </si>
  <si>
    <t>RODRIGUEZ DE LA CRUZ JOHNNY</t>
  </si>
  <si>
    <t>25814643</t>
  </si>
  <si>
    <t>RODRIGUEZ GUERRERO ALEX EDUARDO</t>
  </si>
  <si>
    <t>44957926</t>
  </si>
  <si>
    <t>RODRIGUEZ HUERTA RONALD ROBERTO</t>
  </si>
  <si>
    <t>21411889</t>
  </si>
  <si>
    <t>ROJAS CAMPOS LADISLAO ENRIQUE</t>
  </si>
  <si>
    <t>42249573</t>
  </si>
  <si>
    <t>ROJAS CRISPIN JORGE LUIS</t>
  </si>
  <si>
    <t>ESPECIALISTA COORDINADOR DE POLITICAS Y GOBIERNO CORPORATIVO</t>
  </si>
  <si>
    <t>41395403</t>
  </si>
  <si>
    <t>ROJAS JARAMILLO BLANCA</t>
  </si>
  <si>
    <t>42184944</t>
  </si>
  <si>
    <t>ROJAS TUESTA DANNY ALFONSIN</t>
  </si>
  <si>
    <t>41488356</t>
  </si>
  <si>
    <t>ROMERO CALIZAYA JAVIER GERMAN</t>
  </si>
  <si>
    <t>09853577</t>
  </si>
  <si>
    <t>ROMERO ESTENOS GUSTAVO ADOLFO</t>
  </si>
  <si>
    <t>TECNICO COMPUTACION E INFORMATICA</t>
  </si>
  <si>
    <t>10136185</t>
  </si>
  <si>
    <t>ROMERO SAENZ RODOLFO PABLO</t>
  </si>
  <si>
    <t>INGENIERO ELECTRONICO</t>
  </si>
  <si>
    <t>23523994</t>
  </si>
  <si>
    <t>ROMERO VILLAFANE CESAR</t>
  </si>
  <si>
    <t>41238181</t>
  </si>
  <si>
    <t>ROSALES CERPA MARCOS ALFREDO</t>
  </si>
  <si>
    <t>TÍTULO DE INGENIERO COMERCIAL</t>
  </si>
  <si>
    <t>21135409</t>
  </si>
  <si>
    <t>ROSALES HINOSTROZA KETTY RUTH</t>
  </si>
  <si>
    <t>09901765</t>
  </si>
  <si>
    <t>RUIZ BERNAL CELIA ELISA</t>
  </si>
  <si>
    <t>09159203</t>
  </si>
  <si>
    <t>RUIZ DILLON KUOLLING</t>
  </si>
  <si>
    <t>27748446</t>
  </si>
  <si>
    <t>SAÉNZ  HORNA  FERNANDO</t>
  </si>
  <si>
    <t>ESPECIALISTA LEGAL EN REFLOTAMIENTO</t>
  </si>
  <si>
    <t>07242629</t>
  </si>
  <si>
    <t>SAL Y ROSAS GONZALES LUZ VICTORIA</t>
  </si>
  <si>
    <t xml:space="preserve">ABOGADO </t>
  </si>
  <si>
    <t>ANALISTA DE DISEÑO GRAFICO</t>
  </si>
  <si>
    <t>09521457</t>
  </si>
  <si>
    <t>SALAZAR QUISEL NANCY</t>
  </si>
  <si>
    <t>PREFESIONAL EN DISEÑO GRAFICO</t>
  </si>
  <si>
    <t>ESPECIALISTA COMERCIAL PARA EL FORTALECIMIENTO DE EPS</t>
  </si>
  <si>
    <t>09629739</t>
  </si>
  <si>
    <t>SALAZAR SUAREZ BETZABE JUDITH</t>
  </si>
  <si>
    <t xml:space="preserve">LICENCIADA EN ADMINISTRACION </t>
  </si>
  <si>
    <t>09458098</t>
  </si>
  <si>
    <t>SALCEDO VILLENA GOMER GODOFREDO</t>
  </si>
  <si>
    <t>15595505</t>
  </si>
  <si>
    <t>SANCHEZ DIAZ ROQUE</t>
  </si>
  <si>
    <t>18890748</t>
  </si>
  <si>
    <t>SANCHEZ ORBEGOSO WALNER SALOME</t>
  </si>
  <si>
    <t>15422296</t>
  </si>
  <si>
    <t>SANCHEZ SANCHEZ ANGEL FELIPE</t>
  </si>
  <si>
    <t>24003636</t>
  </si>
  <si>
    <t>SANCHEZ TERRAZAS MARIVEL</t>
  </si>
  <si>
    <t>45449540</t>
  </si>
  <si>
    <t>SANTOS CASTILLO JOSE HERNAN</t>
  </si>
  <si>
    <t>09796590</t>
  </si>
  <si>
    <t>SAPAICO MELENDEZ SANDRA KATYA</t>
  </si>
  <si>
    <t>CONTADORA PUBLICA</t>
  </si>
  <si>
    <t>16010450</t>
  </si>
  <si>
    <t>SATO NAKAMURA HUGO RICHARD</t>
  </si>
  <si>
    <t>16732882</t>
  </si>
  <si>
    <t>SAUSA MONTENEGRO HENRY FERNANDO</t>
  </si>
  <si>
    <t>44126592</t>
  </si>
  <si>
    <t>SCHMITT CAMACHO SCARLETT JOHANNA</t>
  </si>
  <si>
    <t>16701642</t>
  </si>
  <si>
    <t>SEGURA ALTAMIRANO MAGDA ALEIDA</t>
  </si>
  <si>
    <t>10180386</t>
  </si>
  <si>
    <t>SEITH AHUANARI CRISTIAN FERNANDO</t>
  </si>
  <si>
    <t>ESPECIALISTA EN OPERACION DE EQUIPOS AEREOS</t>
  </si>
  <si>
    <t>06582538</t>
  </si>
  <si>
    <t>SIHUAY MARAVI DOMINGO TITO</t>
  </si>
  <si>
    <t>ESPECIALISTA EN CONTABILIDAD</t>
  </si>
  <si>
    <t>41226498</t>
  </si>
  <si>
    <t>SILVA RAMOS ROXSELLA</t>
  </si>
  <si>
    <t>41642136</t>
  </si>
  <si>
    <t>SILVERA HUAROC JAVIER</t>
  </si>
  <si>
    <t>ANALISTA DE CONTROL PATRIMONIAL Y ALMACEN</t>
  </si>
  <si>
    <t>29538925</t>
  </si>
  <si>
    <t>SIMONI FLORES CLAUDIA NANCY</t>
  </si>
  <si>
    <t>75181001</t>
  </si>
  <si>
    <t>SÓCOLA CHÁVEZ SOL GABRIELA ANALIA</t>
  </si>
  <si>
    <t>BACHILLER EN INGENIA GEOGRAFICA</t>
  </si>
  <si>
    <t>ESPECIALISTA EN PROGRAMACIÓN Y EJECUCIÓN CONTRACTUAL</t>
  </si>
  <si>
    <t>25764406</t>
  </si>
  <si>
    <t>SOLIS TORRES VICTOR FELIX</t>
  </si>
  <si>
    <t>04400244</t>
  </si>
  <si>
    <t>SOTO ROMERO MARTIN ROYCI</t>
  </si>
  <si>
    <t>ING. METALURGISTA</t>
  </si>
  <si>
    <t>15357522</t>
  </si>
  <si>
    <t>SUBAUSTE ARROYO ROSA MERCEDES</t>
  </si>
  <si>
    <t>41424986</t>
  </si>
  <si>
    <t>SURICHAQUI TAIPE CARLOS ALBERTO</t>
  </si>
  <si>
    <t>40199261</t>
  </si>
  <si>
    <t>SURICHAQUI TAIPE JULIO CESAR</t>
  </si>
  <si>
    <t>43312676</t>
  </si>
  <si>
    <t>TALAVERANO ROJAS ALFREDO</t>
  </si>
  <si>
    <t>10488792</t>
  </si>
  <si>
    <t>TAMAYO ZEGARRA ROSINA</t>
  </si>
  <si>
    <t>70417566</t>
  </si>
  <si>
    <t>TÁVARA ARQUÍNIGO  NARDA LILIBETH</t>
  </si>
  <si>
    <t>BACH.EN DERECHO</t>
  </si>
  <si>
    <t>40968052</t>
  </si>
  <si>
    <t>TELLO PAIMA RUDY VIDAL</t>
  </si>
  <si>
    <t>40324321</t>
  </si>
  <si>
    <t>TEMOCHE SEVERINO JULIA ESTHER</t>
  </si>
  <si>
    <t>02873575</t>
  </si>
  <si>
    <t>TICLIAHUANCA TINEO KELLY DEL CARMEN</t>
  </si>
  <si>
    <t>ESPECIALISTA EN INTEGRACION REGIONAL - REGION MOQUEGUA</t>
  </si>
  <si>
    <t>23980712</t>
  </si>
  <si>
    <t>TITO QUISPE JOSE ANGEL</t>
  </si>
  <si>
    <t>BACH.EN ANTROPOLOGIA</t>
  </si>
  <si>
    <t>04084260</t>
  </si>
  <si>
    <t>TORALVA CORDOVA EDINSON ALEX</t>
  </si>
  <si>
    <t>GESTOR DE PROYECTOS</t>
  </si>
  <si>
    <t>10002053</t>
  </si>
  <si>
    <t>TORRES GONZALEZ ADALBERTO ADOLFO</t>
  </si>
  <si>
    <t>ING.INFORMATICO</t>
  </si>
  <si>
    <t>80589865</t>
  </si>
  <si>
    <t>TORRES MUÑOZ EVELYN MILAGROS</t>
  </si>
  <si>
    <t>INGENIERÍA AGRÍCOLA</t>
  </si>
  <si>
    <t>ANALISTA DE GESTIÓN ADMINISTRATIVA</t>
  </si>
  <si>
    <t>04749867</t>
  </si>
  <si>
    <t>VALENCIA AGUIRRE ROSA NILA</t>
  </si>
  <si>
    <t>INGENIERA DE SISTEMAS E INFORMATICA</t>
  </si>
  <si>
    <t>41900377</t>
  </si>
  <si>
    <t>VALENCIA SAAVEDRA MIRTON</t>
  </si>
  <si>
    <t>42178794</t>
  </si>
  <si>
    <t>VALLEJOS LEYVA FREYDI JOHN</t>
  </si>
  <si>
    <t>01025466</t>
  </si>
  <si>
    <t>VASQUEZ CHICHIPE JORGE</t>
  </si>
  <si>
    <t>01101102</t>
  </si>
  <si>
    <t>VASQUEZ PANDURO MARGOT</t>
  </si>
  <si>
    <t>41916355</t>
  </si>
  <si>
    <t>VASQUEZ RODRIGUEZ SERGIO PEDRO</t>
  </si>
  <si>
    <t>ESPECIALISTA LEGAL EN CONTRATACIONES PUBLICAS PARA LAS EPS</t>
  </si>
  <si>
    <t>08606416</t>
  </si>
  <si>
    <t>VEJARANO INGAR CLARA ASUNCION</t>
  </si>
  <si>
    <t>40640707</t>
  </si>
  <si>
    <t>VELARDE ASTO ALDO HELENIO</t>
  </si>
  <si>
    <t>15737346</t>
  </si>
  <si>
    <t>VELASQUEZ SUSANIBAR NANCY MARIELA</t>
  </si>
  <si>
    <t>ESPECIALISTA DE ESTUDIO</t>
  </si>
  <si>
    <t>10315180</t>
  </si>
  <si>
    <t>VELEZMORO CONTRERAS ALEXANDRA CLARISSA</t>
  </si>
  <si>
    <t>ESPECIALISTA TÉCNICO DE SUPERVISIÓN Y FISCALIZACIÓN DE BUEN GOBIERNO</t>
  </si>
  <si>
    <t>41377248</t>
  </si>
  <si>
    <t>VENERO FARFAN JULIO</t>
  </si>
  <si>
    <t>41296861</t>
  </si>
  <si>
    <t>VERASTEGUI VIGO WILBER GLICERIO</t>
  </si>
  <si>
    <t>19811263</t>
  </si>
  <si>
    <t>VIDALON PELLANNE BLANCA HORTENCIA</t>
  </si>
  <si>
    <t>06906677</t>
  </si>
  <si>
    <t>VILCA SOSA EFRAIN</t>
  </si>
  <si>
    <t>ESPECIALISTA OPERACIONAL Y DE INVERSIONES</t>
  </si>
  <si>
    <t>40178888</t>
  </si>
  <si>
    <t>VILCACHAGUA QUISPE JINMY CARLOS</t>
  </si>
  <si>
    <t>09902744</t>
  </si>
  <si>
    <t>VILLACORTA ELLIOTT GLADYS PATRICIA</t>
  </si>
  <si>
    <t>COORDINADORA DE MONITOREO</t>
  </si>
  <si>
    <t>10763359</t>
  </si>
  <si>
    <t>VILLACREZ LLAJA PERCY ABSALON</t>
  </si>
  <si>
    <t>45834002</t>
  </si>
  <si>
    <t>VILLALOBOS FLORES SYLVESTER ARTURO</t>
  </si>
  <si>
    <t>23002619</t>
  </si>
  <si>
    <t>VILLASIS VALDIVIA JOSE AMADOR</t>
  </si>
  <si>
    <t>10345575</t>
  </si>
  <si>
    <t>VILLENA CARPIO RICHARD ADHEMAR</t>
  </si>
  <si>
    <t>21854728</t>
  </si>
  <si>
    <t>VILLENA CHUMBIAUCA ENRIQUE OTTO</t>
  </si>
  <si>
    <t>ESPECIALISTA SENIOR EN GESTIÓN Y FINANCIAMIENTO</t>
  </si>
  <si>
    <t>AUDITOR CONTABLE ESPECIALISTA EN CONTROL INTERNO</t>
  </si>
  <si>
    <t>07509161</t>
  </si>
  <si>
    <t>VIVAR FLORES RICARDO</t>
  </si>
  <si>
    <t>43013548</t>
  </si>
  <si>
    <t>VIZURRAGA GARCIA CARLA TERESA</t>
  </si>
  <si>
    <t>06443718</t>
  </si>
  <si>
    <t>YAFAC DA CRUZ GOUVEA ROBERTO JOSE</t>
  </si>
  <si>
    <t>07172455</t>
  </si>
  <si>
    <t>YALAN CUBAS JAVIER MARTIN</t>
  </si>
  <si>
    <t>40298975</t>
  </si>
  <si>
    <t>YANCACHAJLLA SOTELO GERMAN RENE</t>
  </si>
  <si>
    <t>08168718</t>
  </si>
  <si>
    <t>YANCAN TORRES MIGUEL REYMUNDO</t>
  </si>
  <si>
    <t>YATACO AVALOS CHRISTIAN GERMAN</t>
  </si>
  <si>
    <t>00414131</t>
  </si>
  <si>
    <t>YUFRA PALOMINO RAMON WILFREDO</t>
  </si>
  <si>
    <t>23931043</t>
  </si>
  <si>
    <t>ZAMALLOA BENDEZU EDGAR ROLANDO</t>
  </si>
  <si>
    <t>INGENIERO EN INDUSTRIAL</t>
  </si>
  <si>
    <t>19870744</t>
  </si>
  <si>
    <t>ZAMUDIO MORALES JOSE EDGAR</t>
  </si>
  <si>
    <t>40792258</t>
  </si>
  <si>
    <t>ZAUÑE FORONDA ENRRIQUE ARTURO</t>
  </si>
  <si>
    <t>10689865</t>
  </si>
  <si>
    <t>ZEA PAZ WILDER</t>
  </si>
  <si>
    <t>04435436</t>
  </si>
  <si>
    <t>ZEBALLOS ZEBALLOS FLORENCIO PERCY</t>
  </si>
  <si>
    <t>06103728</t>
  </si>
  <si>
    <t>CORREA QUIROZ PERCY MANUEL</t>
  </si>
  <si>
    <t>Titulado</t>
  </si>
  <si>
    <t>R.D.R</t>
  </si>
  <si>
    <t>00226067</t>
  </si>
  <si>
    <t>ALBURQUEQUE DIOS MARIA NATALIA</t>
  </si>
  <si>
    <t>SECRETARIADO COMERCIAL - EJECUTIVO - CENECAPE</t>
  </si>
  <si>
    <t>Capacitación Ocupacional</t>
  </si>
  <si>
    <t>45770490</t>
  </si>
  <si>
    <t>RUEDA OLIVOS GABY VANESSA</t>
  </si>
  <si>
    <t>JEFE DE LA OFICINA DE ASESORIA JURÍDICA</t>
  </si>
  <si>
    <t>ALEJOS LIÑAN ESAU</t>
  </si>
  <si>
    <t>RAMOS MARQUEZ LADDY ISAMAR</t>
  </si>
  <si>
    <t>JEFE DE PLANEAMIENTO Y PRESUPUESTO</t>
  </si>
  <si>
    <t>AREVALO LOPEZ JULIO CESAR</t>
  </si>
  <si>
    <t>Grado de Bachiller</t>
  </si>
  <si>
    <t>48104299</t>
  </si>
  <si>
    <t>LOPEZ RAMIREZ ANDREA ELIANA</t>
  </si>
  <si>
    <t>72366001</t>
  </si>
  <si>
    <t>MAURICIO FALLA FRANCHESCA ELIZABETH</t>
  </si>
  <si>
    <t>JEFE DE LA OFICINA DE FINANZAS</t>
  </si>
  <si>
    <t>00245395</t>
  </si>
  <si>
    <t>DOLMOS PEÑA JENNY SAGRARIOS</t>
  </si>
  <si>
    <t>73250386</t>
  </si>
  <si>
    <t>LUEY ESPINOZA YURIDIA ALEXANDRA</t>
  </si>
  <si>
    <t>JEFE DE OFICINA DE CONTABILIDAD</t>
  </si>
  <si>
    <t>40338724</t>
  </si>
  <si>
    <t>CORNEJO ESCOBAR ABAD</t>
  </si>
  <si>
    <t>ESPECIALISTA EN SIAF</t>
  </si>
  <si>
    <t>46055571</t>
  </si>
  <si>
    <t>GUEVARA RIVAS YHON HUMBERTO</t>
  </si>
  <si>
    <t>ESPECIALISTA EN PATRIMONIO</t>
  </si>
  <si>
    <t>41502252</t>
  </si>
  <si>
    <t>MORE VILLEGAS JHONNY JESUS</t>
  </si>
  <si>
    <t>00239164</t>
  </si>
  <si>
    <t>RUIZ ATOCHE GUELLY</t>
  </si>
  <si>
    <t>ASISTENTA SOCIAL</t>
  </si>
  <si>
    <t>00328565</t>
  </si>
  <si>
    <t>SAAVEDRA COLAN NORMA ROSA</t>
  </si>
  <si>
    <t>JEFE DE LA OFICINA DE LOGISTICA</t>
  </si>
  <si>
    <t>46985858</t>
  </si>
  <si>
    <t>CARRION PADILLA MARITA ESTELA</t>
  </si>
  <si>
    <t>LICENCIADA EN COMERCIO Y NEGOCIOS INTERNACIONALES</t>
  </si>
  <si>
    <t>LOPEZ MORE JADY JUDITH CARMELINA</t>
  </si>
  <si>
    <t>VILCHEZ RIOS MIRIAM LISBETH</t>
  </si>
  <si>
    <t>44375783</t>
  </si>
  <si>
    <t>ABAD VASQUEZ MARIA JOSEFA</t>
  </si>
  <si>
    <t>00215866</t>
  </si>
  <si>
    <t>BECERRA MAURICIO MIGUEL</t>
  </si>
  <si>
    <t>SECUNDARIA COMPLETA Y CURSO ADMINISTRACION EMPRESAS</t>
  </si>
  <si>
    <t xml:space="preserve">Educación Secundaria Completa </t>
  </si>
  <si>
    <t>CHOFER ESPECIALIZADO</t>
  </si>
  <si>
    <t>00247469</t>
  </si>
  <si>
    <t>LOPEZ PANTA MANUEL GERARDO</t>
  </si>
  <si>
    <t>00246029</t>
  </si>
  <si>
    <t>SANCHEZ TORRES CESAR JOHNNY</t>
  </si>
  <si>
    <t>CHOFER ESPECIALIZADO - APOYO EN REDES</t>
  </si>
  <si>
    <t>15739411</t>
  </si>
  <si>
    <t>VALDIVIEZO HIDALGO CARLOS ALBERTO</t>
  </si>
  <si>
    <t>JEFE DE OFICINA DE TECNOLOGIAS DE LA INFORMACION</t>
  </si>
  <si>
    <t>43084025</t>
  </si>
  <si>
    <t>NIEVES GARCÍA RICARDO WILLIAM</t>
  </si>
  <si>
    <t>ESPECIALISTA EN INFORMATICA</t>
  </si>
  <si>
    <t>43553288</t>
  </si>
  <si>
    <t>VILELA TINEO ALAN PERU</t>
  </si>
  <si>
    <t>40800227</t>
  </si>
  <si>
    <t>NIEVES LEON BORIST HENRY</t>
  </si>
  <si>
    <t>JEFE UNIDAD DE OFICINA DE FACTURACION Y MEDICION</t>
  </si>
  <si>
    <t>00251561</t>
  </si>
  <si>
    <t>ALEMAN VILELA ELMER JAVIER</t>
  </si>
  <si>
    <t>ESPECIALISTA DE FACTURACION</t>
  </si>
  <si>
    <t>70665460</t>
  </si>
  <si>
    <t>CONTRERAS OTERO KEVIN ARNOLD</t>
  </si>
  <si>
    <t>EGRESADO TECNICO COMPUTACIÓN E INFORMATICA</t>
  </si>
  <si>
    <t>ESPECIALISTA EN MEDICION</t>
  </si>
  <si>
    <t>00205009</t>
  </si>
  <si>
    <t>CABRERA DIOS MIRIAN</t>
  </si>
  <si>
    <t xml:space="preserve">TECNICO BACHILLER EN ADMINISTRACION DE EMPRESAS </t>
  </si>
  <si>
    <t>ANALISTA COMERCIAL</t>
  </si>
  <si>
    <t>00253683</t>
  </si>
  <si>
    <t>ESPINOZA YACILA ELIDA SUNCIONA</t>
  </si>
  <si>
    <t>SECRETARIADO COMERCIAL Y CERTIFICADO SECRETARIADO BILINGÜE-CENECAPE</t>
  </si>
  <si>
    <t>Educación Ocupacional</t>
  </si>
  <si>
    <t>OPERARIO COMERCIAL</t>
  </si>
  <si>
    <t>00236891</t>
  </si>
  <si>
    <t>MASIAS CARRILLO ELIXANDER</t>
  </si>
  <si>
    <t>00220200</t>
  </si>
  <si>
    <t>LAZO RIVAS JORGE ALBERTO</t>
  </si>
  <si>
    <t>00256342</t>
  </si>
  <si>
    <t>CAMPOS GARCIA JORGE LUIS</t>
  </si>
  <si>
    <t>00243814</t>
  </si>
  <si>
    <t>BAYONA CHAVEZ ANDRES</t>
  </si>
  <si>
    <t>00252914</t>
  </si>
  <si>
    <t>SARANGO HUAMAN TORIBIO</t>
  </si>
  <si>
    <t>00219993</t>
  </si>
  <si>
    <t>VINCES FARIAS FELIX EDUARDO</t>
  </si>
  <si>
    <t>00250558</t>
  </si>
  <si>
    <t>NORIEGA GUERRERO JORGE ENRIQUE</t>
  </si>
  <si>
    <t>40264984</t>
  </si>
  <si>
    <t>MENDOZA SILVA JOSE PABLO</t>
  </si>
  <si>
    <t>41439456</t>
  </si>
  <si>
    <t>ANCAJIMA ESPINOZA JUAN DE DIOS</t>
  </si>
  <si>
    <t>00248866</t>
  </si>
  <si>
    <t>PEÑA LECARNAQUE JOSE ANTONIO</t>
  </si>
  <si>
    <t>JEFE DE OFICINA DE ATENCION AL CLIENTE</t>
  </si>
  <si>
    <t>00247666</t>
  </si>
  <si>
    <t>ARRIETA ROQUE ALDO PAUL</t>
  </si>
  <si>
    <t>GESTOR COMERCIAL</t>
  </si>
  <si>
    <t>43047786</t>
  </si>
  <si>
    <t>GRIMALDO CASTILLA MARCIAL JAVIER</t>
  </si>
  <si>
    <t>INGENIERA DE SISTEMAS</t>
  </si>
  <si>
    <t>EJECUTIVO DE ATENCION AL CLIENTE</t>
  </si>
  <si>
    <t>00247443</t>
  </si>
  <si>
    <t>LIVIAPOMA TUSE KELLY YESENIA</t>
  </si>
  <si>
    <t>TECNICO SECRETARIADO EJECUTIVO</t>
  </si>
  <si>
    <t>00255696</t>
  </si>
  <si>
    <t>BARRIENTOS ROSILLO MARLENY YANET</t>
  </si>
  <si>
    <t>SECRETARIADO COMERCIAL COMPUTARIZADO-CEO</t>
  </si>
  <si>
    <t>Educación Técnica Completa</t>
  </si>
  <si>
    <t>00203915</t>
  </si>
  <si>
    <t>DIOSES MACEDA MARITZA MERCEDES</t>
  </si>
  <si>
    <t>SECRETARIADO EJECUTIVO  COMPUTARIZADO -CEO</t>
  </si>
  <si>
    <t>EJECUTIVO DE SOLUCION DE RECLAMOS</t>
  </si>
  <si>
    <t>45708545</t>
  </si>
  <si>
    <t>DIOSES SILVA HENRY JHONATAN</t>
  </si>
  <si>
    <t>JEFE DE LA OFICINA DE EVALUACION SEGUIMIENTO Y CONTROL Y GESTION</t>
  </si>
  <si>
    <t>00242230</t>
  </si>
  <si>
    <t>VEGA BALLADARES LUIS HENRY</t>
  </si>
  <si>
    <t xml:space="preserve">CONTADOR PUBLICO  </t>
  </si>
  <si>
    <t>42169512</t>
  </si>
  <si>
    <t>VEGA OLIVOS LUIS HUMBERTO</t>
  </si>
  <si>
    <t>TECNICO CONTABILIDAD</t>
  </si>
  <si>
    <t>JEFE DE OFICINA DE COBRANZAS</t>
  </si>
  <si>
    <t>00215886</t>
  </si>
  <si>
    <t>SUAREZ SALAZAR CARLOS JAVIER</t>
  </si>
  <si>
    <t>ESPECIALISTA EN CORTES Y REAPERTURAS</t>
  </si>
  <si>
    <t>00218590</t>
  </si>
  <si>
    <t>HIDALGO HIDALGO NELDA RUTH</t>
  </si>
  <si>
    <t>SECUNDARIA COMPLETA  Y CURSO SECRETARIADO EJECUTIVO</t>
  </si>
  <si>
    <t>ESPECIALISTA EN COBRANZA</t>
  </si>
  <si>
    <t>43138004</t>
  </si>
  <si>
    <t>REVOLLEDO MORAN JOSE ABELARDO</t>
  </si>
  <si>
    <t>TECNICO EN INFORMATICA Y SISTEMAS</t>
  </si>
  <si>
    <t>ANALISTA DE COBRANZA</t>
  </si>
  <si>
    <t>80277893</t>
  </si>
  <si>
    <t>PAREDES ZAPATA JOSE WILBERTO</t>
  </si>
  <si>
    <t>RECAUDADOR</t>
  </si>
  <si>
    <t>00200424</t>
  </si>
  <si>
    <t>CARRILLO LUNA HECTOR</t>
  </si>
  <si>
    <t>PRIMARIA COMPLETA</t>
  </si>
  <si>
    <t>Educación Primaria Completa</t>
  </si>
  <si>
    <t>OPERARIO - GASFITERO</t>
  </si>
  <si>
    <t>73460992</t>
  </si>
  <si>
    <t>ARCELA CHINGA LUIGGI DEIVY</t>
  </si>
  <si>
    <t>41828137</t>
  </si>
  <si>
    <t>SUYON LLAUCE JUAN CARLOS</t>
  </si>
  <si>
    <t>Educación Primaria Incompleta</t>
  </si>
  <si>
    <t>80357833</t>
  </si>
  <si>
    <t>ZAPATA OVIEDO LUIS EDUARDO</t>
  </si>
  <si>
    <t>44329131</t>
  </si>
  <si>
    <t>CRUZ CHUQUICUSMA JOSE YGNACIO</t>
  </si>
  <si>
    <t>03375580</t>
  </si>
  <si>
    <t>LOPEZ GARCIA JULIAN</t>
  </si>
  <si>
    <t>71459808</t>
  </si>
  <si>
    <t>TENORIO CALDERON NELSON NICOLLS</t>
  </si>
  <si>
    <t>03871873</t>
  </si>
  <si>
    <t>FIESTAS ZAPATA JUAN CARLOS</t>
  </si>
  <si>
    <t>00244716</t>
  </si>
  <si>
    <t>SEMINARIO GONZALES JUAN</t>
  </si>
  <si>
    <t>42640139</t>
  </si>
  <si>
    <t>ESPINOZA PRECIADO IVAN JOEL</t>
  </si>
  <si>
    <t>JEFE DE LA OFICINA DE CATASTRO Y NUEVAS CONEXIONES</t>
  </si>
  <si>
    <t>00239491</t>
  </si>
  <si>
    <t>ORTIZ PEÑA LEONEL HERNAN</t>
  </si>
  <si>
    <t>ESPECIALISTA VENTA CONEXIONES</t>
  </si>
  <si>
    <t>00227361</t>
  </si>
  <si>
    <t>SUAREZ JIMENEZ JUAN MANUEL</t>
  </si>
  <si>
    <t>SECUNDARIA COMPLETA Y CURSO CONTABILIDAD COMERCIAL</t>
  </si>
  <si>
    <t>INSPECTOR COMERCIAL</t>
  </si>
  <si>
    <t>00201385</t>
  </si>
  <si>
    <t>CARRILLO LUNA LUBE</t>
  </si>
  <si>
    <t>SECUNDARIA COMPLETA Y CURSO DE ADMINISTRACION DE EMPRESAS</t>
  </si>
  <si>
    <t>42729013</t>
  </si>
  <si>
    <t>CASTRO GARCIA MARLON ENRIQUE</t>
  </si>
  <si>
    <t>PEDAGOGICO - PROFESOR EDUCACION PRIMARIA</t>
  </si>
  <si>
    <t>00240221</t>
  </si>
  <si>
    <t>SOSA PATIÑO VICTOR ALFREDO</t>
  </si>
  <si>
    <t>SECUNDARIA COMPLETA Y CURSO TOPOGRAFIA</t>
  </si>
  <si>
    <t>GERENTE DE INGENIERÍA, PROYECTOS Y MEDIO AMBIENTE</t>
  </si>
  <si>
    <t>45366771</t>
  </si>
  <si>
    <t>ZEGARRA MARTINEZ CRISTHIAN PAUL</t>
  </si>
  <si>
    <t xml:space="preserve">ESPECIALISTA DE PROYECTOS </t>
  </si>
  <si>
    <t>70515792</t>
  </si>
  <si>
    <t>COLCHADO OLAVARRIA MARIA GRACIA</t>
  </si>
  <si>
    <t>JEFE DE LA OFICINA DE ESTUDIOS PROYECTOS Y GESTION AMBIENTAL</t>
  </si>
  <si>
    <t>00373623</t>
  </si>
  <si>
    <t>DIOS ESPINOZA MIGUEL</t>
  </si>
  <si>
    <t>INGENEIRO CIVIL Y INGENIERO AGRONOMO</t>
  </si>
  <si>
    <t>47857149</t>
  </si>
  <si>
    <t>ROJAS COLMENARES KARLA CYNTHIA</t>
  </si>
  <si>
    <t>INGENIERIO SANITARIO</t>
  </si>
  <si>
    <t>JEFE DE OFICINA DE EJECUCION, SUPERVISION Y LIQUIDACION DE OBRAS</t>
  </si>
  <si>
    <t>BURGOS FLORES MARLON BRAGGIAN</t>
  </si>
  <si>
    <t>ESPECIALISTA EN CATASTRO TECNICO</t>
  </si>
  <si>
    <t>03679160</t>
  </si>
  <si>
    <t>LOPEZ ALVARADO BELSY TEODORITA</t>
  </si>
  <si>
    <t>BACHILLER  EN INGENIERIA DE SISTEMAS E INFORMATICA</t>
  </si>
  <si>
    <t>46502760</t>
  </si>
  <si>
    <t>FARFAN MEDINA HIPOLITO JOSE LEONARDO</t>
  </si>
  <si>
    <t>GERENTE OPERACIONES</t>
  </si>
  <si>
    <t>21498763</t>
  </si>
  <si>
    <t>PAREDES HASEN NICIDA GISSELA</t>
  </si>
  <si>
    <t>ESPECIALISTA EN CONTROL OPERACIONAL</t>
  </si>
  <si>
    <t>40995372</t>
  </si>
  <si>
    <t>MALMACEDA MELGAR JENNIFER KATIUSKA</t>
  </si>
  <si>
    <t>INGENIERA EN COMPUTACION E INFORMATICA</t>
  </si>
  <si>
    <t>46226449</t>
  </si>
  <si>
    <t>ZEGARRA MARTINEZ LUIS ALBERTO</t>
  </si>
  <si>
    <t>IV CICLO INGENIERIA CIVIL</t>
  </si>
  <si>
    <t>Educación Universitaria Incompleta</t>
  </si>
  <si>
    <t>JEFE DE OFICINA DE PRODUCCION Y DISTRIBUCION</t>
  </si>
  <si>
    <t>18199051</t>
  </si>
  <si>
    <t>SANCHEZ CURAY DAVID FRANCISCO</t>
  </si>
  <si>
    <t>TECNICO DE LABORATORIO</t>
  </si>
  <si>
    <t>47341447</t>
  </si>
  <si>
    <t>HUERTAS MENDOZA ANGIE NANCY KATHERINE</t>
  </si>
  <si>
    <t>BACHILLER INGENIERIA QUIMICA</t>
  </si>
  <si>
    <t>OPERADOR DE GALERIA Y CAMARAS DE BOMBEO DE DESAGÜE</t>
  </si>
  <si>
    <t>43665774</t>
  </si>
  <si>
    <t>ROSALES MAYANGA ROBERTO JULIO</t>
  </si>
  <si>
    <t>TECNICO SENATI - MECANICA AUTOMOTRIZ</t>
  </si>
  <si>
    <t>OPERARIO DE GALERIA</t>
  </si>
  <si>
    <t>00231545</t>
  </si>
  <si>
    <t>ZAPATA PARDO CASIMIRO</t>
  </si>
  <si>
    <t>OPERADOR DE POZO</t>
  </si>
  <si>
    <t>43346349</t>
  </si>
  <si>
    <t>RAMIREZ ATOCHE LUIS ALBERTO</t>
  </si>
  <si>
    <t>Educación Secundaria Incompleta</t>
  </si>
  <si>
    <t>00213541</t>
  </si>
  <si>
    <t>MEDINA AGUILAR MIGUEL</t>
  </si>
  <si>
    <t>OPERADOR DE POZOS Y CAMARA DE BOMBEO DE DESAGÜE</t>
  </si>
  <si>
    <t>44395356</t>
  </si>
  <si>
    <t>LINDAO CASTILLO JOSE VALENTIN</t>
  </si>
  <si>
    <t>00234438</t>
  </si>
  <si>
    <t>ZAVALA DIOSES ARECIO</t>
  </si>
  <si>
    <t>OPERADOR DE PLANTA</t>
  </si>
  <si>
    <t>42075946</t>
  </si>
  <si>
    <t>SANDOVAL SILVA DARWIN OMAR</t>
  </si>
  <si>
    <t>42669635</t>
  </si>
  <si>
    <t>BENITES GUARANDA JOSE LUIS</t>
  </si>
  <si>
    <t>00242431</t>
  </si>
  <si>
    <t>BENITES PALACIOS CARLOS MARIO</t>
  </si>
  <si>
    <t>45130251</t>
  </si>
  <si>
    <t>VINCES ATOCHE IRVING WILLIAM</t>
  </si>
  <si>
    <t>TECNICO SENATI - MECANICO MANTENIMIENTO</t>
  </si>
  <si>
    <t>JEFE DE LA OFICINA DE REDES DE AGUA POTABLE Y ALCANTARILLADO</t>
  </si>
  <si>
    <t>47940038</t>
  </si>
  <si>
    <t>GIL VILLANUEVA YERSON EDWIN</t>
  </si>
  <si>
    <t>44343578</t>
  </si>
  <si>
    <t>MELGAR CLAVIJO CHRISTIAN EDUARDO</t>
  </si>
  <si>
    <t>EGRESADO TECNICO MECANICA AUTOMOTRIZ</t>
  </si>
  <si>
    <t>Educación Superior(Instituto Superior)Incompleta</t>
  </si>
  <si>
    <t>40002980</t>
  </si>
  <si>
    <t>DIOSES LOPEZ YAN CARLOS</t>
  </si>
  <si>
    <t>CHOFER CISTERNA</t>
  </si>
  <si>
    <t>00202283</t>
  </si>
  <si>
    <t>LUNA LOPEZ ELVER</t>
  </si>
  <si>
    <t>CAPATAZ</t>
  </si>
  <si>
    <t>00374281</t>
  </si>
  <si>
    <t>CESPEDES MORAN SANTOS VICENTE</t>
  </si>
  <si>
    <t>16740359</t>
  </si>
  <si>
    <t>RIVERA SANDOVAL ABEL SANTOS</t>
  </si>
  <si>
    <t>40390290</t>
  </si>
  <si>
    <t>VELIZ VICENTE MARCIAL</t>
  </si>
  <si>
    <t>OPERARIO DE REDES DE AGUA POTABLE Y ALCANTARILLADO</t>
  </si>
  <si>
    <t>42216257</t>
  </si>
  <si>
    <t>RAMIREZ ATOCHE JOSE ENRIQUE</t>
  </si>
  <si>
    <t>00204264</t>
  </si>
  <si>
    <t>AREVALO GARCES JOSÉ ROSAS</t>
  </si>
  <si>
    <t>00200671</t>
  </si>
  <si>
    <t>PRECIADO BALCAZAR MANUEL BASILIO</t>
  </si>
  <si>
    <t>43805860</t>
  </si>
  <si>
    <t>FARFAN ALVAREZ CRISTIAN PAUL</t>
  </si>
  <si>
    <t>00206825</t>
  </si>
  <si>
    <t>MERINO OGONA JOSE ROSALINO</t>
  </si>
  <si>
    <t>44775627</t>
  </si>
  <si>
    <t>RUMICHE SUAREZ CARLOS ALBERTO</t>
  </si>
  <si>
    <t>00244555</t>
  </si>
  <si>
    <t>VILELA SOCOLA REYMUNDO</t>
  </si>
  <si>
    <t>75275389</t>
  </si>
  <si>
    <t>AREVALO MEDINA WILLIAN MARLO</t>
  </si>
  <si>
    <t>42744694</t>
  </si>
  <si>
    <t>GONZALES MORAN JESUS DAMIAN</t>
  </si>
  <si>
    <t>00244658</t>
  </si>
  <si>
    <t>DIOS PEÑA JOSE CARLOS</t>
  </si>
  <si>
    <t>48110485</t>
  </si>
  <si>
    <t>FLORES RONDOY CHISTHIAN YASMANI</t>
  </si>
  <si>
    <t>MARTINEZ BENAVIDES ELVIS OSWALDO</t>
  </si>
  <si>
    <t>42755916</t>
  </si>
  <si>
    <t>MORAN CORNEJO YONI DANIEL</t>
  </si>
  <si>
    <t>44786424</t>
  </si>
  <si>
    <t>AREVALO MEDINA JOSE LUIS</t>
  </si>
  <si>
    <t>JEFE DE LA OFICINA DE MANTENIMIENTO ELECTROMECANICO</t>
  </si>
  <si>
    <t xml:space="preserve">RIVERA AQUIJE HECTOR DAVID </t>
  </si>
  <si>
    <t>TÈCNICO ELECTRICISTA</t>
  </si>
  <si>
    <t>44455629</t>
  </si>
  <si>
    <t>ALBURQUEQUE RUIZ TITO</t>
  </si>
  <si>
    <t>EGRESADO TECNICO EN ELECTRONICA</t>
  </si>
  <si>
    <t>SUAREZ SIANCAS CARLOS ALAIN</t>
  </si>
  <si>
    <t>EGRESADO SENATI - ELECTRICIDAD INDUSTRIAL</t>
  </si>
  <si>
    <t>Egresado Electricista Industrial</t>
  </si>
  <si>
    <t>41992569</t>
  </si>
  <si>
    <t>CARDENAS VASQUEZ JOSE MIGUEL</t>
  </si>
  <si>
    <t>TECNICO ELECTROMECANICO</t>
  </si>
  <si>
    <t>00254652</t>
  </si>
  <si>
    <t>GONZALEZ MENDOZA MARCOS ELIAS</t>
  </si>
  <si>
    <t>42338712</t>
  </si>
  <si>
    <t>AZO SIANCAS SANTOS JESUS</t>
  </si>
  <si>
    <t>TECNICO MECANICA DE PRODUCCION</t>
  </si>
  <si>
    <t>Educación Superior(Instituto Superior)Completa</t>
  </si>
  <si>
    <t>42263577</t>
  </si>
  <si>
    <t>MENA BACA JHANMILTON OLADIER</t>
  </si>
  <si>
    <t>TECNICO MECANICA AUTOMOTRIZ</t>
  </si>
  <si>
    <t>JEFE DE LA OFICINA DE RECOLECCION T TRATAMIENTO DE AGUAS RESIDUALES</t>
  </si>
  <si>
    <t>44418392</t>
  </si>
  <si>
    <t>GIL VILLANUEVA ALFONSO ROBERTO</t>
  </si>
  <si>
    <t>TECNICO EN REDES DE AGUA POTABLE, ALCANTERILLADO Y TRATAMIENTO AGUAS RESIDUALES</t>
  </si>
  <si>
    <t xml:space="preserve">PAREDES  RIVAS CARLOS FAUSTINO </t>
  </si>
  <si>
    <t>IV CICLO ADMINISTRACION</t>
  </si>
  <si>
    <t>22090771</t>
  </si>
  <si>
    <t>HUANACHEA VENTURA EDGAR RUBEN</t>
  </si>
  <si>
    <t>BACHILLER BIOLOGIA</t>
  </si>
  <si>
    <t>48108719</t>
  </si>
  <si>
    <t>QUINCHES JIMENEZ SEGUNDOLUIS  ANGELDARIO</t>
  </si>
  <si>
    <t>44860662</t>
  </si>
  <si>
    <t>CHINININ PARDO LUIS ANTONIO</t>
  </si>
  <si>
    <t>OPERADOR DE CAMARA DE BOMBEO DE DESAGUE</t>
  </si>
  <si>
    <t>00200127</t>
  </si>
  <si>
    <t>FERNANDEZ MACARLUPU JOSE SANTOS</t>
  </si>
  <si>
    <t>00235259</t>
  </si>
  <si>
    <t>SARANGO CARRILLO PORFIRIO</t>
  </si>
  <si>
    <t>00234988</t>
  </si>
  <si>
    <t>SARANGO CARRILLO EMILIO</t>
  </si>
  <si>
    <t>00229940</t>
  </si>
  <si>
    <t>VALDIVIEZO INFANTE ADISLAO REYMUNDO</t>
  </si>
  <si>
    <t>00231237</t>
  </si>
  <si>
    <t>ZARATE HEREDIA JUAN JOSE</t>
  </si>
  <si>
    <t xml:space="preserve">ESCOBAR SANDOVAL MAXIMILIANO </t>
  </si>
  <si>
    <t>80673664</t>
  </si>
  <si>
    <t>ELIZALDE FEIJOO LUIS ALBERTO</t>
  </si>
  <si>
    <t>OPERADOR DE ESTACION DE REBOMBEO</t>
  </si>
  <si>
    <t>CASTILLO ZAPATA CESAR AUGUSTO</t>
  </si>
  <si>
    <t>OPERADOR DE ESTACION DE REBOMBEO Y CAMARA  DE BOMBEO DE DESAGÜE</t>
  </si>
  <si>
    <t>47758375</t>
  </si>
  <si>
    <t>ALVINES MORE JHON CARLOS</t>
  </si>
  <si>
    <t>00326791</t>
  </si>
  <si>
    <t>CORNEJO GARCIA, JUAN SILMAR</t>
  </si>
  <si>
    <t>00253659</t>
  </si>
  <si>
    <t>VINCES MARTINEZ DIONICIO</t>
  </si>
  <si>
    <t>00226307</t>
  </si>
  <si>
    <t>DIOS VINCES PEDRO</t>
  </si>
  <si>
    <t>44399034</t>
  </si>
  <si>
    <t>ATOCHE OLAYA ESWIN LEONARDO</t>
  </si>
  <si>
    <t xml:space="preserve">SECUNDARIA INCOMPLETA  </t>
  </si>
  <si>
    <t>00369711</t>
  </si>
  <si>
    <t>MORE MORALES JOSÈ JORGE</t>
  </si>
  <si>
    <t>72886182</t>
  </si>
  <si>
    <t>PEÑAFIEL CARRASCO KEVIN SIGIFREDO</t>
  </si>
  <si>
    <t>JEFE DE LA OFICINA DE CONTROL DE CALIDAD</t>
  </si>
  <si>
    <t>40769254</t>
  </si>
  <si>
    <t>EFFIO ALBUJAR KARLA MELISSA</t>
  </si>
  <si>
    <t>INGENIERA QUIMICA</t>
  </si>
  <si>
    <t>ESPECIALISTA CONTROL DE CALIDAD</t>
  </si>
  <si>
    <t>COBEÑAS SILVA ALICIA VANESSA</t>
  </si>
  <si>
    <t>INGENIERA AGROINDUSTRIAL</t>
  </si>
  <si>
    <t>ASISTENTE DE CONTROL DE CALIDAD</t>
  </si>
  <si>
    <t>02637104</t>
  </si>
  <si>
    <t>BECERRA MAURICIO SEGUNDO ALBERTO</t>
  </si>
  <si>
    <t>EGRESADO INSTITUTO PEDAGÓGICO EN EDUCACION FISICA</t>
  </si>
  <si>
    <t>JEFE ZONAL NORTE</t>
  </si>
  <si>
    <t>00320247</t>
  </si>
  <si>
    <t>LEON SALDARRIAGA BENJAMIN</t>
  </si>
  <si>
    <t>00239703</t>
  </si>
  <si>
    <t>HURTADO MUÑOZ HENRY MARTIN</t>
  </si>
  <si>
    <t>OPERADOR DE GALERIA</t>
  </si>
  <si>
    <t>40629624</t>
  </si>
  <si>
    <t>GARCIA LOPEZ JUAN FRANCISCO</t>
  </si>
  <si>
    <t>OPERARIO DE POZO Y CAMARAS DE BOMBEO DE DESAGUE</t>
  </si>
  <si>
    <t>00366599</t>
  </si>
  <si>
    <t>ARICA LOAYZA SANTOS FEDERICO</t>
  </si>
  <si>
    <t>40194312</t>
  </si>
  <si>
    <t>CAMPAÑA VINCES BELTRAN</t>
  </si>
  <si>
    <t>00367191</t>
  </si>
  <si>
    <t>OYOLA PORRAS NERY</t>
  </si>
  <si>
    <t>40688118</t>
  </si>
  <si>
    <t>ESPINOZA ZARATE JERRY DARWIN</t>
  </si>
  <si>
    <t>00371441</t>
  </si>
  <si>
    <t>ATOCHE PORRAS NILTON CESAR</t>
  </si>
  <si>
    <t>03360212</t>
  </si>
  <si>
    <t>SILVA ADANAQUEZ PASCUAL</t>
  </si>
  <si>
    <t>00255759</t>
  </si>
  <si>
    <t>CAMPAÑA VINCES CARLOS SAUL</t>
  </si>
  <si>
    <t>02805384</t>
  </si>
  <si>
    <t>DOMINGUEZ PINTADO DOMINGA</t>
  </si>
  <si>
    <t>SECUNDARIA COMPLETA Y  CURSO SECRETARIADO EJECUTIVO CENECAPE</t>
  </si>
  <si>
    <t xml:space="preserve">EJECUTIVO DE ATENCION AL CLIENTE </t>
  </si>
  <si>
    <t>00255557</t>
  </si>
  <si>
    <t>PIPPA LOPEZ RAFAEL FRANCISCO</t>
  </si>
  <si>
    <t>JEFE OFICINA ZONAL SUR</t>
  </si>
  <si>
    <t>RODRIGUEZ MALDONADO VICENTE ALFREDO</t>
  </si>
  <si>
    <t>17637155</t>
  </si>
  <si>
    <t>SANDOVAL DAMIAN URBANO</t>
  </si>
  <si>
    <t>43959207</t>
  </si>
  <si>
    <t>NEIRA MORETO DUBERLY</t>
  </si>
  <si>
    <t>03824248</t>
  </si>
  <si>
    <t>OLIVOS ARICA SANTOS SEVERINO</t>
  </si>
  <si>
    <t>OPERADOR DE AGUA Y CAMARA DE BOMBEO DE DESAGUE</t>
  </si>
  <si>
    <t>43807684</t>
  </si>
  <si>
    <t>BERRU PAZ IVAN ASUNCION</t>
  </si>
  <si>
    <t>45814734</t>
  </si>
  <si>
    <t>TEMOCHE RODRIGUEZ DANNY DANIEL</t>
  </si>
  <si>
    <t>00218577</t>
  </si>
  <si>
    <t>LEQUERNAQUE FIGUEROA CARLOS JACINTO</t>
  </si>
  <si>
    <t>DELGADO ARANA RONALD ORACIO</t>
  </si>
  <si>
    <t>Educacion Superior (Instituto Superior)</t>
  </si>
  <si>
    <t>80673203</t>
  </si>
  <si>
    <t xml:space="preserve"> LAMA ALEMAN WAGNER</t>
  </si>
  <si>
    <t>00328829</t>
  </si>
  <si>
    <t>PERATA RIOS JUAN CARLOS</t>
  </si>
  <si>
    <t>03109243</t>
  </si>
  <si>
    <t>CARHUAPOMA SALVADOR SANTOS</t>
  </si>
  <si>
    <t>00202882</t>
  </si>
  <si>
    <t>PACHERRES SALDARRIAGA ODDAR</t>
  </si>
  <si>
    <t>OPERADOR DE REBOMBEO Y CAMARA DE BOMBEO DE DESAGUE</t>
  </si>
  <si>
    <t>00321737</t>
  </si>
  <si>
    <t>CALISAYA CALAMULLO JAVIER</t>
  </si>
  <si>
    <t>00322727</t>
  </si>
  <si>
    <t>YACILA BOULANGGER JAIME</t>
  </si>
  <si>
    <t>41369968</t>
  </si>
  <si>
    <t>ALVARADO CORNEJO PETER ALEXANDER</t>
  </si>
  <si>
    <t>EGRESADO TECNICO - CONTABILIDAD</t>
  </si>
  <si>
    <t>44844051</t>
  </si>
  <si>
    <t>ALMESTAR MONASTERIO JUAN MANUEL</t>
  </si>
  <si>
    <t>80276532</t>
  </si>
  <si>
    <t>PAREDES CASTILLO TEODORO</t>
  </si>
  <si>
    <t>43718256</t>
  </si>
  <si>
    <t>CAJUSOL SANDOVAL JOSE FRANCISCO</t>
  </si>
  <si>
    <t>03682225</t>
  </si>
  <si>
    <t>ARMESTAR VILLALTA JUAN FERNANDO</t>
  </si>
  <si>
    <t>00211918</t>
  </si>
  <si>
    <t>MATOS DEL ROSARIO MARCIAL</t>
  </si>
  <si>
    <t>SAAVEDRA LOZADA JOEL ERNESTO</t>
  </si>
  <si>
    <t>00321109</t>
  </si>
  <si>
    <t>PALOMINO SALDARRIAGA GEMIS</t>
  </si>
  <si>
    <t>73977792</t>
  </si>
  <si>
    <t>AGURTO SANDOVAL YINSON ROBINSON</t>
  </si>
  <si>
    <t>OPERADOR PLANTA</t>
  </si>
  <si>
    <t>44469948</t>
  </si>
  <si>
    <t>PRECIADO HERRERA JOSE SANTOS</t>
  </si>
  <si>
    <t>40583127</t>
  </si>
  <si>
    <t>CORONADO SANDOVAL RUBIO</t>
  </si>
  <si>
    <t xml:space="preserve">OPERADOR PLANTA </t>
  </si>
  <si>
    <t>46721093</t>
  </si>
  <si>
    <t>ZEVALLOS SANCHEZ JONNER</t>
  </si>
  <si>
    <t>41817467</t>
  </si>
  <si>
    <t>SAAVEDRA LOZADA MARCO ANTONIO</t>
  </si>
  <si>
    <t>TECNICO ELECTRICISTA INDUSTRIAL SENATI</t>
  </si>
  <si>
    <t>OPERADOR DE RESERVORIO</t>
  </si>
  <si>
    <t>44976186</t>
  </si>
  <si>
    <t>MELENDEZ MOGOLLON MARLON JOSUE</t>
  </si>
  <si>
    <t>00227761</t>
  </si>
  <si>
    <t>COSTA VILELA PERCY RAMOS</t>
  </si>
  <si>
    <t>00369329</t>
  </si>
  <si>
    <t>PEREZ MENDOZA ARTURO</t>
  </si>
  <si>
    <t>EJECUTORA 001 - SENCICO</t>
  </si>
  <si>
    <t>TECNICO CONTABLE</t>
  </si>
  <si>
    <t>08558424</t>
  </si>
  <si>
    <t>AGUILAR CARRASCO CARMEN BLANCA</t>
  </si>
  <si>
    <t>17906053</t>
  </si>
  <si>
    <t>ALDEA POLO SEGUNDO RAFAEL</t>
  </si>
  <si>
    <t>06281696</t>
  </si>
  <si>
    <t>ALFARO FRANCO JESSICA ELISA</t>
  </si>
  <si>
    <t>07525233</t>
  </si>
  <si>
    <t>ALIAGA LAZO ROCIO JESSICA</t>
  </si>
  <si>
    <t xml:space="preserve">COORDINADOR DE ORGANIZACIÓN DE EVENTOS Y PROTOCOLO </t>
  </si>
  <si>
    <t>41255441</t>
  </si>
  <si>
    <t>ALMENGOR SOLIS CARLA JANETT</t>
  </si>
  <si>
    <t>BACHILLER EN CIENCIAS DE LA COMUNICACIÓN</t>
  </si>
  <si>
    <t>ALMACENERO</t>
  </si>
  <si>
    <t>29480694</t>
  </si>
  <si>
    <t>ALPACA CHAVEZ NICOLAS JOSE MARIA</t>
  </si>
  <si>
    <t>BACHILELR EN CONTABILIDAD</t>
  </si>
  <si>
    <t>TECNICO EDUCATIVO</t>
  </si>
  <si>
    <t>42622988</t>
  </si>
  <si>
    <t>ALTAMIRANO CHOQUE AGUSTÍN MARCELINO</t>
  </si>
  <si>
    <t>PROFESOR DE COMPUTACIÓN E INFORMÁTICA</t>
  </si>
  <si>
    <t xml:space="preserve">TÉCNICO DE INFORMES Y REGISTROS </t>
  </si>
  <si>
    <t>47778078</t>
  </si>
  <si>
    <t>ANGULO SOTO RUTH CAROLINA</t>
  </si>
  <si>
    <t>AUXILIAR EDUCATIVO</t>
  </si>
  <si>
    <t>43353796</t>
  </si>
  <si>
    <t>APAZA HUALLPA GIOVANNA</t>
  </si>
  <si>
    <t>COORDINADOR DE CARRERAS PARA EL PROGRAMA DE FORMACION DE TECNICOS</t>
  </si>
  <si>
    <t>04086003</t>
  </si>
  <si>
    <t>APELO INZA CESAR ANGEL</t>
  </si>
  <si>
    <t>LICENCIADO</t>
  </si>
  <si>
    <t>LICENCIADO EN EDUCACION SECUNDARIA</t>
  </si>
  <si>
    <t>SUPERVISOR DE GERENCIAS ZONALES (CARGO DE CONFIANZA)</t>
  </si>
  <si>
    <t>08250659</t>
  </si>
  <si>
    <t>AQUINO CAVERO DARWIN JOSE EMILIO</t>
  </si>
  <si>
    <t>TÉCNICO ADMINISTRATIVO PARA ESCUELA SUPERIOR TECNOLÓGICA</t>
  </si>
  <si>
    <t>42469945</t>
  </si>
  <si>
    <t>ARISMENDIZ NIMA PAOLA LISSET</t>
  </si>
  <si>
    <t>ATENCIÓN AL PÚBLICO E INSCRIBIR PARTICIPANTES</t>
  </si>
  <si>
    <t>28317468</t>
  </si>
  <si>
    <t>ARNAO MEJIA ALICIA</t>
  </si>
  <si>
    <t>COORDINADOR DE PROYECTOS DE INVESTIGACIÓN EN LOS RUBROS DE SANEAMIENTO Y SISTEMAS CONSTRUCTIVOS TRADICIONALES</t>
  </si>
  <si>
    <t>48246027</t>
  </si>
  <si>
    <t>ASPILCUETA ASENCIOS MANUEL URIEL</t>
  </si>
  <si>
    <t>COORDINADOR DE PROYECTOS EN LOS RUBROS DE SANEAMIENTO, SISTEMAS
CONSTRUCTIVOS TRADICIONALES Y ENSAYOS NO DESTRUCTIVOS PARA LA INSPECCIÓN DE
ESTRUCTURAS PARA LA GERENCIA DE INVESTIGACIÓN Y NORMALIZACIÓN</t>
  </si>
  <si>
    <t>MÉDICO OCUPACIONAL</t>
  </si>
  <si>
    <t>40807523</t>
  </si>
  <si>
    <t>AVILA BAUTISTA ANDRES ALEJANDRO</t>
  </si>
  <si>
    <t>MEDICO</t>
  </si>
  <si>
    <t>40814659</t>
  </si>
  <si>
    <t>AVILA CAYCHO CARMELA LILIANA</t>
  </si>
  <si>
    <t>BACHILLER EN CIENCIAS FINANCIERAS Y CONTABLES</t>
  </si>
  <si>
    <t>21553809</t>
  </si>
  <si>
    <t>BARCENA CCOYLLO JUAN CARLOS</t>
  </si>
  <si>
    <t>ESPECIALISTA PARA LA REALIZACIÓN DE CONTRATACIONES DE ADJUDICACIONES SIN PROCEDIMIENTO DE SELECCIÓN (ASP)</t>
  </si>
  <si>
    <t>42695555</t>
  </si>
  <si>
    <t>BARZOLA CUTTI ROY</t>
  </si>
  <si>
    <t>LICENCIADO EN INGESTIGACION OPERATIVA</t>
  </si>
  <si>
    <t>ASISTENTE EDUCATIVO</t>
  </si>
  <si>
    <t>42303808</t>
  </si>
  <si>
    <t>BAUTISTA BEJAR MARCOS</t>
  </si>
  <si>
    <t>TÉCNICO EN ORIENTACIÓN DE APORTES</t>
  </si>
  <si>
    <t>43334591</t>
  </si>
  <si>
    <t>BECERRA NUÑEZ KATTHIA ROSALBA</t>
  </si>
  <si>
    <t>ASISTENTE ADMINISTRATIVO PARA EL ARCHIVO CENTRAL</t>
  </si>
  <si>
    <t>46884873</t>
  </si>
  <si>
    <t>BEDON TORRES MARTHA CARINA</t>
  </si>
  <si>
    <t>RESPONSABLE DE LA IMPLEMENTACIÓN, MODIFICACIÓN Y ADAPTACIÓN DE SISTEMAS INFORMÁTICOS</t>
  </si>
  <si>
    <t>44659906</t>
  </si>
  <si>
    <t>BERNARDO UPIACHIHUA PERCY ALEX</t>
  </si>
  <si>
    <t>TÉCNICO SUPERVISOR EN EL LABORATORIO DE AGREGADOS Y CONCRETO</t>
  </si>
  <si>
    <t>10401239</t>
  </si>
  <si>
    <t>BOLO SALDAÑA JORGE LUIS</t>
  </si>
  <si>
    <t>LABORATORIO DE SUELOS CONCRETO Y ASFALTO</t>
  </si>
  <si>
    <t>PROFESIONAL TECNICO EN LABORATORIO DE SUELOS CONCRETO Y ASFALTO</t>
  </si>
  <si>
    <t>ESPECIALISTA EN  SIAF PRESUPUESTO, PARA EL MANEJO DE LOS MÓDULOS PRESUPUESTO (EJECUTORA Y PLIEGO) Y ADMINISTRATIVO DEL SISTEMA INTEGRADO DE ADMINISTRACIÓN FINANCIERA (SIAF)</t>
  </si>
  <si>
    <t>09387481</t>
  </si>
  <si>
    <t>BORDA BARREDA BETSABE ESTELA</t>
  </si>
  <si>
    <t>JEFE DE LA OFICINA DE SECRETARIA GENERAL (CARGO DE CONFIANZA)</t>
  </si>
  <si>
    <t>44019925</t>
  </si>
  <si>
    <t>BUSTAMANTE GONZALEZ NATALIA ANGELICA</t>
  </si>
  <si>
    <t>TÉCNICO EN INFORMES Y ATENCIÓN TELEFÓNICA</t>
  </si>
  <si>
    <t>42952741</t>
  </si>
  <si>
    <t>BUTRON HUAROTO MAGALY</t>
  </si>
  <si>
    <t>PSICÓLOGO</t>
  </si>
  <si>
    <t>07913040</t>
  </si>
  <si>
    <t>CABALLERO FALCONI PATRICIA SUSANA</t>
  </si>
  <si>
    <t>PSICOLOGA</t>
  </si>
  <si>
    <t>00517132</t>
  </si>
  <si>
    <t>CALDERON ABAL JUAN CARLOS MARTIN</t>
  </si>
  <si>
    <t>PROFESIONAL TECNICO EN ELECTRONICA</t>
  </si>
  <si>
    <t>TÉCNICO EN MANTENIMIENTO Y SOPORTE INFORMÁTICO</t>
  </si>
  <si>
    <t>29631183</t>
  </si>
  <si>
    <t>CALDERON VALENCIA BORIS JHON</t>
  </si>
  <si>
    <t>ASISTENTE DE ALMACENES</t>
  </si>
  <si>
    <t>40274364</t>
  </si>
  <si>
    <t>CAMPO FLORES ROSA ALICIA</t>
  </si>
  <si>
    <t>LICENCIADA EN OBSTETRICIA</t>
  </si>
  <si>
    <t>23265365</t>
  </si>
  <si>
    <t>CARDENAS TORRES ANGEL EDGAR</t>
  </si>
  <si>
    <t>ANALISTA DE EJECUCIÓN DE GASTOS</t>
  </si>
  <si>
    <t>45409673</t>
  </si>
  <si>
    <t>CARLOS REMIGIO MILAGROS MARIA</t>
  </si>
  <si>
    <t>SOPORTE TÉCNICO DE EQUIPOS DE COMPUTO</t>
  </si>
  <si>
    <t>07456911</t>
  </si>
  <si>
    <t>CARMONA PEDRAZA EDWIN</t>
  </si>
  <si>
    <t>TECNICO EN MICROCOMPUTADORAS</t>
  </si>
  <si>
    <t>EGRESADO EN TECNICO EN MICROCOMPUTADORAS</t>
  </si>
  <si>
    <t>GERENTE DE OFICINA DE PLANIFICACIÓN Y PRESUPUESTO</t>
  </si>
  <si>
    <t>07843273</t>
  </si>
  <si>
    <t>CARRERA MARTINEZ MARIA ELENA</t>
  </si>
  <si>
    <t>TÉCNICO SECRETARIAL</t>
  </si>
  <si>
    <t>40891049</t>
  </si>
  <si>
    <t>CASTILLO ZAMORA CAROLINA</t>
  </si>
  <si>
    <t>EDIFICACIONES</t>
  </si>
  <si>
    <t>ESPECIALISTA EN DIAGRAMACIÓN</t>
  </si>
  <si>
    <t>45197772</t>
  </si>
  <si>
    <t>CASTRO IBARRA ERICKSON BRYAN</t>
  </si>
  <si>
    <t>SOPORTE TECNICO</t>
  </si>
  <si>
    <t>40171703</t>
  </si>
  <si>
    <t>CHACON GONZALEZ YESICA</t>
  </si>
  <si>
    <t>INFORMATICO</t>
  </si>
  <si>
    <t>TÉCNICO LABORATORISTA EN ALBAÑILERÍA Y PROTOTIPOS</t>
  </si>
  <si>
    <t>10742132</t>
  </si>
  <si>
    <t>CHAHUA PACCHO PATRICIA JOSEFA</t>
  </si>
  <si>
    <t>TÉCNICO ADMINISTRATIVO Y DE INFORMES</t>
  </si>
  <si>
    <t>29712033</t>
  </si>
  <si>
    <t>CHAUCA FLORIAN GIANNINA OFELIA</t>
  </si>
  <si>
    <t>LICENCIADA EN RELACIONES INDUSTRIALES</t>
  </si>
  <si>
    <t>44670931</t>
  </si>
  <si>
    <t>CHAUPIS LEYVA YENNY MILAGROS</t>
  </si>
  <si>
    <t>JEFE DEL DEPARTAMENTO DE RECURSOS HUMANOS</t>
  </si>
  <si>
    <t>06136806</t>
  </si>
  <si>
    <t>CHAVEZ FIGUEROA SEGUNDO VICTORIANO</t>
  </si>
  <si>
    <t>02778585</t>
  </si>
  <si>
    <t>CHIROQUE VALDEZ JORGE ALBERTO</t>
  </si>
  <si>
    <t>ESPECIALISTA EN PRE – INVERSION</t>
  </si>
  <si>
    <t>23261982</t>
  </si>
  <si>
    <t>CHOQUE CONTRERAS CARLOS HUBER</t>
  </si>
  <si>
    <t xml:space="preserve">ESPECIALISTA INFORMÁTICO </t>
  </si>
  <si>
    <t>09677795</t>
  </si>
  <si>
    <t>CHUQUILLANQUI BARRIENTOS JORGE LUIS</t>
  </si>
  <si>
    <t>ASISTENTE ADMINISTRATIVO EN SERVICIOS GENERALES</t>
  </si>
  <si>
    <t>46659855</t>
  </si>
  <si>
    <t>CHURA MAMANI KATIA</t>
  </si>
  <si>
    <t>CIENCIAS CONTABLE Y FINANCIERAS</t>
  </si>
  <si>
    <t>BACHILLER EN CIENCIAS CONTABLE Y FINANCIERAS</t>
  </si>
  <si>
    <t>SOPORTE INFORMÁTICO</t>
  </si>
  <si>
    <t>02845474</t>
  </si>
  <si>
    <t>COBEÑAS CHANDUVI MANUEL ANTONIO</t>
  </si>
  <si>
    <t>CONSERJE</t>
  </si>
  <si>
    <t>05225749</t>
  </si>
  <si>
    <t>COBOS LUNA JULIO EDWIN</t>
  </si>
  <si>
    <t>TÉCNICO EN MANTENIMIENTO Y REPARACIÓN DE EDIFICACIONES</t>
  </si>
  <si>
    <t>42984814</t>
  </si>
  <si>
    <t>CONTRERAS CUCHO NELSON SALOMON</t>
  </si>
  <si>
    <t>CONCLUIDO</t>
  </si>
  <si>
    <t>TECNICO PROFESIONAL DE ELECTRONICA INDUSTRIAL</t>
  </si>
  <si>
    <t>41722181</t>
  </si>
  <si>
    <t>CORTEZ AYZANOA YAQUELINE CINTHIA</t>
  </si>
  <si>
    <t>ESPECIALISTA EDUCATIVO</t>
  </si>
  <si>
    <t>07512339</t>
  </si>
  <si>
    <t>COTRINA PEREYRA ESTHER ELENA</t>
  </si>
  <si>
    <t>INGENIERA INSDUSTRIAL</t>
  </si>
  <si>
    <t>23274103</t>
  </si>
  <si>
    <t>CRISOSTOMO SAENZ GLADYS</t>
  </si>
  <si>
    <t>ASISTENTE DE NORMALIZACIÓN</t>
  </si>
  <si>
    <t>44157080</t>
  </si>
  <si>
    <t>CRISPIN CALDERON LEONARDO SAMUEL</t>
  </si>
  <si>
    <t>TECNICO PARA LABORATORIO DE EVALUACION DE COCINAS MEJORADAS A BIOMASA</t>
  </si>
  <si>
    <t>07880671</t>
  </si>
  <si>
    <t>CUENTAS NANQUEN PABLO ENRIQUE</t>
  </si>
  <si>
    <t xml:space="preserve">ASISTENTE TÉCNICO DE GESTIÓN PÚBLICA/AUTORITATIVAS </t>
  </si>
  <si>
    <t>47171034</t>
  </si>
  <si>
    <t>CUEVA SANCHEZ MARIA XIMENA</t>
  </si>
  <si>
    <t>AUDITORA</t>
  </si>
  <si>
    <t>46527498</t>
  </si>
  <si>
    <t>CURASI ÑAUPARI DIANA LESLIE</t>
  </si>
  <si>
    <t>SUPERVISOR DEL ORGANO DE CONTROL INSTITUCIONAL</t>
  </si>
  <si>
    <t>GERENTE DE ADMINISTRACIÓN Y FINANZAS  (CARGO DE CONFIANZA)</t>
  </si>
  <si>
    <t>07285964</t>
  </si>
  <si>
    <t>DE LA FLOR SAENZ LUIS ENRIQUE</t>
  </si>
  <si>
    <t>ESPECIALISTA EN CONTROL EDUCATIVO</t>
  </si>
  <si>
    <t>07786118</t>
  </si>
  <si>
    <t>DELGADO VARGAS CARLOS ROMULO</t>
  </si>
  <si>
    <t>GERENTE DE GERENCIA DE FORMACIÓN PROFESIONAL</t>
  </si>
  <si>
    <t>07568870</t>
  </si>
  <si>
    <t>ESCAJADILLO LA TORRE JUAN FERNANDO</t>
  </si>
  <si>
    <t>42100937</t>
  </si>
  <si>
    <t>ESCALANTE HUIMAN ELIZABETH JACKELINE</t>
  </si>
  <si>
    <t>07972838</t>
  </si>
  <si>
    <t>ESPARZA MORGAN SERGIO ISAIAS DE JESUS</t>
  </si>
  <si>
    <t xml:space="preserve">CONDUCTOR </t>
  </si>
  <si>
    <t>19324048</t>
  </si>
  <si>
    <t>ESPINOZA HERNANDEZ JUAN LITO</t>
  </si>
  <si>
    <t>PROFESIONAL ESPECIALISTA EN PROYECTOS DE INVERSIÓN</t>
  </si>
  <si>
    <t>42233079</t>
  </si>
  <si>
    <t>ESQUIVEL CHAVEZ CAROLINA</t>
  </si>
  <si>
    <t>40271353</t>
  </si>
  <si>
    <t>FERNANDEZ ALVAREZ EDGAR WILFREDO</t>
  </si>
  <si>
    <t>ASISTENTE DE ADMINISTRACIÓN RESPONSABLE DE ALMACENES</t>
  </si>
  <si>
    <t>02383126</t>
  </si>
  <si>
    <t>FERNANDEZ MAMANI ELISBAN</t>
  </si>
  <si>
    <t>45136226</t>
  </si>
  <si>
    <t>FERNANDEZ RODRIGUES ROMEL ANGEL</t>
  </si>
  <si>
    <t>NEGOCIOS INTERNACIONALES INCOMPLETO</t>
  </si>
  <si>
    <t>TÉCNICO DE ABASTECIMIENTO</t>
  </si>
  <si>
    <t>29616077</t>
  </si>
  <si>
    <t>FERNANDEZ URQUIZO GUSTAVO ALBERTO</t>
  </si>
  <si>
    <t>06812136</t>
  </si>
  <si>
    <t>FLORES GRANADOS MELISSA MILAGROS</t>
  </si>
  <si>
    <t>41658997</t>
  </si>
  <si>
    <t>FLORES LOMAS VICTOR ALFONSO</t>
  </si>
  <si>
    <t>BACHILLER EN EDUCACION</t>
  </si>
  <si>
    <t>PERSONAL PARA SOPORTE TÉCNICO EN REGISTROS ACADÉMICOS</t>
  </si>
  <si>
    <t>40740843</t>
  </si>
  <si>
    <t>FLORES RAMOS VILMA</t>
  </si>
  <si>
    <t>CIENCIAS CONTABLES</t>
  </si>
  <si>
    <t>76283109</t>
  </si>
  <si>
    <t>FLORES SÁNCHEZ GERSON ANTONIO</t>
  </si>
  <si>
    <t>PERSONAL PARA EL SEGUIMIENTO, CONTROL Y ORIENTACIÓN DE APORTES</t>
  </si>
  <si>
    <t>43154827</t>
  </si>
  <si>
    <t>FUENTES CHAMBIZEA CARLOS ROLANDO</t>
  </si>
  <si>
    <t>PROFESIONAL DEL ÁREA EDUCATIVO</t>
  </si>
  <si>
    <t>17431191</t>
  </si>
  <si>
    <t>FUENTES TORRES LAURA KARINA</t>
  </si>
  <si>
    <t>MADRE CUIDADORA DEL WAWA WASI INSTITUCIONAL</t>
  </si>
  <si>
    <t>07497292</t>
  </si>
  <si>
    <t>GALVAN RETTO JESSICA MILAGROS</t>
  </si>
  <si>
    <t>TECNICA EN EDUCACION INICIAL</t>
  </si>
  <si>
    <t>43210322</t>
  </si>
  <si>
    <t>GARMA SAAVEDRA HUGO ANDRES</t>
  </si>
  <si>
    <t>EGRESADO DE LA CARRERA TÉCNICO LABORATORISTA EN ENSAYOS DE SUELOS, CONCRETO Y ASFALTO</t>
  </si>
  <si>
    <t>41365098</t>
  </si>
  <si>
    <t>GELDRES SANCHEZ FREDDY ROMAN</t>
  </si>
  <si>
    <t>AUXILIAR PARA EL GABINETE DE TOPOGRAFÍA</t>
  </si>
  <si>
    <t>48091420</t>
  </si>
  <si>
    <t>GODOS SANCHEZ LENIN SCHMIDT</t>
  </si>
  <si>
    <t>42024544</t>
  </si>
  <si>
    <t>GOMEZ HUAYANAY OSCAR</t>
  </si>
  <si>
    <t>DIBUJO EN CONSTRUCCION CIVIL</t>
  </si>
  <si>
    <t>TECNICO DIBUJO EN CONSTRUCCION CIVIL</t>
  </si>
  <si>
    <t>ESPECIALISTA EN TRIBUTACIÓN</t>
  </si>
  <si>
    <t>44533080</t>
  </si>
  <si>
    <t>GONZALES PARDO ROSSEMERY</t>
  </si>
  <si>
    <t>EGRESADO EN CONTABILIDAD</t>
  </si>
  <si>
    <t>TÉCNICO EN APORTES</t>
  </si>
  <si>
    <t>41332852</t>
  </si>
  <si>
    <t>GONZALES TORRES ADRIANA</t>
  </si>
  <si>
    <t>CONTABILIDAD Y FINANZAS</t>
  </si>
  <si>
    <t>BACHILLER EN CONTABILIDAD Y FINANZAS</t>
  </si>
  <si>
    <t>AUXILIAR ADMINISTRATIVO - ESCALAFÓN DE PERSONAL</t>
  </si>
  <si>
    <t>45964629</t>
  </si>
  <si>
    <t>GUTIERREZ ALCOCER CESAR ALBERTO</t>
  </si>
  <si>
    <t>DIPLOMADO EN GESTION DE DOCUMENTOS Y TECNOL. PARA ARCHIVOS</t>
  </si>
  <si>
    <t>ESPECIALISTA EN GESTIÓN MUNICIPAL/AUTORITARIAS</t>
  </si>
  <si>
    <t>19868312</t>
  </si>
  <si>
    <t>GUTIERREZ DIAZ CESAR AUGUSTO</t>
  </si>
  <si>
    <t>41371751</t>
  </si>
  <si>
    <t>GUTIERREZ DUEÑAS LUZ JHELINA</t>
  </si>
  <si>
    <t>INGENIERA ELECTRONICA</t>
  </si>
  <si>
    <t>TÉCNICO DE INFORMES Y REGISTROS, PARA LA OFICINA DE COORDINACIÓN ACADÉMICA PARA LA UNIDAD OPERATIVA MOYOBAMBA</t>
  </si>
  <si>
    <t>47503589</t>
  </si>
  <si>
    <t>HAYA ARISTA DANNAE VANESSA</t>
  </si>
  <si>
    <t xml:space="preserve">TÉCNICO EN ADMINISTRACION </t>
  </si>
  <si>
    <t>ASISTENTE PARA LA ATENCIÓN AL PÚBLICO</t>
  </si>
  <si>
    <t>21571081</t>
  </si>
  <si>
    <t>HERNANDEZ CORDOVA CARMEN ROSA</t>
  </si>
  <si>
    <t>PROFESIONAL TECNICO EN SECRETARIADO EJECUTIVO</t>
  </si>
  <si>
    <t>AUXILIAR PARA LOS TALLERES DE PRÁCTICA CONSTRUCTIVA</t>
  </si>
  <si>
    <t>21414217</t>
  </si>
  <si>
    <t>HERNANDEZ ESPILCO OSCAR MARCELINO</t>
  </si>
  <si>
    <t>TÉCNICO EN REPARACIÓN DE COMPUTADORAS</t>
  </si>
  <si>
    <t>40917658</t>
  </si>
  <si>
    <t>HERNANDEZ MARTINEZ MIGUEL TEODORO</t>
  </si>
  <si>
    <t>ENSAMBLAJE Y REPARACIÓN DE MICROCOMPUTADORAS</t>
  </si>
  <si>
    <t>EGRESADO EN EMSAMBLAJE</t>
  </si>
  <si>
    <t>CONDUCTOR DE PARA TRASLADO DE PERSONAL</t>
  </si>
  <si>
    <t>21534398</t>
  </si>
  <si>
    <t>HERRERA PINO JUAN CARLOS</t>
  </si>
  <si>
    <t>09536905</t>
  </si>
  <si>
    <t>HERRERA SALGADO GODOFREDO</t>
  </si>
  <si>
    <t>ADMINISTRADOR DE FLOTA VEHICULAR</t>
  </si>
  <si>
    <t>SECRETARIA QUE BRINDE INFORMES E INSCRIPCIONES Y REALICE LABORES TÉCNICO ADMINISTRATIVAS</t>
  </si>
  <si>
    <t>43098333</t>
  </si>
  <si>
    <t>HERRERA SANCHEZ ERIKA NIVETH</t>
  </si>
  <si>
    <t>41530089</t>
  </si>
  <si>
    <t>HUALLPA HUAMAN KEKA</t>
  </si>
  <si>
    <t>LICENCIADO EN EDUCACION ESPECIAL</t>
  </si>
  <si>
    <t xml:space="preserve">CONDUCTOR DE VEHÍCULO </t>
  </si>
  <si>
    <t>29577070</t>
  </si>
  <si>
    <t>HUANCA ALEJO BRUNO EMILIANO</t>
  </si>
  <si>
    <t>09873656</t>
  </si>
  <si>
    <t>HUARACHI ESCOBAR BEATRIZ JESSICA</t>
  </si>
  <si>
    <t xml:space="preserve">BACHILLER EN ADMINISTRACION </t>
  </si>
  <si>
    <t>JEFE DEL DEPARTAMENTO DE ABASTECIMIENTO (CARGO DE CONFIANZA)</t>
  </si>
  <si>
    <t>40372160</t>
  </si>
  <si>
    <t>HUAYAMA ANDRADE ADRIAN GUILLERMO</t>
  </si>
  <si>
    <t>RESPONSABLE DE MANTENIMIENTO Y LIMPIEZA</t>
  </si>
  <si>
    <t>01230971</t>
  </si>
  <si>
    <t>HUMPIRI QUISPE ESTEBAN LEONARDO</t>
  </si>
  <si>
    <t>COORDINADORA DEL WAWA WASI INSTITUCIONAL</t>
  </si>
  <si>
    <t>21119472</t>
  </si>
  <si>
    <t>INOCENTE ROJAS CARMELA ROSA</t>
  </si>
  <si>
    <t>EDUCACION INICIAL</t>
  </si>
  <si>
    <t>TITULADA</t>
  </si>
  <si>
    <t>LICENCIADA EN EDUCACION INICIAL</t>
  </si>
  <si>
    <t>PROFESIONAL EDUCATIVO</t>
  </si>
  <si>
    <t>06660680</t>
  </si>
  <si>
    <t>LAZARO SALCEDO JUAN SAYVHER</t>
  </si>
  <si>
    <t>ASISTENTE PARA EL CONTROL DE APORTES</t>
  </si>
  <si>
    <t>44745914</t>
  </si>
  <si>
    <t>LAZO CRISTOBAL YESSICA MADELEYNE</t>
  </si>
  <si>
    <t>RESPONSABLE DE COCINA PARA EL WAWA WASI INSTITUCIONAL</t>
  </si>
  <si>
    <t>07689814</t>
  </si>
  <si>
    <t>LLICAN YENGLE MANUELA ETELVINA</t>
  </si>
  <si>
    <t>EJECUTORA 001 - SBN</t>
  </si>
  <si>
    <t>07523045</t>
  </si>
  <si>
    <t>MENDOZA MUNAICO LILIANA ROBERTA</t>
  </si>
  <si>
    <t>07636877</t>
  </si>
  <si>
    <t>CARRASCO PANTA MARIA DEL CARMEN</t>
  </si>
  <si>
    <t>MANTENIMIENTO (APOYO EN SERVICIOS GENERALES)</t>
  </si>
  <si>
    <t>07890493</t>
  </si>
  <si>
    <t>GARRO CASTILLO GREGORIO MAGNO</t>
  </si>
  <si>
    <t>07961500</t>
  </si>
  <si>
    <t xml:space="preserve">SILVA SOLOGUREN FELIPE GUILLERMO </t>
  </si>
  <si>
    <t>08130622</t>
  </si>
  <si>
    <t>VASQUEZ RUIZ YOVANNA ELSA</t>
  </si>
  <si>
    <t>ADMNISTRADOR</t>
  </si>
  <si>
    <t>ANALISTA EN CONCILIACIONES BANCARIAS</t>
  </si>
  <si>
    <t>08138457</t>
  </si>
  <si>
    <t>ZAVALETA VILLANUEVA NELLY LUCIA</t>
  </si>
  <si>
    <t>BACHILLER CONTABILIDAD</t>
  </si>
  <si>
    <t>ESPECIALISTA EN PLANILLAS</t>
  </si>
  <si>
    <t>08139483</t>
  </si>
  <si>
    <t>BEJAR RIOS MARGARITA BETZABETH</t>
  </si>
  <si>
    <t>ESPECIALISTA EN PROGRAMACION Y SEGUIMIENTO PRESUPUESTAL</t>
  </si>
  <si>
    <t>08163803</t>
  </si>
  <si>
    <t>TORRES FERNANDEZ OSCAR MARTIN</t>
  </si>
  <si>
    <t>BACH. ADM. NEGOCIOS INTERNACIONALES</t>
  </si>
  <si>
    <t>ADM. NEGOCIOS INTERNACIONALES</t>
  </si>
  <si>
    <t>08300351</t>
  </si>
  <si>
    <t>PEREZ SILVA ARNULFO</t>
  </si>
  <si>
    <t>ESPECIALISTA EN PLANEAMIENTO Y MODERNIZACION</t>
  </si>
  <si>
    <t>08318825</t>
  </si>
  <si>
    <t>ALFARO CONDE JORGE ANTONIO</t>
  </si>
  <si>
    <t>LIC. ADMINISTRACION</t>
  </si>
  <si>
    <t>JEFE DE COMISION</t>
  </si>
  <si>
    <t>08710684</t>
  </si>
  <si>
    <t>CASTRO TORRES LEOPOLDO MAURICIO</t>
  </si>
  <si>
    <t>08765250</t>
  </si>
  <si>
    <t>MEDINA ARDILES JAKELIN JULIANA</t>
  </si>
  <si>
    <t>08777689</t>
  </si>
  <si>
    <t>MAZZINI OTERO CARLOS ENRIQUE</t>
  </si>
  <si>
    <t>BACH ADM EMPRESAS</t>
  </si>
  <si>
    <t>ADM EMPRESAS</t>
  </si>
  <si>
    <t>AUXILIAR DE OFICINA (APOYO ADMINISTRATIVO)</t>
  </si>
  <si>
    <t>09175191</t>
  </si>
  <si>
    <t>ARTICA CAMAYO DE RIMACHE GENOVEVA</t>
  </si>
  <si>
    <t>ABOGADO I</t>
  </si>
  <si>
    <t>09599600</t>
  </si>
  <si>
    <t>MARROQUIN MOSQUEIRA ALEXIS DAVID</t>
  </si>
  <si>
    <t>09702419</t>
  </si>
  <si>
    <t>CAYCHO HUAPAYA EDGAR ROLANDO</t>
  </si>
  <si>
    <t>09875226</t>
  </si>
  <si>
    <t>BECERRA DAVILA BERTHA ELENA</t>
  </si>
  <si>
    <t>EGRESADA ADM.</t>
  </si>
  <si>
    <t>09891628</t>
  </si>
  <si>
    <t>ALDAZABAL ARAUJO JANET</t>
  </si>
  <si>
    <t>ESPECIALISTA EN COMUNICACIONES Y RELACIONES PUBLICAS</t>
  </si>
  <si>
    <t>09929419</t>
  </si>
  <si>
    <t>BUSTAMANTE SALVATIERRA MARCO ANTONIO</t>
  </si>
  <si>
    <t>LIC EN COMUNICACIÓN</t>
  </si>
  <si>
    <t>09953147</t>
  </si>
  <si>
    <t>HERRERA ROJAS DANNY EDUARDO</t>
  </si>
  <si>
    <t>TECNICO MECANICA DIESEL</t>
  </si>
  <si>
    <t>10093848</t>
  </si>
  <si>
    <t>MEDINA SILVA KARINA YESSETH</t>
  </si>
  <si>
    <t>10107711</t>
  </si>
  <si>
    <t xml:space="preserve">CHAVEZ GUIMARAY CECILIA ELIZABETH </t>
  </si>
  <si>
    <t>10154615</t>
  </si>
  <si>
    <t>CABRERA PALOMINO OSCAR ALFREDO</t>
  </si>
  <si>
    <t>OPERADORA DE CENTRAL TELEFÓNICA</t>
  </si>
  <si>
    <t>10424348</t>
  </si>
  <si>
    <t>VILCHEZ MALQUI PATRICIA HAYDEE</t>
  </si>
  <si>
    <t>TÉCNICO EN FARMACIA</t>
  </si>
  <si>
    <t>OPERADOR DE CENTRAL TELEFÓNICA</t>
  </si>
  <si>
    <t>10563154</t>
  </si>
  <si>
    <t xml:space="preserve">MUÑOZ VALLE RIGOBERTO </t>
  </si>
  <si>
    <t>10648531</t>
  </si>
  <si>
    <t xml:space="preserve">CASTILLO VILLANUEVA RENZO YOVANNI  </t>
  </si>
  <si>
    <t>TECNICA (SECRETARIA)</t>
  </si>
  <si>
    <t>10868594</t>
  </si>
  <si>
    <t>RODRIGUEZ BAZAN MARIA ELENA</t>
  </si>
  <si>
    <t>EGRESADA DE INSTITUTO TÉCNICO</t>
  </si>
  <si>
    <t>15348868</t>
  </si>
  <si>
    <t>CARDENAS YAYA HELI HERNANDO</t>
  </si>
  <si>
    <t>15852733</t>
  </si>
  <si>
    <t>QUINTANA NUÑEZ GLADYS MERY</t>
  </si>
  <si>
    <t>ASISTENTE GERENCIA</t>
  </si>
  <si>
    <t>TITUTLADA</t>
  </si>
  <si>
    <t>CHOFER DE ALTA DIRECCION</t>
  </si>
  <si>
    <t>16156177</t>
  </si>
  <si>
    <t>ARROYO COCHACHE MARCO EDISON</t>
  </si>
  <si>
    <t>SEC COMPLETA</t>
  </si>
  <si>
    <t>ESPECIALISTA EN BIENES ESTATALES</t>
  </si>
  <si>
    <t>16439582</t>
  </si>
  <si>
    <t>GUERRERO SAMAME OSCAR ANTONIO</t>
  </si>
  <si>
    <t>ESPECIALISTA EN DESCENTRALIZACION</t>
  </si>
  <si>
    <t>17874412</t>
  </si>
  <si>
    <t>MENDOZA VALDERRAMA SILVIA ROSA</t>
  </si>
  <si>
    <t>18093175</t>
  </si>
  <si>
    <t>HORNA ALFARO JULIA ROSA</t>
  </si>
  <si>
    <t xml:space="preserve">AUDITOR EN EL CONTROL GUBERNAMENTAL </t>
  </si>
  <si>
    <t>22403204</t>
  </si>
  <si>
    <t>CHAVEZ SIXTO MARIA LUZ</t>
  </si>
  <si>
    <t>SUPERVISOR DEL SISTEMA ADM. DE PERSONAL</t>
  </si>
  <si>
    <t>23900813</t>
  </si>
  <si>
    <t>LOAYZA CESPEDES JORGE LUIS</t>
  </si>
  <si>
    <t>25680396</t>
  </si>
  <si>
    <t>MEDINA LARA YISSELA YANET</t>
  </si>
  <si>
    <t>25745838</t>
  </si>
  <si>
    <t>ZEGARRA ALEGRIA JUANA VICTORIA</t>
  </si>
  <si>
    <t>25838583</t>
  </si>
  <si>
    <t>GUZMAN TAHUATA JESSICA MILAGROS</t>
  </si>
  <si>
    <t>25856409</t>
  </si>
  <si>
    <t>GUERRERO REYES JACQUELINE KATIA</t>
  </si>
  <si>
    <t>27965012</t>
  </si>
  <si>
    <t>SOLIS CRUZADO ARQUIMEDES</t>
  </si>
  <si>
    <t>ABOGADO PENALISTA</t>
  </si>
  <si>
    <t>32884435</t>
  </si>
  <si>
    <t>LOPEZ ARIAS MILTON GUSTAVO</t>
  </si>
  <si>
    <t>ASISTENTE SECRETARIAL</t>
  </si>
  <si>
    <t>40039091</t>
  </si>
  <si>
    <t>CHAVEZ GRANDE MILAGROS ELY</t>
  </si>
  <si>
    <t>PERSONA NATURAL SAT</t>
  </si>
  <si>
    <t>40041729</t>
  </si>
  <si>
    <t>SANCHEZ TORREJON BEATRIZ ALICIA</t>
  </si>
  <si>
    <t>40354973</t>
  </si>
  <si>
    <t>YABAR  BERROCAL KATIA</t>
  </si>
  <si>
    <t>40442174</t>
  </si>
  <si>
    <t>VALDIVIA GUERREROS FANY GREISY</t>
  </si>
  <si>
    <t>MEDICO EN SALUD ASISTENCIAL</t>
  </si>
  <si>
    <t>40562062</t>
  </si>
  <si>
    <t>GUTIERREZ QUEQUEZANA ROSE MARY</t>
  </si>
  <si>
    <t>40654360</t>
  </si>
  <si>
    <t xml:space="preserve">FERNANDEZ REYES VERNA WILFREDO </t>
  </si>
  <si>
    <t>ESPECIALISTA LEGAL - SECRETARIA TECNICA</t>
  </si>
  <si>
    <t>40953793</t>
  </si>
  <si>
    <t>MALVACEDA MAURICIO SILVIA MAXIMA</t>
  </si>
  <si>
    <t>41146076</t>
  </si>
  <si>
    <t>SALAZAR ZERGA IAN CARLOS</t>
  </si>
  <si>
    <t>ESPECIALISTA EN RACIONALIZACION</t>
  </si>
  <si>
    <t>41173821</t>
  </si>
  <si>
    <t>CHAVA QUISPE CATHERYNE</t>
  </si>
  <si>
    <t>ANALISTA EN BIENES ESTATALES</t>
  </si>
  <si>
    <t>41284164</t>
  </si>
  <si>
    <t>CHONTA SOLAR ELENA DOLORES</t>
  </si>
  <si>
    <t>41393929</t>
  </si>
  <si>
    <t>AYLAS GUZMAN KARLA YULHIANNA</t>
  </si>
  <si>
    <t>RECEPCIONISTA DE MESA DE PARTES II</t>
  </si>
  <si>
    <t>41434643</t>
  </si>
  <si>
    <t>LOPEZ GONZALES LIDIA ROSALIA</t>
  </si>
  <si>
    <t>DIGITADORA</t>
  </si>
  <si>
    <t>ASESOR LEGAL EN BIENES ESTATALES</t>
  </si>
  <si>
    <t>41593376</t>
  </si>
  <si>
    <t>DELGADO HEREDIA MARIA DEL ROSARIO IRENE</t>
  </si>
  <si>
    <t>41643778</t>
  </si>
  <si>
    <t>GOMEZ FERNANDEZ WILLIAN JUAN</t>
  </si>
  <si>
    <t>41654788</t>
  </si>
  <si>
    <t>BERNAL GUERRERO JOSE LUIS</t>
  </si>
  <si>
    <t>TEC ADM DE NEGOCIOS INTERNACIONALES</t>
  </si>
  <si>
    <t>41670193</t>
  </si>
  <si>
    <t>MUÑOZ CHACON JUAN JOSE</t>
  </si>
  <si>
    <t>ASISTENTE DE FACTURACION Y SEGUIMIENTO DE CONTRATOS</t>
  </si>
  <si>
    <t>41698980</t>
  </si>
  <si>
    <t>QUIÑONES BORDA FABIOLA NORIS</t>
  </si>
  <si>
    <t>ADJUNTA LEGAL</t>
  </si>
  <si>
    <t>41706474</t>
  </si>
  <si>
    <t>BUSTAMANTE GONZALEZ PAOLA MARIA ELISA</t>
  </si>
  <si>
    <t>41826826</t>
  </si>
  <si>
    <t>PERALTA CALDERON MELISSA</t>
  </si>
  <si>
    <t>41846751</t>
  </si>
  <si>
    <t>PEREYRA CARLOS SHIRLEY BRESSIA</t>
  </si>
  <si>
    <t>41902397</t>
  </si>
  <si>
    <t xml:space="preserve">LUZON ALBERCA DEYSI DEL CARMEN </t>
  </si>
  <si>
    <t>41954802</t>
  </si>
  <si>
    <t>SILVA USCAMAYTA MARIANELA</t>
  </si>
  <si>
    <t>41963568</t>
  </si>
  <si>
    <t xml:space="preserve">NINAJA PARIGUANA DE BOUILLET LILIANA CECILIA </t>
  </si>
  <si>
    <t>ABOGADA COORDINADORA</t>
  </si>
  <si>
    <t>42179229</t>
  </si>
  <si>
    <t>DEXTRE ROJAS JULIETH BELISSA</t>
  </si>
  <si>
    <t>42414273</t>
  </si>
  <si>
    <t>YANQUI LAYME SALLY PAMELA</t>
  </si>
  <si>
    <t>42414327</t>
  </si>
  <si>
    <t>SANCHEZ MEDINA WILLJHEM PABLO</t>
  </si>
  <si>
    <t>COORDINADORA</t>
  </si>
  <si>
    <t>42425416</t>
  </si>
  <si>
    <t>GUEVARA GUEVARA PAOLA AMPARO</t>
  </si>
  <si>
    <t>RESPONSABLE PARA LA UNIDAD DE UTD</t>
  </si>
  <si>
    <t>42724993</t>
  </si>
  <si>
    <t>FLEMING VILLANO FRANK</t>
  </si>
  <si>
    <t>42739537</t>
  </si>
  <si>
    <t>VASQUEZ RAMOS MARLENE</t>
  </si>
  <si>
    <t>42894828</t>
  </si>
  <si>
    <t xml:space="preserve">HOLGADO HUAYHUA DANIELA NANCY </t>
  </si>
  <si>
    <t>AUXILIAR OPERATIVO</t>
  </si>
  <si>
    <t>43020238</t>
  </si>
  <si>
    <t>URBANO ROJAS PEDRO DAVID</t>
  </si>
  <si>
    <t>ESPECIALISTA EN BIENES ESTATALES I</t>
  </si>
  <si>
    <t>43086797</t>
  </si>
  <si>
    <t>PIPA ACEVEDO MARIA LUISA</t>
  </si>
  <si>
    <t xml:space="preserve">TITULADO </t>
  </si>
  <si>
    <t>INGENIERA GEOGRÁFA</t>
  </si>
  <si>
    <t>43265647</t>
  </si>
  <si>
    <t>CUADROS BENAVIDES FERNANDO EDUARDO</t>
  </si>
  <si>
    <t>43287051</t>
  </si>
  <si>
    <t>AGUILAR MUÑAQUI MILAGROS FLOR</t>
  </si>
  <si>
    <t>43695678</t>
  </si>
  <si>
    <t>CARDENAS VALDEZ JOSE ANTONIO</t>
  </si>
  <si>
    <t>43754198</t>
  </si>
  <si>
    <t>BELTRAN REBAZA ANGHY OLGUITA</t>
  </si>
  <si>
    <t>43838262</t>
  </si>
  <si>
    <t>GONZALES LAZON FRANCO LEONARDO</t>
  </si>
  <si>
    <t>43840361</t>
  </si>
  <si>
    <t>FERNANDEZ RUIZ PAULO CESAR</t>
  </si>
  <si>
    <t>43963235</t>
  </si>
  <si>
    <t>GUIZABALO ANTEZANA ADELA GIULIANA</t>
  </si>
  <si>
    <t>ESTUDIANTE DE SECRETARIADO</t>
  </si>
  <si>
    <t>ESPECIALISTA PRESUPUESTO</t>
  </si>
  <si>
    <t>44036788</t>
  </si>
  <si>
    <t>LAVADO SOTO KLEDY LIZED</t>
  </si>
  <si>
    <t>44086689</t>
  </si>
  <si>
    <t>PUCHURI CHOQUEHUANCA KATHERINE SARA</t>
  </si>
  <si>
    <t>BACHILLER TURISMO Y HOTELERIA</t>
  </si>
  <si>
    <t>TURISMO  Y HOTELERÍA</t>
  </si>
  <si>
    <t>ASISTENTE DE LEGAJOS Y CONVENIOS DE PRACTICAS</t>
  </si>
  <si>
    <t>44091593</t>
  </si>
  <si>
    <t>VARGAS CHAMPION NATHALIE ANA</t>
  </si>
  <si>
    <t>ESTUDIANTE ADM EMPRESAS NO CONCLUIDAS</t>
  </si>
  <si>
    <t>ABOGADA II</t>
  </si>
  <si>
    <t>44273141</t>
  </si>
  <si>
    <t>LOPEZ MEJIA GABY MERCEDES</t>
  </si>
  <si>
    <t>44338652</t>
  </si>
  <si>
    <t>HUAMANI LIMA LILI CONSUELO</t>
  </si>
  <si>
    <t>ASISTENTE EN AUDITORIA</t>
  </si>
  <si>
    <t>44490520</t>
  </si>
  <si>
    <t>CAHUA SAHUARAURA KAREN ISABEL</t>
  </si>
  <si>
    <t>44802035</t>
  </si>
  <si>
    <t>JAVE POMA JUAN ROLANDO</t>
  </si>
  <si>
    <t>BACH CIENCIAS POLITICAS</t>
  </si>
  <si>
    <t>CIENCÍAS POLÍTICA</t>
  </si>
  <si>
    <t>DIBUJANTE TÉCNICO EN LA SUBDIRECCIÓN DE SUPERVISIÓN</t>
  </si>
  <si>
    <t>44871293</t>
  </si>
  <si>
    <t>CAPCHA BARRERA JONATHAN JOEL</t>
  </si>
  <si>
    <t>INGENIERÍA GEOGRÁFICA</t>
  </si>
  <si>
    <t>44903685</t>
  </si>
  <si>
    <t xml:space="preserve">TABOADA FUNG JOHANA PAOLA </t>
  </si>
  <si>
    <t>DIGITALIZADOR I</t>
  </si>
  <si>
    <t>44910852</t>
  </si>
  <si>
    <t>SANCHEZ SEGURA CARLOS MARINO</t>
  </si>
  <si>
    <t>ESTUDIANTE DE ING IDUSTRIAL</t>
  </si>
  <si>
    <t>45110989</t>
  </si>
  <si>
    <t>LUNAREJO MIRANDA SANDRA SOFIA</t>
  </si>
  <si>
    <t>BACH. DERECHO</t>
  </si>
  <si>
    <t>45248757</t>
  </si>
  <si>
    <t>RAMIREZ SANTOS GRACIELA LORENA</t>
  </si>
  <si>
    <t>45530620</t>
  </si>
  <si>
    <t>SIERRA FLORIDO WENDY YASMIN</t>
  </si>
  <si>
    <t>45586782</t>
  </si>
  <si>
    <t xml:space="preserve">DIAZ MEJIA YANETH </t>
  </si>
  <si>
    <t>BACHILLER ADM</t>
  </si>
  <si>
    <t>PROFESIONAL EN TESORERIA</t>
  </si>
  <si>
    <t>45768625</t>
  </si>
  <si>
    <t>ALVARON NORABUENA JJUNIOR FRANKLIN</t>
  </si>
  <si>
    <t>ADMINITRADOR</t>
  </si>
  <si>
    <t>ESPECIALISTA GESTION DE RENDIMIENTO</t>
  </si>
  <si>
    <t>45782081</t>
  </si>
  <si>
    <t>LLIUYACC CCASANI MARISELA ESTRELLA</t>
  </si>
  <si>
    <t>LIC ADM DE NEGOCIOS</t>
  </si>
  <si>
    <t>46080783</t>
  </si>
  <si>
    <t>MENDOZA YAULI ALDO</t>
  </si>
  <si>
    <t>ASISTENTE EN BIENES ESTATALES</t>
  </si>
  <si>
    <t>46093510</t>
  </si>
  <si>
    <t>HUAMAN ORTIZ MARLENI</t>
  </si>
  <si>
    <t>BACHILLER ING GEOGRAFICA</t>
  </si>
  <si>
    <t>INGENIERÌA GEOGRÀFICA</t>
  </si>
  <si>
    <t>ESPECIALISTA EN SELECCION DE PERSONAL</t>
  </si>
  <si>
    <t>46189105</t>
  </si>
  <si>
    <t>BELTRAN PAREDES ANA CAROLINA</t>
  </si>
  <si>
    <t>46213881</t>
  </si>
  <si>
    <t>ROMAN FUENTES MATILDE MARIA CATALINA</t>
  </si>
  <si>
    <t>ANALISTA EN BIENES ESTATALES PARA LA SUBDIRECCIÓN DESARROLLO INMOBILIARIO</t>
  </si>
  <si>
    <t>46309600</t>
  </si>
  <si>
    <t>SUAREZ QUINTANA JUANA MILAGROS</t>
  </si>
  <si>
    <t>ESPECIALISTA EN ESTADISTICA Y PLANEAMIENTO</t>
  </si>
  <si>
    <t>46609479</t>
  </si>
  <si>
    <t>BARRIENTOS ZAMORA SANDI PATRICIA</t>
  </si>
  <si>
    <t>LIC ESTADISTICA</t>
  </si>
  <si>
    <t>46689873</t>
  </si>
  <si>
    <t>RUIZ CARBAJAL JORGE RENZO</t>
  </si>
  <si>
    <t>TEC ADM EMPRESAS</t>
  </si>
  <si>
    <t>46718065</t>
  </si>
  <si>
    <t>SANTILLAN DIAZ GHERSI SILVANA</t>
  </si>
  <si>
    <t>PROFESIONAL TÉCNICO GEOMÁTICA</t>
  </si>
  <si>
    <t>46747932</t>
  </si>
  <si>
    <t>SANCHEZ TANDAYPAN LIMBER</t>
  </si>
  <si>
    <t>ASISENTE EN BIENES ESTATALES</t>
  </si>
  <si>
    <t>46986627</t>
  </si>
  <si>
    <t>LOREDO GIL GARY ARTURO</t>
  </si>
  <si>
    <t>ASISTENTE ADM</t>
  </si>
  <si>
    <t>47326575</t>
  </si>
  <si>
    <t>LARICO ARIMBORGO FLOR ELIZABETH</t>
  </si>
  <si>
    <t>ESPECIALISTA EN INVERSION PUBLICA</t>
  </si>
  <si>
    <t>70220739</t>
  </si>
  <si>
    <t>FLORES OLORTEGUI NEYDA ROOSMERY</t>
  </si>
  <si>
    <t>ESPECIALISTA EN GESTION DE LA CAPACITACION</t>
  </si>
  <si>
    <t>70220780</t>
  </si>
  <si>
    <t>RAMIREZ CUEVA DE DONAYRE KATYA LUPE</t>
  </si>
  <si>
    <t>ASISTENTE DE PROCURADURIA</t>
  </si>
  <si>
    <t>70306017</t>
  </si>
  <si>
    <t>SAEZ ALFARO MARCELA ANDREA</t>
  </si>
  <si>
    <t>70463974</t>
  </si>
  <si>
    <t>CACERES SILVA BRIAN JOHNNY</t>
  </si>
  <si>
    <t>70779840</t>
  </si>
  <si>
    <t>DE LA CRUZ RIVERA LETICIA DEL PILAR</t>
  </si>
  <si>
    <t>70800993</t>
  </si>
  <si>
    <t>DE LA CRUZ DIAZ ESTEFANY JOSSELYN</t>
  </si>
  <si>
    <t>EGRESADA ING GEOGRAFICA</t>
  </si>
  <si>
    <t>EGRSADA</t>
  </si>
  <si>
    <t>INGENERÍA GEOGRÁFICA</t>
  </si>
  <si>
    <t>70812182</t>
  </si>
  <si>
    <t>VALER GALINDO MACEDONIO</t>
  </si>
  <si>
    <t>71226148</t>
  </si>
  <si>
    <t>LLANTOY ROMERO ANGELA MARIA</t>
  </si>
  <si>
    <t>71701207</t>
  </si>
  <si>
    <t>MORENO BUTILER JENIFFER ROOS</t>
  </si>
  <si>
    <t>72152559</t>
  </si>
  <si>
    <t>LOMBARDI FERNANDEZ DAVILA NADIA ANTONELLA</t>
  </si>
  <si>
    <t>ASISTENTE DE GESTION OPERATIVA</t>
  </si>
  <si>
    <t>72159294</t>
  </si>
  <si>
    <t>HUERTA BILLINGHURST DALMA KATHERINE</t>
  </si>
  <si>
    <t>TÈCNIOCO</t>
  </si>
  <si>
    <t>ADMINSITRACIÒN</t>
  </si>
  <si>
    <t>73030119</t>
  </si>
  <si>
    <t>VARGAS GONZALES NORBERTO JUNIOR</t>
  </si>
  <si>
    <t>EGRESADO MARKETING</t>
  </si>
  <si>
    <t>73207919</t>
  </si>
  <si>
    <t xml:space="preserve">BARDALES PEREZ GREYS LORENA </t>
  </si>
  <si>
    <t>ASISTENTE OPERATIVO</t>
  </si>
  <si>
    <t>75154978</t>
  </si>
  <si>
    <t>ARCE DEL PINO JAQUELINE VANESSA</t>
  </si>
  <si>
    <t>EGRESADA TECNICO</t>
  </si>
  <si>
    <t>TECNICO EN ARCHIVO/ASISTENTE EN ARCHIVO</t>
  </si>
  <si>
    <t>80049883</t>
  </si>
  <si>
    <t xml:space="preserve">VILLEGAS ROJAS WILFREDO FLORENCIO </t>
  </si>
  <si>
    <t>Total</t>
  </si>
  <si>
    <t>FORMATO 18: ALQUILER DE INMUEBLES EN LOS AÑOS FISCALES 2019 Y 2020</t>
  </si>
  <si>
    <t>ARRENDATARIO</t>
  </si>
  <si>
    <t>ARRENDADOR</t>
  </si>
  <si>
    <t>INMUEBLE</t>
  </si>
  <si>
    <t>CONTRATO</t>
  </si>
  <si>
    <t>EJECUCIÓN 2019</t>
  </si>
  <si>
    <t>EJECUCIÓN 2020 (*)</t>
  </si>
  <si>
    <t>PLIEGO</t>
  </si>
  <si>
    <t>Apellidos y Nombres o Denominación</t>
  </si>
  <si>
    <t>DNI O PARTIDA REGISTRAL</t>
  </si>
  <si>
    <t>BIEN PROPIO DE TERCEROS O AJENO</t>
  </si>
  <si>
    <t>PARTIDA REGISTRAL DE INCRIPCION DE PROPIEDAD</t>
  </si>
  <si>
    <t>METROS CUADRADOS</t>
  </si>
  <si>
    <t>COCHERAS</t>
  </si>
  <si>
    <t>VIGENCIA DEL CONTRATO</t>
  </si>
  <si>
    <t>MONTO MENSUAL</t>
  </si>
  <si>
    <t xml:space="preserve">FORMA DE PAGO (MENSUAL O ANUAL) Y FECHA DE PAGO </t>
  </si>
  <si>
    <t>SOLARI GONZALES OTOYA PIERO ROBERTO MARTIN</t>
  </si>
  <si>
    <t xml:space="preserve">BIEN PROPIO DE TERCEROS </t>
  </si>
  <si>
    <t>13.03.2018 - 14.01.2021</t>
  </si>
  <si>
    <t>MENSUAL</t>
  </si>
  <si>
    <t>CASTAÑEDA VISE JESUS EDGARDO</t>
  </si>
  <si>
    <t>26.06.2018 -27.12.2020</t>
  </si>
  <si>
    <t>ELIAS BORJAS QUISPE</t>
  </si>
  <si>
    <t>554-216</t>
  </si>
  <si>
    <t>10.01.2019 - 10.01.2021</t>
  </si>
  <si>
    <t>CCORIMANYA CANO GRIMALDO</t>
  </si>
  <si>
    <t>PROPIO
(SOC. CONYUGAL)</t>
  </si>
  <si>
    <t>22.06.2018 - 21.10.2020</t>
  </si>
  <si>
    <t>MULTISERVICIOS LUKA EIRL</t>
  </si>
  <si>
    <t>22.12.2017 - 22.09.2021</t>
  </si>
  <si>
    <t>ZUASNABAR HUARIPATA NORMA YOLANDA</t>
  </si>
  <si>
    <t>14.12.2019 - 14.12.2020</t>
  </si>
  <si>
    <t xml:space="preserve">CHAVEZ PAZ EFRAIN </t>
  </si>
  <si>
    <t>22.12.2017 - 24.08.2021</t>
  </si>
  <si>
    <t>INMOBILIARIA R&amp;G S.A.C.</t>
  </si>
  <si>
    <t>AJENO</t>
  </si>
  <si>
    <t>18.09.2020 - 18.09.2022</t>
  </si>
  <si>
    <t>FELICITA DE YAMPASI CHOQUE
FORTUNATO YAMPASI HUANACO</t>
  </si>
  <si>
    <t>04631857
04631858</t>
  </si>
  <si>
    <t>06.08.2020 - 06.08.2021</t>
  </si>
  <si>
    <t>PUERTA RODRIGUEZ GIL HUMBERTO</t>
  </si>
  <si>
    <t>01.02.2017 - 04.06.2021</t>
  </si>
  <si>
    <t>GOMEZ VALVERDE GILBERTO ILDEFONSO</t>
  </si>
  <si>
    <t>P37010346</t>
  </si>
  <si>
    <t>01.08.2020 - 31.07.2021</t>
  </si>
  <si>
    <t>SERNADES TRIVEÑO ISABEL</t>
  </si>
  <si>
    <t>12.10.2019 - 12.10.2020</t>
  </si>
  <si>
    <t>CABALA CABALA JUANA JESUS</t>
  </si>
  <si>
    <t>10292586154</t>
  </si>
  <si>
    <t>02.04.2019 - 03.04.2021</t>
  </si>
  <si>
    <t>MARTINEZ PALOMINO RAFAEL WILLIAM</t>
  </si>
  <si>
    <t>02.02.2017 - 04.06.2021</t>
  </si>
  <si>
    <t>URTEAGA BECERRA JOSE DEL CARMEN</t>
  </si>
  <si>
    <t>TOMO 23</t>
  </si>
  <si>
    <t>07.11.2016 - 06.11.2020</t>
  </si>
  <si>
    <t>MIRANDA VILLENA LIDA ASUNCION</t>
  </si>
  <si>
    <t>10238261061</t>
  </si>
  <si>
    <t>18.07.2019 - 19.07.2021</t>
  </si>
  <si>
    <t>ESPLANA HUAMAN MACEDONIO</t>
  </si>
  <si>
    <t>10232023215</t>
  </si>
  <si>
    <t>P1146943</t>
  </si>
  <si>
    <t>28.12.2018 - 27.12.2020</t>
  </si>
  <si>
    <t>SOLORZANO YABAR LUZ MAYRA</t>
  </si>
  <si>
    <t>10721902426</t>
  </si>
  <si>
    <t>INVERSIONES LUVESIL E.I.R.L.</t>
  </si>
  <si>
    <t>20534525312</t>
  </si>
  <si>
    <t>02.02.2017 - 01.01.2021</t>
  </si>
  <si>
    <t>TRAVERSO ROJAS ELBA GEORGINA</t>
  </si>
  <si>
    <t>10101687410</t>
  </si>
  <si>
    <t>01.04.2018 - 31.03.2021</t>
  </si>
  <si>
    <t>RODRIGUEZ DE DIAZ ESPERANZA</t>
  </si>
  <si>
    <t>10178682828</t>
  </si>
  <si>
    <t>01.02.2017 - 30.04.2021</t>
  </si>
  <si>
    <t>ASION LINARES MARIA ANDREA</t>
  </si>
  <si>
    <t>10164986930</t>
  </si>
  <si>
    <t>01.05.2018 - 30.04.2021</t>
  </si>
  <si>
    <t>VEGA ARENAS SUSAN ERNESTINA</t>
  </si>
  <si>
    <t>10425519986</t>
  </si>
  <si>
    <t>P12043019</t>
  </si>
  <si>
    <t>24.01.2018 - 09.05.2021</t>
  </si>
  <si>
    <t>BRAVO PELAYO ROBERTO ENRIQUE</t>
  </si>
  <si>
    <t>15527025696</t>
  </si>
  <si>
    <t>02.02.2017 - 31.05.2021</t>
  </si>
  <si>
    <t>FERNANDEZ DAVILA REINOSO VDA DE DAVALOS JUANA MARGARITA</t>
  </si>
  <si>
    <t>10044083774</t>
  </si>
  <si>
    <t>ACOSTA DE SOLIS HILDA MERY</t>
  </si>
  <si>
    <t>10040706271</t>
  </si>
  <si>
    <t>P13009028</t>
  </si>
  <si>
    <t>04.04.2019 - 06.07.2021</t>
  </si>
  <si>
    <t>NAVARRETE RIOFRIO DE HILBCK ANA ISABEL</t>
  </si>
  <si>
    <t>10026360582</t>
  </si>
  <si>
    <t>VASQUEZ VILCA DAVID OSCAR</t>
  </si>
  <si>
    <t>10468866639</t>
  </si>
  <si>
    <t>08.06.2018 - 08.06.2021</t>
  </si>
  <si>
    <t>HERMIDA SENA MANUEL AQUILES</t>
  </si>
  <si>
    <t>10028818276</t>
  </si>
  <si>
    <t>P44006274</t>
  </si>
  <si>
    <t>02.04.2019 - 03.01.2021</t>
  </si>
  <si>
    <t>SILVA DELGADO OTONIEL</t>
  </si>
  <si>
    <t>10166680765</t>
  </si>
  <si>
    <t>MALDONADO CRUZ JUANA CARMENCITA</t>
  </si>
  <si>
    <t>18.08.2018 - 18.08.2021</t>
  </si>
  <si>
    <t>CALDERON ARAUJO NESTOR</t>
  </si>
  <si>
    <t>10000147520</t>
  </si>
  <si>
    <t>19.12.2018 - 19.12.2020</t>
  </si>
  <si>
    <t xml:space="preserve">CAMPOS CHAVARRIA AMERICO CRISTIAN </t>
  </si>
  <si>
    <t>Alquilado</t>
  </si>
  <si>
    <t>06/08/18-5/08/2021</t>
  </si>
  <si>
    <t>Mensual</t>
  </si>
  <si>
    <t>LOS PORTALES ESTACIONAMIENTOS SA</t>
  </si>
  <si>
    <t xml:space="preserve">
04/12/2019 - 3/12/2020</t>
  </si>
  <si>
    <t>005 - PROGRAMA NACIONAL DE SANEAMIENTO RURAL</t>
  </si>
  <si>
    <t xml:space="preserve">MICHEL EDUARDO D´AURIOL STOESSEL </t>
  </si>
  <si>
    <t>ALQUILADO</t>
  </si>
  <si>
    <t>03198916</t>
  </si>
  <si>
    <t>No</t>
  </si>
  <si>
    <t xml:space="preserve">01.12.2019 - 31.11.2021. </t>
  </si>
  <si>
    <t>VELA GUERRERO JUAN MANUEL</t>
  </si>
  <si>
    <t>11/2017 - 06.01.2021</t>
  </si>
  <si>
    <t>FLORES PRIALE CESAR HUGO</t>
  </si>
  <si>
    <t>072123307</t>
  </si>
  <si>
    <t xml:space="preserve"> 06/03/2018 - 31.12.2020</t>
  </si>
  <si>
    <t>CALDERON LOPEZ FIDEL</t>
  </si>
  <si>
    <t>P34014526</t>
  </si>
  <si>
    <t>29/08/2016 - 31/12/2020</t>
  </si>
  <si>
    <t>LOPEZ CHOTA SILVIA FLOR</t>
  </si>
  <si>
    <t>00804346</t>
  </si>
  <si>
    <t>16/12/2016 - 31/12/2020</t>
  </si>
  <si>
    <t>ZEGARRA GUERRA TEODOCIO ALBERTO</t>
  </si>
  <si>
    <t>05617749</t>
  </si>
  <si>
    <t>02003775</t>
  </si>
  <si>
    <t>01/02/2018 - 31/12/2020</t>
  </si>
  <si>
    <t>CUADROS SANCHEZ HECTOR SATURNINO</t>
  </si>
  <si>
    <t>08133209</t>
  </si>
  <si>
    <t>12043782</t>
  </si>
  <si>
    <t>22/06/2020 - 21/02/2021</t>
  </si>
  <si>
    <t>02007629</t>
  </si>
  <si>
    <t>01/01/2019 - 31/12/2019</t>
  </si>
  <si>
    <t>01/08/2020 - 30/09/2021</t>
  </si>
  <si>
    <t>ABELARDO HERMILIO GUDIEL SANCHEZ</t>
  </si>
  <si>
    <t>SOLO TITULO Y MINUTA NOTARIAL</t>
  </si>
  <si>
    <t xml:space="preserve"> 24/08/2020 - 30/09/2021</t>
  </si>
  <si>
    <t>DAVID YVES BARSIMANTOV DIEZ -PISO 06</t>
  </si>
  <si>
    <t>09341975</t>
  </si>
  <si>
    <t>41511435 - 41381043</t>
  </si>
  <si>
    <t>05.10.2019  AL  04.10.2020</t>
  </si>
  <si>
    <t>CARPE DIEM S.A.- PISO 08</t>
  </si>
  <si>
    <t>41511451 - 41381000</t>
  </si>
  <si>
    <t>15.06.2020 AL 14.04.2021</t>
  </si>
  <si>
    <t>CARPE DIEM S.A.- PISO 09</t>
  </si>
  <si>
    <t>41511478 - 41381019</t>
  </si>
  <si>
    <t>10.04.2020 AL 31.12.2020</t>
  </si>
  <si>
    <t>HÉCTOR EDUARDO GUTIERREZ BALLÓN SILES y REYNA NOEMI VALDIVIA DE GUTIERREZ BALLÓN-PISO 13</t>
  </si>
  <si>
    <t>29255376 / 29255377</t>
  </si>
  <si>
    <t>41511516 - 41381051</t>
  </si>
  <si>
    <t>19.02.2020 AL 18.03.2021</t>
  </si>
  <si>
    <t>CARPE DIEM S.A. - PISO 07</t>
  </si>
  <si>
    <t>70008138-C00017</t>
  </si>
  <si>
    <t>29.10.2019  AL  28.10.2020</t>
  </si>
  <si>
    <t>HÉCTOR EDUARDO GUTIERREZ BALLÓN SILES y REYNA NOEMI VALDIVIA DE GUTIERREZ BALLÓN -PISO 03</t>
  </si>
  <si>
    <t>41380934-41394625</t>
  </si>
  <si>
    <t>0205 SENCICO</t>
  </si>
  <si>
    <t>000179 SENCICO</t>
  </si>
  <si>
    <t>MARIA ISABEL CERNA DE MONCADA - CAJAMARCA</t>
  </si>
  <si>
    <t>N° 26628656</t>
  </si>
  <si>
    <t>N° 02103132</t>
  </si>
  <si>
    <t>650 M2</t>
  </si>
  <si>
    <t>27.07.2020 AL 27.07.2021</t>
  </si>
  <si>
    <t>FERNANDO CHU GUTIERREZ - TRUJILLO</t>
  </si>
  <si>
    <t>N° 44623537</t>
  </si>
  <si>
    <t>N° 11261862</t>
  </si>
  <si>
    <t>520.28 M2</t>
  </si>
  <si>
    <t>09.06.2020 AL 09.06.2021</t>
  </si>
  <si>
    <t>Pliego 207: ORGANISMO TECNICO DE LA ADMINISTRACION 
DE LOS SERVICIOS DE SANEAMIENTO</t>
  </si>
  <si>
    <t>ORGANISMO TECNICO DE LA ADMINISTRACION DE LOS SERVICIOS DE SANEAMIENTO -OTASS</t>
  </si>
  <si>
    <t>ANTENOR RIZO PATRON</t>
  </si>
  <si>
    <t>01-10-2018-30-04-2019</t>
  </si>
  <si>
    <t xml:space="preserve">MENSUAL </t>
  </si>
  <si>
    <t>Pliego 207: ORGANISMO TECNICO DE LA ADMINISTRACION DE LOS SERVICIOS DE SANEAMIENTO</t>
  </si>
  <si>
    <t>01-10-2018-15-05-2019</t>
  </si>
  <si>
    <t>01-10-2018-30-15-05-2019</t>
  </si>
  <si>
    <t>GALVEZ DIAZ, ULISES</t>
  </si>
  <si>
    <t>01-06-2017-30-05-2019</t>
  </si>
  <si>
    <t xml:space="preserve">RENZO RIVA RIVARA </t>
  </si>
  <si>
    <t>01-08-2017-31-08-2019</t>
  </si>
  <si>
    <t>16-05-2019 - 15-05-2022</t>
  </si>
  <si>
    <t>MORENO FLORES ALINA ISABEL</t>
  </si>
  <si>
    <t>06446912</t>
  </si>
  <si>
    <t>HUMBERTO SUGUIMITZU MIURA</t>
  </si>
  <si>
    <t>08762001</t>
  </si>
  <si>
    <t>MARIA DEL ROSARIO JIMENEZ DEL RÍO</t>
  </si>
  <si>
    <t>08762622</t>
  </si>
  <si>
    <t>24-07-2019-23-07-2022</t>
  </si>
  <si>
    <t>GOICOCHEA ARIZAGA MARIA GABRIELA</t>
  </si>
  <si>
    <t>07853777</t>
  </si>
  <si>
    <t>04-10-2019- 03-10-2022</t>
  </si>
  <si>
    <t>BANDA MAMANI LUCAS HILARIO</t>
  </si>
  <si>
    <t>DNI   23922900</t>
  </si>
  <si>
    <t>11004791</t>
  </si>
  <si>
    <t>1,107 m2</t>
  </si>
  <si>
    <t>01/07/2011 AL 31/10/2020</t>
  </si>
  <si>
    <t>ZAVALA OTSUKA CLELIA</t>
  </si>
  <si>
    <t>DNI   04802525</t>
  </si>
  <si>
    <t>11128691</t>
  </si>
  <si>
    <t>300 m2</t>
  </si>
  <si>
    <t>15/06/2013 AL 14/04/2021</t>
  </si>
  <si>
    <t>COLLAZOS GRANDES ROCIO</t>
  </si>
  <si>
    <t>DNI   00067246</t>
  </si>
  <si>
    <t>11058306</t>
  </si>
  <si>
    <t>138.40 m2</t>
  </si>
  <si>
    <t>18/10/2015 AL 17/10/2020</t>
  </si>
  <si>
    <t>VALENZUELA ESLAVA WALTER</t>
  </si>
  <si>
    <t>DNI   28311082</t>
  </si>
  <si>
    <t>02003546</t>
  </si>
  <si>
    <t>655.86 m2</t>
  </si>
  <si>
    <t>07/06/2016 AL 06/06/2021</t>
  </si>
  <si>
    <t>OTERO DE ALCALDE MARTHA YSABEL</t>
  </si>
  <si>
    <t>DNI 02781245</t>
  </si>
  <si>
    <t>11102046 y
11102047</t>
  </si>
  <si>
    <t>543.30 m2</t>
  </si>
  <si>
    <t>26/06/2016 AL 25/09/2019</t>
  </si>
  <si>
    <t>RAMOS MATEOS AYDE</t>
  </si>
  <si>
    <t>DNI   23005054</t>
  </si>
  <si>
    <t>02018535</t>
  </si>
  <si>
    <t>696.77 m2</t>
  </si>
  <si>
    <t>01/09/2016 AL 31/08/2021</t>
  </si>
  <si>
    <t>CHAVEZ MEJIA JORGE</t>
  </si>
  <si>
    <t>DNI 00833484</t>
  </si>
  <si>
    <t>P44006214</t>
  </si>
  <si>
    <t>500 m2</t>
  </si>
  <si>
    <t>05/01/2017 AL 04/06/2020</t>
  </si>
  <si>
    <t xml:space="preserve">BARCES FLOR FRANKLIN ROSENDO </t>
  </si>
  <si>
    <t>DNI   07630692</t>
  </si>
  <si>
    <t>05013090</t>
  </si>
  <si>
    <t>200 m2</t>
  </si>
  <si>
    <t>07/01/2017 AL 06/01/2021</t>
  </si>
  <si>
    <t>DIRECCION REGIONAL AGRARIA-ANCASH</t>
  </si>
  <si>
    <t>RUC   20406989730</t>
  </si>
  <si>
    <t>11107861</t>
  </si>
  <si>
    <t>40 m2</t>
  </si>
  <si>
    <t>09/05/2017 AL 31/12/2020</t>
  </si>
  <si>
    <t>ZONA REGISTRAL Nº II SEDE CHICLAYO</t>
  </si>
  <si>
    <t>RUC   20314210396</t>
  </si>
  <si>
    <t>P10126999</t>
  </si>
  <si>
    <t>1,086.25 m2</t>
  </si>
  <si>
    <t>31/05/2017 AL 30/05/2021</t>
  </si>
  <si>
    <t>FERNANDEZ CHAPARRO BETSI MARISOL</t>
  </si>
  <si>
    <t xml:space="preserve">DNI   00510400 </t>
  </si>
  <si>
    <t>11070519</t>
  </si>
  <si>
    <t>590.20 m2</t>
  </si>
  <si>
    <t>02/06/2017 AL 01/06/2021</t>
  </si>
  <si>
    <t>CRUZ CASQUINO CRESCENCIO</t>
  </si>
  <si>
    <t>DNI   01286149</t>
  </si>
  <si>
    <t>11156282</t>
  </si>
  <si>
    <t>982.98 m2</t>
  </si>
  <si>
    <t>13/06/2017 AL 12/04/2021</t>
  </si>
  <si>
    <t>CARRANZA QUISPE FERNANDO FORTUNATO</t>
  </si>
  <si>
    <t>DNI   21431214</t>
  </si>
  <si>
    <t>02014427</t>
  </si>
  <si>
    <t>22/06/2017 AL 21/06/2021</t>
  </si>
  <si>
    <t>ZUZUNAGA MELGAR SOLEDAD YSABEL</t>
  </si>
  <si>
    <t>DNI   29290949</t>
  </si>
  <si>
    <t>01151310</t>
  </si>
  <si>
    <t>930 m2</t>
  </si>
  <si>
    <t>26/06/2017 AL 25/06/2021</t>
  </si>
  <si>
    <t xml:space="preserve">MACEDO FLORES GILDA </t>
  </si>
  <si>
    <t>DNI   05338880</t>
  </si>
  <si>
    <t>11001124</t>
  </si>
  <si>
    <t>257.79 m2</t>
  </si>
  <si>
    <t>30/09/2017 AL 31/12/2019</t>
  </si>
  <si>
    <t xml:space="preserve">DE LA CRUZ ZAVALETA GILMER </t>
  </si>
  <si>
    <t>DNI   17858912</t>
  </si>
  <si>
    <t>11008658</t>
  </si>
  <si>
    <t>536.20 m2</t>
  </si>
  <si>
    <t>01/10/2017 AL 31/12/2020</t>
  </si>
  <si>
    <t>MONTERO SUXE MARIA ORFELINDA</t>
  </si>
  <si>
    <t xml:space="preserve">DNI 086290092 </t>
  </si>
  <si>
    <t>11029454</t>
  </si>
  <si>
    <t>296 m2</t>
  </si>
  <si>
    <t>05/10/2017 AL 04/02/2019</t>
  </si>
  <si>
    <t>CANALES KLESCOVICH LEONOR MARIA</t>
  </si>
  <si>
    <t>DNI   19826380</t>
  </si>
  <si>
    <t>11220090</t>
  </si>
  <si>
    <t>633.78 m2</t>
  </si>
  <si>
    <t>22/11/2017 AL 21/11/2020</t>
  </si>
  <si>
    <t>COLLANTES QUIJADA EVELYN</t>
  </si>
  <si>
    <t>DNI 40739024</t>
  </si>
  <si>
    <t>11062248</t>
  </si>
  <si>
    <t>426 m2</t>
  </si>
  <si>
    <t>01/01/2018 AL 31/03/2019</t>
  </si>
  <si>
    <t xml:space="preserve">PALOMINO MANDUJANO JOHN ROBERT </t>
  </si>
  <si>
    <t>DNI   04338460</t>
  </si>
  <si>
    <t>02842 (***)</t>
  </si>
  <si>
    <t>498.45 m2</t>
  </si>
  <si>
    <t>01/01/2018 AL 31/03/2020</t>
  </si>
  <si>
    <t>CENTRO DE INVESTIGACION Y CAPACITACION  CAMPESINA</t>
  </si>
  <si>
    <t>RUC   20168227362</t>
  </si>
  <si>
    <t>400 m2</t>
  </si>
  <si>
    <t>13/06/2018 AL 12/06/2021</t>
  </si>
  <si>
    <t>PAUCAR ESPINOZA OSCAR</t>
  </si>
  <si>
    <t>DNI   23262376</t>
  </si>
  <si>
    <t>11094367</t>
  </si>
  <si>
    <t>900 m2</t>
  </si>
  <si>
    <t>01/10/2018 AL 30/09/2020</t>
  </si>
  <si>
    <t>HUARIPATA DEZA KARINA PAOLA</t>
  </si>
  <si>
    <t>DNI   09343010</t>
  </si>
  <si>
    <t>11173473</t>
  </si>
  <si>
    <t>754.94 m2</t>
  </si>
  <si>
    <t>03/10/2018 AL 02/10/2020</t>
  </si>
  <si>
    <t>DIRECCION REGIONAL AGRICULTURA CAJAMARCA</t>
  </si>
  <si>
    <t>RUC 20453743862</t>
  </si>
  <si>
    <t>(**)</t>
  </si>
  <si>
    <t>90 m2</t>
  </si>
  <si>
    <t>19/11/2018 AL 18/11/2019</t>
  </si>
  <si>
    <t xml:space="preserve">JIMENEZ RIVERA JULIAN </t>
  </si>
  <si>
    <t>DNI   31166797</t>
  </si>
  <si>
    <t>02001104 y
 02000428</t>
  </si>
  <si>
    <t>01/12/2018 AL 30/11/2020</t>
  </si>
  <si>
    <t>JIMENEZ ARRUNATEGUI SABINA SOFIA</t>
  </si>
  <si>
    <t>DNI   00205470</t>
  </si>
  <si>
    <t>02002483</t>
  </si>
  <si>
    <t>308.40 m2</t>
  </si>
  <si>
    <t>15/12/2018 AL 14/12/2020</t>
  </si>
  <si>
    <t>RAMIS GONZALES OLGA ESTHER</t>
  </si>
  <si>
    <t>DNI   31650086</t>
  </si>
  <si>
    <t>696.80 m2</t>
  </si>
  <si>
    <t>01/01/2019 AL 31/12/2020</t>
  </si>
  <si>
    <t>PARQUEOS UNIDOS S.A.C.</t>
  </si>
  <si>
    <t>RUC 2054878874</t>
  </si>
  <si>
    <t>135 m2</t>
  </si>
  <si>
    <t>11/01/2020 AL 26/02/2020</t>
  </si>
  <si>
    <t>CENTRO COMERCIAL ESTACION CENTRAL S.A.</t>
  </si>
  <si>
    <t>RUC 20535505684</t>
  </si>
  <si>
    <t>24 m2</t>
  </si>
  <si>
    <t>14/01/2019 AL 13/03/2019</t>
  </si>
  <si>
    <t>SANTILLAN CORTEZ NEHEMIAS</t>
  </si>
  <si>
    <t>DNI   33402508</t>
  </si>
  <si>
    <t>544 m2</t>
  </si>
  <si>
    <t>05/02/2019 AL 04/05/2019</t>
  </si>
  <si>
    <t>14/03/2019 AL 13/05/2019</t>
  </si>
  <si>
    <t>FIGUEROA SUAREZ JORGE (****)</t>
  </si>
  <si>
    <t>DNI 23895864</t>
  </si>
  <si>
    <t>11002983</t>
  </si>
  <si>
    <t>45 m2</t>
  </si>
  <si>
    <t>14/03/2019 AL 28/07/2020</t>
  </si>
  <si>
    <t>RODRIGUEZ VALDERRAMA HUGO</t>
  </si>
  <si>
    <t>DNI   17916849</t>
  </si>
  <si>
    <t>18 m2</t>
  </si>
  <si>
    <t>26/03/2019 AL 25/05/2021</t>
  </si>
  <si>
    <t>LALUPU ESPINIOZA ALFREDO VIDAL</t>
  </si>
  <si>
    <t>DNI 02656146</t>
  </si>
  <si>
    <t>00015829</t>
  </si>
  <si>
    <t>26/03/2019 AL 25/01/2020</t>
  </si>
  <si>
    <t>TERRONES TORRES FRANCISCO ANIBAL (****)</t>
  </si>
  <si>
    <t>DNI   16649147</t>
  </si>
  <si>
    <t>P10127000</t>
  </si>
  <si>
    <t>48 m2</t>
  </si>
  <si>
    <t>27/03/2019 AL  26/05/2021</t>
  </si>
  <si>
    <t>05003055</t>
  </si>
  <si>
    <t>01/04/2019 AL 30/11/2020</t>
  </si>
  <si>
    <t>BENDEZU CUEVAS MANUEL JESÚS</t>
  </si>
  <si>
    <t>DNI   41503718</t>
  </si>
  <si>
    <t>02005391</t>
  </si>
  <si>
    <t>06/04/2019 AL 05/06/2021</t>
  </si>
  <si>
    <t>RENDON CASTILLO OSCAR HERNAN</t>
  </si>
  <si>
    <t>DNI 29688654</t>
  </si>
  <si>
    <t>36 m2</t>
  </si>
  <si>
    <t>09/04/2019 AL 08/12/2019</t>
  </si>
  <si>
    <t xml:space="preserve">VELA GOMEZ HECTOR </t>
  </si>
  <si>
    <t>DNI   01124900</t>
  </si>
  <si>
    <t>05003604</t>
  </si>
  <si>
    <t>415.66 m2</t>
  </si>
  <si>
    <t>18/04/2019 AL 17/06/2019</t>
  </si>
  <si>
    <t>05/05/2019 AL 09/06/2019</t>
  </si>
  <si>
    <t>16/05/2019 AL 08/06/2020</t>
  </si>
  <si>
    <t>10/06/2019 AL 07/06/2021</t>
  </si>
  <si>
    <t>18/06/2019 AL 17/07/2019</t>
  </si>
  <si>
    <t>18/07/2019 AL 17/08/2019</t>
  </si>
  <si>
    <t>18/08/2019 AL 14/12/2019</t>
  </si>
  <si>
    <t>15/12/2019 AL 14/02/2020</t>
  </si>
  <si>
    <t>19/10/2019 AL 18/12/2019</t>
  </si>
  <si>
    <t>18/12/2019 AL 16/01/2020</t>
  </si>
  <si>
    <t xml:space="preserve">CHINCHAY DIAZ WILMER </t>
  </si>
  <si>
    <t>DNI   80520412</t>
  </si>
  <si>
    <t>P33008194</t>
  </si>
  <si>
    <t>138 m2</t>
  </si>
  <si>
    <t>19/12/2019 AL 18/12/2020</t>
  </si>
  <si>
    <t>01/01/2020 AL 30/11/2020</t>
  </si>
  <si>
    <t>SANCHEZ ORTIZ DE FEIJOO, ESTHER INES</t>
  </si>
  <si>
    <t>DNI   02816913</t>
  </si>
  <si>
    <t>00021127</t>
  </si>
  <si>
    <t>805 m2</t>
  </si>
  <si>
    <t>01/02/2020 AL 31/01/2021</t>
  </si>
  <si>
    <t>17/01/2020 AL 31/01/2020</t>
  </si>
  <si>
    <t>VELA GOMEZ HECTOR (*****)</t>
  </si>
  <si>
    <t>15/02/2020 AL 14/02/2021</t>
  </si>
  <si>
    <t>BEDEGRAL BEDEGRAL LEONOR</t>
  </si>
  <si>
    <t>DNI   00491177</t>
  </si>
  <si>
    <t>01129051</t>
  </si>
  <si>
    <t>16/03/2020 AL 15/03/2021</t>
  </si>
  <si>
    <t>PALOMINO MANDUJANO JOHN ROBERT (****)</t>
  </si>
  <si>
    <t>01/04/2020 AL 31/12/2020</t>
  </si>
  <si>
    <t xml:space="preserve">RIOS VALDERRAMA RUPERTO </t>
  </si>
  <si>
    <t>DNI   00045597</t>
  </si>
  <si>
    <t>11150622</t>
  </si>
  <si>
    <t>33.04 m2</t>
  </si>
  <si>
    <t>14/04/2020 AL 13/01/2021</t>
  </si>
  <si>
    <t>(*) = Al 30 de junio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</si>
</sst>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quot;S/.&quot;\ * #,##0.00_ ;_ &quot;S/.&quot;\ * \-#,##0.00_ ;_ &quot;S/.&quot;\ * &quot;-&quot;??_ ;_ @_ "/>
    <numFmt numFmtId="165" formatCode="_ * #,##0.00_ ;_ * \-#,##0.00_ ;_ * &quot;-&quot;??_ ;_ @_ "/>
    <numFmt numFmtId="166" formatCode="_-* #,##0_-;\-* #,##0_-;_-* &quot;-&quot;??_-;_-@"/>
    <numFmt numFmtId="167" formatCode="0.0%"/>
    <numFmt numFmtId="168" formatCode="#,##0.00;[Red]#,##0.00"/>
    <numFmt numFmtId="169" formatCode="_-* #,##0.00_-;\-* #,##0.00_-;_-* &quot;-&quot;??_-;_-@"/>
    <numFmt numFmtId="170" formatCode="#,##0;[Red]#,##0"/>
    <numFmt numFmtId="171" formatCode="#,##0_ ;\-#,##0\ "/>
    <numFmt numFmtId="172" formatCode="&quot;S/&quot;#,##0.00"/>
    <numFmt numFmtId="173" formatCode="[$-280A]d&quot; de &quot;mmmm&quot; de &quot;yyyy"/>
    <numFmt numFmtId="174" formatCode="_-[$S/-280A]* #,##0.00_-;\-[$S/-280A]* #,##0.00_-;_-[$S/-280A]* &quot;-&quot;??_-;_-@"/>
    <numFmt numFmtId="175" formatCode="#,##0.00_ ;\-#,##0.00\ "/>
    <numFmt numFmtId="176" formatCode="000"/>
    <numFmt numFmtId="177" formatCode="00000000"/>
  </numFmts>
  <fonts count="46" x14ac:knownFonts="1">
    <font>
      <sz val="10"/>
      <color rgb="FF000000"/>
      <name val="Arial"/>
    </font>
    <font>
      <b/>
      <sz val="12"/>
      <name val="Arial"/>
    </font>
    <font>
      <sz val="12"/>
      <name val="Arial"/>
    </font>
    <font>
      <sz val="10"/>
      <name val="Arial"/>
    </font>
    <font>
      <b/>
      <sz val="10"/>
      <name val="Arial"/>
    </font>
    <font>
      <sz val="10"/>
      <name val="Arial"/>
    </font>
    <font>
      <b/>
      <sz val="11"/>
      <name val="Arial"/>
    </font>
    <font>
      <sz val="8"/>
      <name val="Arial"/>
    </font>
    <font>
      <b/>
      <sz val="8"/>
      <name val="Arial"/>
    </font>
    <font>
      <sz val="8"/>
      <name val="Calibri"/>
    </font>
    <font>
      <sz val="8"/>
      <color rgb="FF000000"/>
      <name val="Arial"/>
    </font>
    <font>
      <b/>
      <sz val="9"/>
      <name val="Arial"/>
    </font>
    <font>
      <b/>
      <sz val="8"/>
      <name val="Calibri"/>
    </font>
    <font>
      <sz val="9"/>
      <color rgb="FF000000"/>
      <name val="Arial"/>
    </font>
    <font>
      <b/>
      <sz val="9"/>
      <color rgb="FF000000"/>
      <name val="Arial"/>
    </font>
    <font>
      <b/>
      <sz val="10"/>
      <color rgb="FF000000"/>
      <name val="Arial"/>
    </font>
    <font>
      <sz val="9"/>
      <name val="Arial"/>
    </font>
    <font>
      <b/>
      <u/>
      <sz val="8"/>
      <name val="Arial"/>
    </font>
    <font>
      <b/>
      <u/>
      <sz val="8"/>
      <name val="Arial"/>
    </font>
    <font>
      <b/>
      <sz val="9"/>
      <name val="Calibri"/>
    </font>
    <font>
      <sz val="9"/>
      <name val="Calibri"/>
    </font>
    <font>
      <b/>
      <u/>
      <sz val="9"/>
      <name val="Calibri"/>
    </font>
    <font>
      <sz val="9"/>
      <color rgb="FFFF0000"/>
      <name val="Calibri"/>
    </font>
    <font>
      <b/>
      <sz val="10"/>
      <name val="Calibri"/>
    </font>
    <font>
      <b/>
      <i/>
      <sz val="9"/>
      <name val="Arial"/>
    </font>
    <font>
      <b/>
      <u/>
      <sz val="9"/>
      <name val="Arial"/>
    </font>
    <font>
      <sz val="9"/>
      <color rgb="FFFF0000"/>
      <name val="Arial"/>
    </font>
    <font>
      <sz val="9"/>
      <color rgb="FF0000FF"/>
      <name val="Arial"/>
    </font>
    <font>
      <b/>
      <u/>
      <sz val="9"/>
      <name val="Arial"/>
    </font>
    <font>
      <b/>
      <u/>
      <sz val="9"/>
      <name val="Arial"/>
    </font>
    <font>
      <b/>
      <u/>
      <sz val="9"/>
      <name val="Arial"/>
    </font>
    <font>
      <b/>
      <u/>
      <sz val="9"/>
      <name val="Arial"/>
    </font>
    <font>
      <b/>
      <u/>
      <sz val="9"/>
      <name val="Arial"/>
    </font>
    <font>
      <u/>
      <sz val="9"/>
      <name val="Arial"/>
    </font>
    <font>
      <u/>
      <sz val="9"/>
      <name val="Arial"/>
    </font>
    <font>
      <sz val="9"/>
      <color rgb="FFFFFFFF"/>
      <name val="Arial"/>
    </font>
    <font>
      <b/>
      <u/>
      <sz val="9"/>
      <name val="Arial"/>
    </font>
    <font>
      <b/>
      <sz val="9"/>
      <color rgb="FF0000CC"/>
      <name val="Arial"/>
    </font>
    <font>
      <sz val="9"/>
      <color rgb="FF0000CC"/>
      <name val="Arial"/>
    </font>
    <font>
      <sz val="9"/>
      <color rgb="FFC00000"/>
      <name val="Arial"/>
    </font>
    <font>
      <sz val="9"/>
      <color rgb="FF000080"/>
      <name val="Arial"/>
    </font>
    <font>
      <sz val="10"/>
      <name val="Calibri"/>
    </font>
    <font>
      <sz val="10"/>
      <color rgb="FF000000"/>
      <name val="Calibri"/>
    </font>
    <font>
      <sz val="10"/>
      <color rgb="FF974806"/>
      <name val="Calibri"/>
    </font>
    <font>
      <vertAlign val="superscript"/>
      <sz val="8"/>
      <name val="Arial"/>
    </font>
    <font>
      <sz val="11"/>
      <name val="Arial"/>
    </font>
  </fonts>
  <fills count="12">
    <fill>
      <patternFill patternType="none"/>
    </fill>
    <fill>
      <patternFill patternType="gray125"/>
    </fill>
    <fill>
      <patternFill patternType="solid">
        <fgColor rgb="FFBFBFBF"/>
        <bgColor rgb="FFBFBFBF"/>
      </patternFill>
    </fill>
    <fill>
      <patternFill patternType="solid">
        <fgColor rgb="FFFFFFFF"/>
        <bgColor rgb="FFFFFFFF"/>
      </patternFill>
    </fill>
    <fill>
      <patternFill patternType="solid">
        <fgColor rgb="FFE36C09"/>
        <bgColor rgb="FFE36C09"/>
      </patternFill>
    </fill>
    <fill>
      <patternFill patternType="solid">
        <fgColor rgb="FFC6D9F0"/>
        <bgColor rgb="FFC6D9F0"/>
      </patternFill>
    </fill>
    <fill>
      <patternFill patternType="solid">
        <fgColor rgb="FFFDE9D9"/>
        <bgColor rgb="FFFDE9D9"/>
      </patternFill>
    </fill>
    <fill>
      <patternFill patternType="solid">
        <fgColor rgb="FFC0C0C0"/>
        <bgColor rgb="FFC0C0C0"/>
      </patternFill>
    </fill>
    <fill>
      <patternFill patternType="solid">
        <fgColor rgb="FFD8D8D8"/>
        <bgColor rgb="FFD8D8D8"/>
      </patternFill>
    </fill>
    <fill>
      <patternFill patternType="solid">
        <fgColor rgb="FFFFFF00"/>
        <bgColor rgb="FFFFFF00"/>
      </patternFill>
    </fill>
    <fill>
      <patternFill patternType="solid">
        <fgColor rgb="FF92D050"/>
        <bgColor rgb="FF92D050"/>
      </patternFill>
    </fill>
    <fill>
      <patternFill patternType="solid">
        <fgColor rgb="FFF79646"/>
        <bgColor rgb="FFF79646"/>
      </patternFill>
    </fill>
  </fills>
  <borders count="14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diagonal/>
    </border>
    <border>
      <left style="medium">
        <color rgb="FF000000"/>
      </left>
      <right style="medium">
        <color rgb="FF000000"/>
      </right>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bottom/>
      <diagonal/>
    </border>
    <border>
      <left/>
      <right style="thin">
        <color rgb="FF000000"/>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bottom/>
      <diagonal/>
    </border>
    <border>
      <left style="medium">
        <color rgb="FF000000"/>
      </left>
      <right/>
      <top/>
      <bottom style="medium">
        <color rgb="FF000000"/>
      </bottom>
      <diagonal/>
    </border>
    <border>
      <left style="medium">
        <color rgb="FF000000"/>
      </left>
      <right/>
      <top/>
      <bottom/>
      <diagonal/>
    </border>
    <border>
      <left/>
      <right/>
      <top style="medium">
        <color rgb="FF000000"/>
      </top>
      <bottom/>
      <diagonal/>
    </border>
    <border>
      <left style="thin">
        <color rgb="FF000000"/>
      </left>
      <right style="thin">
        <color rgb="FF000000"/>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bottom style="thick">
        <color rgb="FF000000"/>
      </bottom>
      <diagonal/>
    </border>
    <border>
      <left style="medium">
        <color rgb="FF000000"/>
      </left>
      <right style="thin">
        <color rgb="FF000000"/>
      </right>
      <top/>
      <bottom style="thick">
        <color rgb="FF000000"/>
      </bottom>
      <diagonal/>
    </border>
    <border>
      <left/>
      <right/>
      <top/>
      <bottom style="thick">
        <color rgb="FF000000"/>
      </bottom>
      <diagonal/>
    </border>
    <border>
      <left style="thin">
        <color rgb="FF000000"/>
      </left>
      <right style="thin">
        <color rgb="FF000000"/>
      </right>
      <top/>
      <bottom style="thick">
        <color rgb="FF000000"/>
      </bottom>
      <diagonal/>
    </border>
    <border>
      <left/>
      <right style="medium">
        <color rgb="FF000000"/>
      </right>
      <top/>
      <bottom style="thick">
        <color rgb="FF000000"/>
      </bottom>
      <diagonal/>
    </border>
    <border>
      <left/>
      <right style="thin">
        <color rgb="FF000000"/>
      </right>
      <top/>
      <bottom style="thick">
        <color rgb="FF000000"/>
      </bottom>
      <diagonal/>
    </border>
    <border>
      <left style="thin">
        <color rgb="FF000000"/>
      </left>
      <right style="medium">
        <color rgb="FF000000"/>
      </right>
      <top/>
      <bottom style="thick">
        <color rgb="FF000000"/>
      </bottom>
      <diagonal/>
    </border>
    <border>
      <left/>
      <right style="thin">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right/>
      <top style="thin">
        <color rgb="FF000000"/>
      </top>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FFFFFF"/>
      </top>
      <bottom/>
      <diagonal/>
    </border>
    <border>
      <left style="double">
        <color rgb="FF000000"/>
      </left>
      <right style="double">
        <color rgb="FF000000"/>
      </right>
      <top style="double">
        <color rgb="FF000000"/>
      </top>
      <bottom style="double">
        <color rgb="FF000000"/>
      </bottom>
      <diagonal/>
    </border>
    <border>
      <left/>
      <right/>
      <top style="medium">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top style="medium">
        <color rgb="FF000000"/>
      </top>
      <bottom style="medium">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medium">
        <color rgb="FF000000"/>
      </left>
      <right style="thin">
        <color rgb="FF000000"/>
      </right>
      <top style="medium">
        <color rgb="FF000000"/>
      </top>
      <bottom/>
      <diagonal/>
    </border>
    <border>
      <left style="medium">
        <color rgb="FF000000"/>
      </left>
      <right style="medium">
        <color rgb="FF000000"/>
      </right>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double">
        <color rgb="FF000000"/>
      </bottom>
      <diagonal/>
    </border>
    <border>
      <left/>
      <right style="thin">
        <color rgb="FF000000"/>
      </right>
      <top/>
      <bottom style="double">
        <color rgb="FF000000"/>
      </bottom>
      <diagonal/>
    </border>
    <border>
      <left/>
      <right/>
      <top/>
      <bottom style="double">
        <color rgb="FF000000"/>
      </bottom>
      <diagonal/>
    </border>
    <border>
      <left style="medium">
        <color rgb="FF000000"/>
      </left>
      <right style="thin">
        <color rgb="FF000000"/>
      </right>
      <top/>
      <bottom style="double">
        <color rgb="FF000000"/>
      </bottom>
      <diagonal/>
    </border>
    <border>
      <left/>
      <right style="medium">
        <color rgb="FF000000"/>
      </right>
      <top/>
      <bottom style="double">
        <color rgb="FF000000"/>
      </bottom>
      <diagonal/>
    </border>
    <border>
      <left style="double">
        <color rgb="FF000000"/>
      </left>
      <right style="double">
        <color rgb="FF000000"/>
      </right>
      <top/>
      <bottom style="double">
        <color rgb="FF000000"/>
      </bottom>
      <diagonal/>
    </border>
    <border>
      <left style="thin">
        <color rgb="FF000000"/>
      </left>
      <right style="medium">
        <color rgb="FF000000"/>
      </right>
      <top/>
      <bottom/>
      <diagonal/>
    </border>
    <border>
      <left style="thin">
        <color rgb="FF000000"/>
      </left>
      <right/>
      <top style="medium">
        <color rgb="FF000000"/>
      </top>
      <bottom style="medium">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top/>
      <bottom/>
      <diagonal/>
    </border>
    <border>
      <left style="thin">
        <color rgb="FF000000"/>
      </left>
      <right style="thin">
        <color rgb="FF000000"/>
      </right>
      <top/>
      <bottom style="medium">
        <color rgb="FF000000"/>
      </bottom>
      <diagonal/>
    </border>
    <border>
      <left/>
      <right style="medium">
        <color rgb="FF000000"/>
      </right>
      <top/>
      <bottom/>
      <diagonal/>
    </border>
    <border>
      <left style="thin">
        <color rgb="FF000000"/>
      </left>
      <right style="medium">
        <color rgb="FF000000"/>
      </right>
      <top style="medium">
        <color rgb="FF000000"/>
      </top>
      <bottom/>
      <diagonal/>
    </border>
    <border>
      <left style="double">
        <color rgb="FF000000"/>
      </left>
      <right/>
      <top style="thin">
        <color rgb="FF000000"/>
      </top>
      <bottom style="double">
        <color rgb="FF000000"/>
      </bottom>
      <diagonal/>
    </border>
    <border>
      <left/>
      <right/>
      <top style="thin">
        <color rgb="FF000000"/>
      </top>
      <bottom style="double">
        <color rgb="FF000000"/>
      </bottom>
      <diagonal/>
    </border>
    <border>
      <left/>
      <right style="double">
        <color rgb="FF000000"/>
      </right>
      <top style="thin">
        <color rgb="FF000000"/>
      </top>
      <bottom style="double">
        <color rgb="FF000000"/>
      </bottom>
      <diagonal/>
    </border>
    <border>
      <left style="medium">
        <color rgb="FF000000"/>
      </left>
      <right/>
      <top style="medium">
        <color rgb="FF000000"/>
      </top>
      <bottom/>
      <diagonal/>
    </border>
  </borders>
  <cellStyleXfs count="1">
    <xf numFmtId="0" fontId="0" fillId="0" borderId="0"/>
  </cellStyleXfs>
  <cellXfs count="874">
    <xf numFmtId="0" fontId="0" fillId="0" borderId="0" xfId="0" applyFont="1" applyAlignment="1"/>
    <xf numFmtId="0" fontId="1" fillId="2" borderId="1" xfId="0" applyFont="1" applyFill="1" applyBorder="1" applyAlignment="1">
      <alignment vertical="center"/>
    </xf>
    <xf numFmtId="0" fontId="2" fillId="2" borderId="1" xfId="0" applyFont="1" applyFill="1" applyBorder="1" applyAlignment="1">
      <alignment vertical="center" wrapText="1"/>
    </xf>
    <xf numFmtId="0" fontId="2" fillId="2" borderId="1" xfId="0" applyFont="1" applyFill="1" applyBorder="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2" xfId="0" applyFont="1" applyBorder="1" applyAlignment="1">
      <alignment horizontal="left" vertical="center"/>
    </xf>
    <xf numFmtId="0" fontId="3" fillId="0" borderId="0" xfId="0" applyFont="1" applyAlignment="1">
      <alignment horizontal="left" vertical="center"/>
    </xf>
    <xf numFmtId="0" fontId="3" fillId="3" borderId="1" xfId="0" applyFont="1" applyFill="1" applyBorder="1" applyAlignment="1">
      <alignment horizontal="left" vertical="center" wrapText="1"/>
    </xf>
    <xf numFmtId="0" fontId="6"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alignment vertical="center"/>
    </xf>
    <xf numFmtId="0" fontId="8" fillId="0" borderId="0" xfId="0" applyFont="1" applyAlignment="1">
      <alignment vertical="center"/>
    </xf>
    <xf numFmtId="0" fontId="8" fillId="4" borderId="2" xfId="0" applyFont="1" applyFill="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10" fontId="7" fillId="0" borderId="2" xfId="0" applyNumberFormat="1" applyFont="1" applyBorder="1" applyAlignment="1">
      <alignment horizontal="left"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10" fontId="7" fillId="0" borderId="2" xfId="0" applyNumberFormat="1" applyFont="1" applyBorder="1" applyAlignment="1">
      <alignment horizontal="center" vertical="center" wrapText="1"/>
    </xf>
    <xf numFmtId="166" fontId="7" fillId="0" borderId="2" xfId="0" applyNumberFormat="1" applyFont="1" applyBorder="1" applyAlignment="1">
      <alignment horizontal="center" vertical="center" wrapText="1"/>
    </xf>
    <xf numFmtId="0" fontId="7" fillId="0" borderId="2" xfId="0" applyFont="1" applyBorder="1" applyAlignment="1">
      <alignment horizontal="center" vertical="center"/>
    </xf>
    <xf numFmtId="0" fontId="10" fillId="3" borderId="2" xfId="0" applyFont="1" applyFill="1" applyBorder="1" applyAlignment="1">
      <alignment horizontal="left" vertical="center" wrapText="1"/>
    </xf>
    <xf numFmtId="0" fontId="10" fillId="0" borderId="2" xfId="0" applyFont="1" applyBorder="1" applyAlignment="1">
      <alignment vertical="center" wrapText="1"/>
    </xf>
    <xf numFmtId="9"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9" fontId="10" fillId="0" borderId="2" xfId="0" applyNumberFormat="1" applyFont="1" applyBorder="1" applyAlignment="1">
      <alignment horizontal="center" vertical="center" shrinkToFit="1"/>
    </xf>
    <xf numFmtId="167" fontId="10" fillId="0" borderId="2" xfId="0" applyNumberFormat="1" applyFont="1" applyBorder="1" applyAlignment="1">
      <alignment horizontal="center" vertical="center" shrinkToFit="1"/>
    </xf>
    <xf numFmtId="9" fontId="7" fillId="0" borderId="2"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xf numFmtId="0" fontId="8" fillId="0" borderId="0" xfId="0" applyFont="1" applyAlignment="1">
      <alignment horizontal="left"/>
    </xf>
    <xf numFmtId="0" fontId="7" fillId="0" borderId="0" xfId="0" applyFont="1"/>
    <xf numFmtId="0" fontId="8" fillId="4" borderId="2" xfId="0" applyFont="1" applyFill="1" applyBorder="1" applyAlignment="1">
      <alignment horizontal="center" vertical="center"/>
    </xf>
    <xf numFmtId="0" fontId="8" fillId="0" borderId="0" xfId="0" applyFont="1" applyAlignment="1">
      <alignment horizontal="center" vertical="center"/>
    </xf>
    <xf numFmtId="0" fontId="7" fillId="0" borderId="2" xfId="0" applyFont="1" applyBorder="1" applyAlignment="1">
      <alignment vertical="center"/>
    </xf>
    <xf numFmtId="3" fontId="7" fillId="0" borderId="2" xfId="0" applyNumberFormat="1" applyFont="1" applyBorder="1" applyAlignment="1">
      <alignment vertical="center"/>
    </xf>
    <xf numFmtId="0" fontId="8" fillId="5" borderId="2" xfId="0" applyFont="1" applyFill="1" applyBorder="1" applyAlignment="1">
      <alignment horizontal="center" vertical="center"/>
    </xf>
    <xf numFmtId="3" fontId="8" fillId="5" borderId="2" xfId="0" applyNumberFormat="1" applyFont="1" applyFill="1" applyBorder="1" applyAlignment="1">
      <alignment vertical="center"/>
    </xf>
    <xf numFmtId="3" fontId="7" fillId="0" borderId="0" xfId="0" applyNumberFormat="1" applyFont="1"/>
    <xf numFmtId="0" fontId="7" fillId="0" borderId="8" xfId="0" applyFont="1" applyBorder="1" applyAlignment="1">
      <alignment horizontal="left" vertical="center"/>
    </xf>
    <xf numFmtId="0" fontId="4" fillId="0" borderId="0" xfId="0" applyFont="1" applyAlignment="1">
      <alignment horizontal="left"/>
    </xf>
    <xf numFmtId="0" fontId="3" fillId="0" borderId="0" xfId="0" applyFont="1"/>
    <xf numFmtId="0" fontId="11" fillId="0" borderId="0" xfId="0" applyFont="1" applyAlignment="1">
      <alignment vertical="center"/>
    </xf>
    <xf numFmtId="0" fontId="4" fillId="4" borderId="2"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0" borderId="0" xfId="0" applyFont="1" applyAlignment="1">
      <alignment horizontal="center" vertical="center"/>
    </xf>
    <xf numFmtId="0" fontId="4" fillId="5" borderId="2" xfId="0" applyFont="1" applyFill="1" applyBorder="1"/>
    <xf numFmtId="3" fontId="4" fillId="5" borderId="2" xfId="0" applyNumberFormat="1" applyFont="1" applyFill="1" applyBorder="1"/>
    <xf numFmtId="0" fontId="3" fillId="0" borderId="2" xfId="0" applyFont="1" applyBorder="1" applyAlignment="1">
      <alignment horizontal="left"/>
    </xf>
    <xf numFmtId="3" fontId="3" fillId="0" borderId="2" xfId="0" applyNumberFormat="1" applyFont="1" applyBorder="1"/>
    <xf numFmtId="0" fontId="4" fillId="5" borderId="2" xfId="0" applyFont="1" applyFill="1" applyBorder="1" applyAlignment="1">
      <alignment horizontal="center" vertical="center"/>
    </xf>
    <xf numFmtId="3" fontId="4" fillId="5" borderId="2" xfId="0" applyNumberFormat="1" applyFont="1" applyFill="1" applyBorder="1" applyAlignment="1">
      <alignment vertical="center"/>
    </xf>
    <xf numFmtId="3" fontId="4" fillId="0" borderId="0" xfId="0" applyNumberFormat="1" applyFont="1" applyAlignment="1">
      <alignment horizontal="center" vertical="center"/>
    </xf>
    <xf numFmtId="3" fontId="3" fillId="0" borderId="0" xfId="0" applyNumberFormat="1" applyFont="1"/>
    <xf numFmtId="0" fontId="4" fillId="5" borderId="9" xfId="0" applyFont="1" applyFill="1" applyBorder="1" applyAlignment="1">
      <alignment horizontal="center" vertical="center"/>
    </xf>
    <xf numFmtId="0" fontId="7" fillId="0" borderId="8" xfId="0" applyFont="1" applyBorder="1" applyAlignment="1">
      <alignment horizontal="left"/>
    </xf>
    <xf numFmtId="0" fontId="7" fillId="0" borderId="0" xfId="0" applyFont="1" applyAlignment="1">
      <alignment horizontal="left"/>
    </xf>
    <xf numFmtId="0" fontId="6" fillId="0" borderId="0" xfId="0" applyFont="1" applyAlignment="1">
      <alignment horizontal="left"/>
    </xf>
    <xf numFmtId="0" fontId="7" fillId="0" borderId="0" xfId="0" applyFont="1" applyAlignment="1">
      <alignment horizontal="center"/>
    </xf>
    <xf numFmtId="0" fontId="9" fillId="0" borderId="0" xfId="0" applyFont="1"/>
    <xf numFmtId="0" fontId="12" fillId="0" borderId="0" xfId="0" applyFont="1" applyAlignment="1">
      <alignment vertical="center"/>
    </xf>
    <xf numFmtId="0" fontId="4" fillId="0" borderId="0" xfId="0" applyFont="1" applyAlignment="1">
      <alignment horizontal="left" vertical="center"/>
    </xf>
    <xf numFmtId="0" fontId="9" fillId="0" borderId="0" xfId="0" applyFont="1" applyAlignment="1">
      <alignment vertical="center" wrapText="1"/>
    </xf>
    <xf numFmtId="49" fontId="13" fillId="4" borderId="18" xfId="0" applyNumberFormat="1" applyFont="1" applyFill="1" applyBorder="1" applyAlignment="1">
      <alignment horizontal="center" textRotation="90" wrapText="1"/>
    </xf>
    <xf numFmtId="49" fontId="13" fillId="4" borderId="19" xfId="0" applyNumberFormat="1" applyFont="1" applyFill="1" applyBorder="1" applyAlignment="1">
      <alignment horizontal="center" textRotation="90" wrapText="1"/>
    </xf>
    <xf numFmtId="49" fontId="13" fillId="4" borderId="20" xfId="0" applyNumberFormat="1" applyFont="1" applyFill="1" applyBorder="1" applyAlignment="1">
      <alignment horizontal="center" textRotation="90" wrapText="1"/>
    </xf>
    <xf numFmtId="49" fontId="13" fillId="4" borderId="21" xfId="0" applyNumberFormat="1" applyFont="1" applyFill="1" applyBorder="1" applyAlignment="1">
      <alignment horizontal="center" textRotation="90" wrapText="1"/>
    </xf>
    <xf numFmtId="49" fontId="13" fillId="4" borderId="22" xfId="0" applyNumberFormat="1" applyFont="1" applyFill="1" applyBorder="1" applyAlignment="1">
      <alignment horizontal="center" textRotation="90" wrapText="1"/>
    </xf>
    <xf numFmtId="49" fontId="13" fillId="4" borderId="23" xfId="0" applyNumberFormat="1" applyFont="1" applyFill="1" applyBorder="1" applyAlignment="1">
      <alignment horizontal="center" textRotation="90" wrapText="1"/>
    </xf>
    <xf numFmtId="49" fontId="13" fillId="4" borderId="24" xfId="0" applyNumberFormat="1" applyFont="1" applyFill="1" applyBorder="1" applyAlignment="1">
      <alignment horizontal="center" textRotation="90" wrapText="1"/>
    </xf>
    <xf numFmtId="49" fontId="11" fillId="4" borderId="25" xfId="0" applyNumberFormat="1" applyFont="1" applyFill="1" applyBorder="1" applyAlignment="1">
      <alignment horizontal="center" textRotation="90" wrapText="1"/>
    </xf>
    <xf numFmtId="49" fontId="11" fillId="4" borderId="24" xfId="0" applyNumberFormat="1" applyFont="1" applyFill="1" applyBorder="1" applyAlignment="1">
      <alignment horizontal="center" textRotation="90" wrapText="1"/>
    </xf>
    <xf numFmtId="0" fontId="9" fillId="0" borderId="0" xfId="0" applyFont="1" applyAlignment="1">
      <alignment wrapText="1"/>
    </xf>
    <xf numFmtId="0" fontId="14" fillId="6" borderId="26" xfId="0" applyFont="1" applyFill="1" applyBorder="1" applyAlignment="1">
      <alignment vertical="center"/>
    </xf>
    <xf numFmtId="0" fontId="7" fillId="6" borderId="27" xfId="0" applyFont="1" applyFill="1" applyBorder="1" applyAlignment="1">
      <alignment vertical="center" wrapText="1"/>
    </xf>
    <xf numFmtId="3" fontId="8" fillId="6" borderId="28" xfId="0" applyNumberFormat="1" applyFont="1" applyFill="1" applyBorder="1" applyAlignment="1">
      <alignment vertical="center"/>
    </xf>
    <xf numFmtId="3" fontId="8" fillId="6" borderId="29" xfId="0" applyNumberFormat="1" applyFont="1" applyFill="1" applyBorder="1" applyAlignment="1">
      <alignment vertical="center"/>
    </xf>
    <xf numFmtId="3" fontId="8" fillId="6" borderId="30" xfId="0" applyNumberFormat="1" applyFont="1" applyFill="1" applyBorder="1" applyAlignment="1">
      <alignment vertical="center"/>
    </xf>
    <xf numFmtId="3" fontId="8" fillId="6" borderId="31" xfId="0" applyNumberFormat="1" applyFont="1" applyFill="1" applyBorder="1" applyAlignment="1">
      <alignment vertical="center"/>
    </xf>
    <xf numFmtId="3" fontId="8" fillId="6" borderId="32" xfId="0" applyNumberFormat="1" applyFont="1" applyFill="1" applyBorder="1" applyAlignment="1">
      <alignment vertical="center"/>
    </xf>
    <xf numFmtId="3" fontId="8" fillId="6" borderId="33" xfId="0" applyNumberFormat="1" applyFont="1" applyFill="1" applyBorder="1" applyAlignment="1">
      <alignment vertical="center"/>
    </xf>
    <xf numFmtId="3" fontId="8" fillId="6" borderId="34" xfId="0" applyNumberFormat="1" applyFont="1" applyFill="1" applyBorder="1" applyAlignment="1">
      <alignment vertical="center"/>
    </xf>
    <xf numFmtId="3" fontId="8" fillId="6" borderId="35" xfId="0" applyNumberFormat="1" applyFont="1" applyFill="1" applyBorder="1" applyAlignment="1">
      <alignment vertical="center"/>
    </xf>
    <xf numFmtId="3" fontId="8" fillId="6" borderId="36" xfId="0" applyNumberFormat="1" applyFont="1" applyFill="1" applyBorder="1" applyAlignment="1">
      <alignment vertical="center"/>
    </xf>
    <xf numFmtId="9" fontId="8" fillId="6" borderId="35" xfId="0" applyNumberFormat="1" applyFont="1" applyFill="1" applyBorder="1" applyAlignment="1">
      <alignment horizontal="center" vertical="center"/>
    </xf>
    <xf numFmtId="0" fontId="14" fillId="0" borderId="3" xfId="0" applyFont="1" applyBorder="1" applyAlignment="1">
      <alignment vertical="center" wrapText="1"/>
    </xf>
    <xf numFmtId="0" fontId="7" fillId="0" borderId="37" xfId="0" applyFont="1" applyBorder="1" applyAlignment="1">
      <alignment vertical="center" wrapText="1"/>
    </xf>
    <xf numFmtId="3" fontId="7" fillId="0" borderId="38" xfId="0" applyNumberFormat="1" applyFont="1" applyBorder="1" applyAlignment="1">
      <alignment vertical="center"/>
    </xf>
    <xf numFmtId="3" fontId="7" fillId="0" borderId="7" xfId="0" applyNumberFormat="1" applyFont="1" applyBorder="1" applyAlignment="1">
      <alignment vertical="center"/>
    </xf>
    <xf numFmtId="3" fontId="7" fillId="0" borderId="39" xfId="0" applyNumberFormat="1" applyFont="1" applyBorder="1" applyAlignment="1">
      <alignment vertical="center"/>
    </xf>
    <xf numFmtId="3" fontId="7" fillId="0" borderId="40" xfId="0" applyNumberFormat="1" applyFont="1" applyBorder="1" applyAlignment="1">
      <alignment vertical="center"/>
    </xf>
    <xf numFmtId="3" fontId="7" fillId="0" borderId="41" xfId="0" applyNumberFormat="1" applyFont="1" applyBorder="1" applyAlignment="1">
      <alignment vertical="center"/>
    </xf>
    <xf numFmtId="3" fontId="8" fillId="0" borderId="39" xfId="0" applyNumberFormat="1" applyFont="1" applyBorder="1" applyAlignment="1">
      <alignment vertical="center"/>
    </xf>
    <xf numFmtId="3" fontId="8" fillId="0" borderId="42" xfId="0" applyNumberFormat="1" applyFont="1" applyBorder="1" applyAlignment="1">
      <alignment vertical="center"/>
    </xf>
    <xf numFmtId="9" fontId="8" fillId="0" borderId="39" xfId="0" applyNumberFormat="1" applyFont="1" applyBorder="1" applyAlignment="1">
      <alignment horizontal="center" vertical="center"/>
    </xf>
    <xf numFmtId="3" fontId="7" fillId="0" borderId="5" xfId="0" applyNumberFormat="1" applyFont="1" applyBorder="1" applyAlignment="1">
      <alignment vertical="center"/>
    </xf>
    <xf numFmtId="3" fontId="7" fillId="0" borderId="43" xfId="0" applyNumberFormat="1" applyFont="1" applyBorder="1" applyAlignment="1">
      <alignment vertical="center"/>
    </xf>
    <xf numFmtId="3" fontId="8" fillId="0" borderId="44" xfId="0" applyNumberFormat="1" applyFont="1" applyBorder="1" applyAlignment="1">
      <alignment vertical="center"/>
    </xf>
    <xf numFmtId="9" fontId="8" fillId="0" borderId="44" xfId="0" applyNumberFormat="1" applyFont="1" applyBorder="1" applyAlignment="1">
      <alignment horizontal="center" vertical="center"/>
    </xf>
    <xf numFmtId="3" fontId="7" fillId="0" borderId="2" xfId="0" applyNumberFormat="1" applyFont="1" applyBorder="1" applyAlignment="1">
      <alignment horizontal="right" vertical="center"/>
    </xf>
    <xf numFmtId="3" fontId="7" fillId="0" borderId="44" xfId="0" applyNumberFormat="1" applyFont="1" applyBorder="1" applyAlignment="1">
      <alignment horizontal="right" vertical="center"/>
    </xf>
    <xf numFmtId="9" fontId="7" fillId="0" borderId="44" xfId="0" applyNumberFormat="1" applyFont="1" applyBorder="1" applyAlignment="1">
      <alignment horizontal="center" vertical="center"/>
    </xf>
    <xf numFmtId="0" fontId="7" fillId="6" borderId="37" xfId="0" applyFont="1" applyFill="1" applyBorder="1" applyAlignment="1">
      <alignment vertical="center" wrapText="1"/>
    </xf>
    <xf numFmtId="3" fontId="8" fillId="6" borderId="45" xfId="0" applyNumberFormat="1" applyFont="1" applyFill="1" applyBorder="1" applyAlignment="1">
      <alignment vertical="center"/>
    </xf>
    <xf numFmtId="3" fontId="8" fillId="6" borderId="2" xfId="0" applyNumberFormat="1" applyFont="1" applyFill="1" applyBorder="1" applyAlignment="1">
      <alignment vertical="center"/>
    </xf>
    <xf numFmtId="3" fontId="8" fillId="6" borderId="43" xfId="0" applyNumberFormat="1" applyFont="1" applyFill="1" applyBorder="1" applyAlignment="1">
      <alignment vertical="center"/>
    </xf>
    <xf numFmtId="3" fontId="8" fillId="6" borderId="44" xfId="0" applyNumberFormat="1" applyFont="1" applyFill="1" applyBorder="1" applyAlignment="1">
      <alignment vertical="center"/>
    </xf>
    <xf numFmtId="9" fontId="8" fillId="6" borderId="44" xfId="0" applyNumberFormat="1" applyFont="1" applyFill="1" applyBorder="1" applyAlignment="1">
      <alignment horizontal="center" vertical="center"/>
    </xf>
    <xf numFmtId="0" fontId="15" fillId="0" borderId="3" xfId="0" applyFont="1" applyBorder="1" applyAlignment="1">
      <alignment vertical="center" wrapText="1"/>
    </xf>
    <xf numFmtId="3" fontId="7" fillId="0" borderId="43" xfId="0" applyNumberFormat="1" applyFont="1" applyBorder="1" applyAlignment="1">
      <alignment horizontal="right" vertical="center"/>
    </xf>
    <xf numFmtId="167" fontId="8" fillId="6" borderId="46" xfId="0" applyNumberFormat="1" applyFont="1" applyFill="1" applyBorder="1" applyAlignment="1">
      <alignment vertical="center"/>
    </xf>
    <xf numFmtId="49" fontId="7" fillId="0" borderId="47" xfId="0" applyNumberFormat="1" applyFont="1" applyBorder="1" applyAlignment="1">
      <alignment vertical="center"/>
    </xf>
    <xf numFmtId="49" fontId="7" fillId="0" borderId="48" xfId="0" applyNumberFormat="1" applyFont="1" applyBorder="1" applyAlignment="1">
      <alignment vertical="center" wrapText="1"/>
    </xf>
    <xf numFmtId="3" fontId="7" fillId="0" borderId="49" xfId="0" applyNumberFormat="1" applyFont="1" applyBorder="1" applyAlignment="1">
      <alignment vertical="center"/>
    </xf>
    <xf numFmtId="3" fontId="7" fillId="0" borderId="50" xfId="0" applyNumberFormat="1" applyFont="1" applyBorder="1" applyAlignment="1">
      <alignment vertical="center"/>
    </xf>
    <xf numFmtId="3" fontId="7" fillId="0" borderId="51" xfId="0" applyNumberFormat="1" applyFont="1" applyBorder="1" applyAlignment="1">
      <alignment vertical="center"/>
    </xf>
    <xf numFmtId="3" fontId="7" fillId="0" borderId="52" xfId="0" applyNumberFormat="1" applyFont="1" applyBorder="1" applyAlignment="1">
      <alignment vertical="center"/>
    </xf>
    <xf numFmtId="3" fontId="7" fillId="0" borderId="6" xfId="0" applyNumberFormat="1" applyFont="1" applyBorder="1" applyAlignment="1">
      <alignment vertical="center"/>
    </xf>
    <xf numFmtId="3" fontId="7" fillId="0" borderId="53" xfId="0" applyNumberFormat="1" applyFont="1" applyBorder="1" applyAlignment="1">
      <alignment vertical="center"/>
    </xf>
    <xf numFmtId="3" fontId="8" fillId="0" borderId="54" xfId="0" applyNumberFormat="1" applyFont="1" applyBorder="1" applyAlignment="1">
      <alignment vertical="center"/>
    </xf>
    <xf numFmtId="9" fontId="8" fillId="0" borderId="54" xfId="0" applyNumberFormat="1" applyFont="1" applyBorder="1" applyAlignment="1">
      <alignment horizontal="center" vertical="center"/>
    </xf>
    <xf numFmtId="3" fontId="8" fillId="7" borderId="21" xfId="0" applyNumberFormat="1" applyFont="1" applyFill="1" applyBorder="1" applyAlignment="1">
      <alignment horizontal="right" vertical="center"/>
    </xf>
    <xf numFmtId="3" fontId="8" fillId="7" borderId="22" xfId="0" applyNumberFormat="1" applyFont="1" applyFill="1" applyBorder="1" applyAlignment="1">
      <alignment horizontal="right" vertical="center"/>
    </xf>
    <xf numFmtId="3" fontId="8" fillId="7" borderId="24" xfId="0" applyNumberFormat="1" applyFont="1" applyFill="1" applyBorder="1" applyAlignment="1">
      <alignment horizontal="right" vertical="center"/>
    </xf>
    <xf numFmtId="3" fontId="8" fillId="7" borderId="25" xfId="0" applyNumberFormat="1" applyFont="1" applyFill="1" applyBorder="1" applyAlignment="1">
      <alignment horizontal="right" vertical="center"/>
    </xf>
    <xf numFmtId="9" fontId="8" fillId="7" borderId="24" xfId="0" applyNumberFormat="1" applyFont="1" applyFill="1" applyBorder="1" applyAlignment="1">
      <alignment horizontal="center" vertical="center"/>
    </xf>
    <xf numFmtId="49" fontId="12" fillId="0" borderId="0" xfId="0" applyNumberFormat="1" applyFont="1" applyAlignment="1">
      <alignment horizontal="left" vertical="center"/>
    </xf>
    <xf numFmtId="3" fontId="9" fillId="0" borderId="0" xfId="0" applyNumberFormat="1" applyFont="1" applyAlignment="1">
      <alignment vertical="center"/>
    </xf>
    <xf numFmtId="3" fontId="9" fillId="0" borderId="0" xfId="0" applyNumberFormat="1" applyFont="1" applyAlignment="1">
      <alignment horizontal="right" vertical="center"/>
    </xf>
    <xf numFmtId="3" fontId="8" fillId="0" borderId="44" xfId="0" applyNumberFormat="1" applyFont="1" applyBorder="1" applyAlignment="1">
      <alignment horizontal="right" vertical="center"/>
    </xf>
    <xf numFmtId="9" fontId="8" fillId="6" borderId="46" xfId="0" applyNumberFormat="1" applyFont="1" applyFill="1" applyBorder="1" applyAlignment="1">
      <alignment horizontal="center" vertical="center"/>
    </xf>
    <xf numFmtId="49" fontId="16" fillId="0" borderId="47" xfId="0" applyNumberFormat="1" applyFont="1" applyBorder="1" applyAlignment="1">
      <alignment vertical="center"/>
    </xf>
    <xf numFmtId="3" fontId="8" fillId="0" borderId="40" xfId="0" applyNumberFormat="1" applyFont="1" applyBorder="1" applyAlignment="1">
      <alignment vertical="center"/>
    </xf>
    <xf numFmtId="3" fontId="8" fillId="0" borderId="51" xfId="0" applyNumberFormat="1" applyFont="1" applyBorder="1" applyAlignment="1">
      <alignment vertical="center"/>
    </xf>
    <xf numFmtId="0" fontId="15" fillId="6" borderId="26" xfId="0" applyFont="1" applyFill="1" applyBorder="1" applyAlignment="1">
      <alignment vertical="center"/>
    </xf>
    <xf numFmtId="3" fontId="7" fillId="0" borderId="42" xfId="0" applyNumberFormat="1" applyFont="1" applyBorder="1" applyAlignment="1">
      <alignment vertical="center"/>
    </xf>
    <xf numFmtId="49" fontId="8" fillId="7" borderId="57" xfId="0" applyNumberFormat="1" applyFont="1" applyFill="1" applyBorder="1" applyAlignment="1">
      <alignment horizontal="center" vertical="center"/>
    </xf>
    <xf numFmtId="49" fontId="8" fillId="7" borderId="58" xfId="0" applyNumberFormat="1" applyFont="1" applyFill="1" applyBorder="1" applyAlignment="1">
      <alignment horizontal="center" vertical="center"/>
    </xf>
    <xf numFmtId="0" fontId="1" fillId="0" borderId="0" xfId="0" applyFont="1" applyAlignment="1">
      <alignment vertical="center"/>
    </xf>
    <xf numFmtId="0" fontId="8" fillId="4" borderId="59" xfId="0" applyFont="1" applyFill="1" applyBorder="1" applyAlignment="1">
      <alignment horizontal="center" vertical="center" wrapText="1"/>
    </xf>
    <xf numFmtId="0" fontId="8" fillId="4" borderId="59" xfId="0" applyFont="1" applyFill="1" applyBorder="1" applyAlignment="1">
      <alignment horizontal="center" vertical="center"/>
    </xf>
    <xf numFmtId="0" fontId="8" fillId="5" borderId="2" xfId="0" applyFont="1" applyFill="1" applyBorder="1" applyAlignment="1">
      <alignment horizontal="right" vertical="center"/>
    </xf>
    <xf numFmtId="0" fontId="7" fillId="0" borderId="8" xfId="0" applyFont="1" applyBorder="1"/>
    <xf numFmtId="0" fontId="8" fillId="0" borderId="0" xfId="0" applyFont="1"/>
    <xf numFmtId="0" fontId="8" fillId="4" borderId="21" xfId="0" applyFont="1" applyFill="1" applyBorder="1" applyAlignment="1">
      <alignment horizontal="center" vertical="center" textRotation="90" wrapText="1"/>
    </xf>
    <xf numFmtId="0" fontId="8" fillId="4" borderId="22" xfId="0" applyFont="1" applyFill="1" applyBorder="1" applyAlignment="1">
      <alignment horizontal="center" vertical="center" textRotation="90" wrapText="1"/>
    </xf>
    <xf numFmtId="0" fontId="8" fillId="4" borderId="63" xfId="0" applyFont="1" applyFill="1" applyBorder="1" applyAlignment="1">
      <alignment horizontal="center" vertical="center" textRotation="90" wrapText="1"/>
    </xf>
    <xf numFmtId="0" fontId="8" fillId="4" borderId="25" xfId="0" applyFont="1" applyFill="1" applyBorder="1" applyAlignment="1">
      <alignment horizontal="center" vertical="center" textRotation="90" wrapText="1"/>
    </xf>
    <xf numFmtId="0" fontId="8" fillId="0" borderId="11" xfId="0" applyFont="1" applyBorder="1" applyAlignment="1">
      <alignment horizontal="center" wrapText="1"/>
    </xf>
    <xf numFmtId="0" fontId="8" fillId="0" borderId="64" xfId="0" applyFont="1" applyBorder="1" applyAlignment="1">
      <alignment horizontal="center"/>
    </xf>
    <xf numFmtId="0" fontId="8" fillId="0" borderId="65" xfId="0" applyFont="1" applyBorder="1" applyAlignment="1">
      <alignment horizontal="center"/>
    </xf>
    <xf numFmtId="0" fontId="8" fillId="0" borderId="66" xfId="0" applyFont="1" applyBorder="1" applyAlignment="1">
      <alignment horizontal="center"/>
    </xf>
    <xf numFmtId="0" fontId="8" fillId="0" borderId="67" xfId="0" applyFont="1" applyBorder="1" applyAlignment="1">
      <alignment horizontal="center"/>
    </xf>
    <xf numFmtId="0" fontId="17" fillId="0" borderId="68" xfId="0" applyFont="1" applyBorder="1" applyAlignment="1">
      <alignment wrapText="1"/>
    </xf>
    <xf numFmtId="3" fontId="8" fillId="0" borderId="69" xfId="0" applyNumberFormat="1" applyFont="1" applyBorder="1"/>
    <xf numFmtId="3" fontId="8" fillId="0" borderId="65" xfId="0" applyNumberFormat="1" applyFont="1" applyBorder="1"/>
    <xf numFmtId="3" fontId="8" fillId="0" borderId="66" xfId="0" applyNumberFormat="1" applyFont="1" applyBorder="1"/>
    <xf numFmtId="3" fontId="8" fillId="0" borderId="67" xfId="0" applyNumberFormat="1" applyFont="1" applyBorder="1"/>
    <xf numFmtId="0" fontId="7" fillId="0" borderId="68" xfId="0" applyFont="1" applyBorder="1" applyAlignment="1">
      <alignment wrapText="1"/>
    </xf>
    <xf numFmtId="3" fontId="7" fillId="0" borderId="69" xfId="0" applyNumberFormat="1" applyFont="1" applyBorder="1"/>
    <xf numFmtId="3" fontId="7" fillId="0" borderId="65" xfId="0" applyNumberFormat="1" applyFont="1" applyBorder="1"/>
    <xf numFmtId="3" fontId="7" fillId="0" borderId="66" xfId="0" applyNumberFormat="1" applyFont="1" applyBorder="1"/>
    <xf numFmtId="3" fontId="7" fillId="0" borderId="67" xfId="0" applyNumberFormat="1" applyFont="1" applyBorder="1"/>
    <xf numFmtId="0" fontId="8" fillId="0" borderId="68" xfId="0" applyFont="1" applyBorder="1" applyAlignment="1">
      <alignment wrapText="1"/>
    </xf>
    <xf numFmtId="0" fontId="7" fillId="0" borderId="68" xfId="0" applyFont="1" applyBorder="1" applyAlignment="1">
      <alignment horizontal="left" wrapText="1"/>
    </xf>
    <xf numFmtId="0" fontId="18" fillId="0" borderId="68" xfId="0" applyFont="1" applyBorder="1" applyAlignment="1">
      <alignment horizontal="left" wrapText="1"/>
    </xf>
    <xf numFmtId="0" fontId="7" fillId="0" borderId="70" xfId="0" applyFont="1" applyBorder="1" applyAlignment="1">
      <alignment wrapText="1"/>
    </xf>
    <xf numFmtId="0" fontId="7" fillId="0" borderId="71" xfId="0" applyFont="1" applyBorder="1" applyAlignment="1">
      <alignment wrapText="1"/>
    </xf>
    <xf numFmtId="3" fontId="7" fillId="0" borderId="64" xfId="0" applyNumberFormat="1" applyFont="1" applyBorder="1"/>
    <xf numFmtId="3" fontId="7" fillId="0" borderId="72" xfId="0" applyNumberFormat="1" applyFont="1" applyBorder="1"/>
    <xf numFmtId="3" fontId="7" fillId="0" borderId="73" xfId="0" applyNumberFormat="1" applyFont="1" applyBorder="1"/>
    <xf numFmtId="3" fontId="7" fillId="0" borderId="74" xfId="0" applyNumberFormat="1" applyFont="1" applyBorder="1"/>
    <xf numFmtId="3" fontId="7" fillId="0" borderId="75" xfId="0" applyNumberFormat="1" applyFont="1" applyBorder="1"/>
    <xf numFmtId="3" fontId="7" fillId="0" borderId="76" xfId="0" applyNumberFormat="1" applyFont="1" applyBorder="1"/>
    <xf numFmtId="0" fontId="8" fillId="0" borderId="77" xfId="0" applyFont="1" applyBorder="1" applyAlignment="1">
      <alignment horizontal="center" wrapText="1"/>
    </xf>
    <xf numFmtId="3" fontId="8" fillId="0" borderId="78" xfId="0" applyNumberFormat="1" applyFont="1" applyBorder="1"/>
    <xf numFmtId="3" fontId="8" fillId="0" borderId="79" xfId="0" applyNumberFormat="1" applyFont="1" applyBorder="1"/>
    <xf numFmtId="3" fontId="8" fillId="0" borderId="80" xfId="0" applyNumberFormat="1" applyFont="1" applyBorder="1"/>
    <xf numFmtId="3" fontId="8" fillId="0" borderId="81" xfId="0" applyNumberFormat="1" applyFont="1" applyBorder="1"/>
    <xf numFmtId="3" fontId="8" fillId="0" borderId="82" xfId="0" applyNumberFormat="1" applyFont="1" applyBorder="1"/>
    <xf numFmtId="3" fontId="8" fillId="0" borderId="83" xfId="0" applyNumberFormat="1" applyFont="1" applyBorder="1"/>
    <xf numFmtId="0" fontId="8" fillId="0" borderId="58" xfId="0" applyFont="1" applyBorder="1" applyAlignment="1">
      <alignment horizontal="center" wrapText="1"/>
    </xf>
    <xf numFmtId="3" fontId="8" fillId="0" borderId="21" xfId="0" applyNumberFormat="1" applyFont="1" applyBorder="1"/>
    <xf numFmtId="3" fontId="8" fillId="0" borderId="61" xfId="0" applyNumberFormat="1" applyFont="1" applyBorder="1"/>
    <xf numFmtId="3" fontId="8" fillId="0" borderId="22" xfId="0" applyNumberFormat="1" applyFont="1" applyBorder="1"/>
    <xf numFmtId="3" fontId="8" fillId="0" borderId="56" xfId="0" applyNumberFormat="1" applyFont="1" applyBorder="1"/>
    <xf numFmtId="3" fontId="8" fillId="0" borderId="84" xfId="0" applyNumberFormat="1" applyFont="1" applyBorder="1"/>
    <xf numFmtId="3" fontId="8" fillId="0" borderId="24" xfId="0" applyNumberFormat="1" applyFont="1" applyBorder="1"/>
    <xf numFmtId="0" fontId="6" fillId="0" borderId="0" xfId="0" applyFont="1"/>
    <xf numFmtId="0" fontId="9" fillId="0" borderId="0" xfId="0" applyFont="1" applyAlignment="1">
      <alignment horizontal="center"/>
    </xf>
    <xf numFmtId="0" fontId="19" fillId="4" borderId="58" xfId="0" applyFont="1" applyFill="1" applyBorder="1" applyAlignment="1">
      <alignment horizontal="center" vertical="center" textRotation="90" wrapText="1"/>
    </xf>
    <xf numFmtId="0" fontId="19" fillId="4" borderId="85" xfId="0" applyFont="1" applyFill="1" applyBorder="1" applyAlignment="1">
      <alignment horizontal="center" vertical="center" textRotation="90" wrapText="1"/>
    </xf>
    <xf numFmtId="0" fontId="19" fillId="4" borderId="63" xfId="0" applyFont="1" applyFill="1" applyBorder="1" applyAlignment="1">
      <alignment horizontal="center" vertical="center" textRotation="90" wrapText="1"/>
    </xf>
    <xf numFmtId="0" fontId="12" fillId="0" borderId="0" xfId="0" applyFont="1" applyAlignment="1">
      <alignment horizontal="center" vertical="center" wrapText="1"/>
    </xf>
    <xf numFmtId="0" fontId="20" fillId="0" borderId="68" xfId="0" applyFont="1" applyBorder="1" applyAlignment="1">
      <alignment vertical="center"/>
    </xf>
    <xf numFmtId="3" fontId="20" fillId="0" borderId="68" xfId="0" applyNumberFormat="1" applyFont="1" applyBorder="1" applyAlignment="1">
      <alignment vertical="center"/>
    </xf>
    <xf numFmtId="3" fontId="20" fillId="0" borderId="0" xfId="0" applyNumberFormat="1" applyFont="1" applyAlignment="1">
      <alignment vertical="center"/>
    </xf>
    <xf numFmtId="3" fontId="20" fillId="0" borderId="67" xfId="0" applyNumberFormat="1" applyFont="1" applyBorder="1" applyAlignment="1">
      <alignment vertical="center"/>
    </xf>
    <xf numFmtId="3" fontId="19" fillId="0" borderId="67" xfId="0" applyNumberFormat="1" applyFont="1" applyBorder="1" applyAlignment="1">
      <alignment vertical="center"/>
    </xf>
    <xf numFmtId="3" fontId="19" fillId="0" borderId="0" xfId="0" applyNumberFormat="1" applyFont="1" applyAlignment="1">
      <alignment vertical="center"/>
    </xf>
    <xf numFmtId="167" fontId="20" fillId="0" borderId="68" xfId="0" applyNumberFormat="1" applyFont="1" applyBorder="1" applyAlignment="1">
      <alignment vertical="center"/>
    </xf>
    <xf numFmtId="0" fontId="19" fillId="0" borderId="68" xfId="0" applyFont="1" applyBorder="1" applyAlignment="1">
      <alignment vertical="center"/>
    </xf>
    <xf numFmtId="0" fontId="20" fillId="0" borderId="62" xfId="0" applyFont="1" applyBorder="1" applyAlignment="1">
      <alignment vertical="center"/>
    </xf>
    <xf numFmtId="3" fontId="20" fillId="0" borderId="62" xfId="0" applyNumberFormat="1" applyFont="1" applyBorder="1" applyAlignment="1">
      <alignment vertical="center"/>
    </xf>
    <xf numFmtId="49" fontId="19" fillId="5" borderId="57" xfId="0" applyNumberFormat="1" applyFont="1" applyFill="1" applyBorder="1" applyAlignment="1">
      <alignment horizontal="center" vertical="center"/>
    </xf>
    <xf numFmtId="3" fontId="19" fillId="5" borderId="58" xfId="0" applyNumberFormat="1" applyFont="1" applyFill="1" applyBorder="1" applyAlignment="1">
      <alignment vertical="center"/>
    </xf>
    <xf numFmtId="9" fontId="19" fillId="5" borderId="63" xfId="0" applyNumberFormat="1" applyFont="1" applyFill="1" applyBorder="1" applyAlignment="1">
      <alignment vertical="center"/>
    </xf>
    <xf numFmtId="0" fontId="11" fillId="0" borderId="0" xfId="0" applyFont="1" applyAlignment="1">
      <alignment horizontal="center" vertical="center"/>
    </xf>
    <xf numFmtId="0" fontId="16" fillId="0" borderId="0" xfId="0" applyFont="1" applyAlignment="1">
      <alignment vertical="center"/>
    </xf>
    <xf numFmtId="49" fontId="13" fillId="4" borderId="92" xfId="0" applyNumberFormat="1" applyFont="1" applyFill="1" applyBorder="1" applyAlignment="1">
      <alignment horizontal="center" vertical="center" textRotation="90" wrapText="1"/>
    </xf>
    <xf numFmtId="49" fontId="13" fillId="4" borderId="50" xfId="0" applyNumberFormat="1" applyFont="1" applyFill="1" applyBorder="1" applyAlignment="1">
      <alignment horizontal="center" vertical="center" textRotation="90" wrapText="1"/>
    </xf>
    <xf numFmtId="49" fontId="13" fillId="4" borderId="51" xfId="0" applyNumberFormat="1" applyFont="1" applyFill="1" applyBorder="1" applyAlignment="1">
      <alignment horizontal="center" vertical="center" textRotation="90" wrapText="1"/>
    </xf>
    <xf numFmtId="49" fontId="13" fillId="4" borderId="93" xfId="0" applyNumberFormat="1" applyFont="1" applyFill="1" applyBorder="1" applyAlignment="1">
      <alignment horizontal="center" vertical="center" textRotation="90" wrapText="1"/>
    </xf>
    <xf numFmtId="49" fontId="14" fillId="4" borderId="50" xfId="0" applyNumberFormat="1" applyFont="1" applyFill="1" applyBorder="1" applyAlignment="1">
      <alignment horizontal="center" vertical="center" textRotation="90" wrapText="1"/>
    </xf>
    <xf numFmtId="49" fontId="11" fillId="4" borderId="51" xfId="0" applyNumberFormat="1" applyFont="1" applyFill="1" applyBorder="1" applyAlignment="1">
      <alignment horizontal="center" vertical="center" textRotation="90" wrapText="1"/>
    </xf>
    <xf numFmtId="0" fontId="16" fillId="0" borderId="94" xfId="0" applyFont="1" applyBorder="1" applyAlignment="1">
      <alignment vertical="center"/>
    </xf>
    <xf numFmtId="0" fontId="16" fillId="0" borderId="11" xfId="0" applyFont="1" applyBorder="1" applyAlignment="1">
      <alignment vertical="center"/>
    </xf>
    <xf numFmtId="3" fontId="16" fillId="0" borderId="95" xfId="0" applyNumberFormat="1" applyFont="1" applyBorder="1" applyAlignment="1">
      <alignment vertical="center"/>
    </xf>
    <xf numFmtId="3" fontId="16" fillId="0" borderId="29" xfId="0" applyNumberFormat="1" applyFont="1" applyBorder="1" applyAlignment="1">
      <alignment vertical="center"/>
    </xf>
    <xf numFmtId="3" fontId="16" fillId="0" borderId="30" xfId="0" applyNumberFormat="1" applyFont="1" applyBorder="1" applyAlignment="1">
      <alignment vertical="center"/>
    </xf>
    <xf numFmtId="3" fontId="16" fillId="0" borderId="90" xfId="0" applyNumberFormat="1" applyFont="1" applyBorder="1" applyAlignment="1">
      <alignment vertical="center"/>
    </xf>
    <xf numFmtId="167" fontId="16" fillId="0" borderId="30" xfId="0" applyNumberFormat="1" applyFont="1" applyBorder="1" applyAlignment="1">
      <alignment vertical="center"/>
    </xf>
    <xf numFmtId="49" fontId="16" fillId="0" borderId="71" xfId="0" applyNumberFormat="1" applyFont="1" applyBorder="1" applyAlignment="1">
      <alignment horizontal="left" vertical="center"/>
    </xf>
    <xf numFmtId="0" fontId="16" fillId="0" borderId="68" xfId="0" applyFont="1" applyBorder="1" applyAlignment="1">
      <alignment vertical="center"/>
    </xf>
    <xf numFmtId="3" fontId="16" fillId="0" borderId="43" xfId="0" applyNumberFormat="1" applyFont="1" applyBorder="1" applyAlignment="1">
      <alignment vertical="center"/>
    </xf>
    <xf numFmtId="3" fontId="16" fillId="0" borderId="2" xfId="0" applyNumberFormat="1" applyFont="1" applyBorder="1" applyAlignment="1">
      <alignment vertical="center"/>
    </xf>
    <xf numFmtId="3" fontId="16" fillId="0" borderId="44" xfId="0" applyNumberFormat="1" applyFont="1" applyBorder="1" applyAlignment="1">
      <alignment vertical="center"/>
    </xf>
    <xf numFmtId="3" fontId="16" fillId="0" borderId="5" xfId="0" applyNumberFormat="1" applyFont="1" applyBorder="1" applyAlignment="1">
      <alignment vertical="center"/>
    </xf>
    <xf numFmtId="167" fontId="16" fillId="0" borderId="44" xfId="0" applyNumberFormat="1" applyFont="1" applyBorder="1" applyAlignment="1">
      <alignment vertical="center"/>
    </xf>
    <xf numFmtId="0" fontId="16" fillId="0" borderId="70" xfId="0" applyFont="1" applyBorder="1" applyAlignment="1">
      <alignment horizontal="right" vertical="center"/>
    </xf>
    <xf numFmtId="0" fontId="11" fillId="8" borderId="96" xfId="0" applyFont="1" applyFill="1" applyBorder="1" applyAlignment="1">
      <alignment horizontal="right" vertical="center"/>
    </xf>
    <xf numFmtId="167" fontId="11" fillId="8" borderId="92" xfId="0" applyNumberFormat="1" applyFont="1" applyFill="1" applyBorder="1" applyAlignment="1">
      <alignment vertical="center"/>
    </xf>
    <xf numFmtId="167" fontId="11" fillId="8" borderId="50" xfId="0" applyNumberFormat="1" applyFont="1" applyFill="1" applyBorder="1" applyAlignment="1">
      <alignment vertical="center"/>
    </xf>
    <xf numFmtId="167" fontId="11" fillId="8" borderId="51" xfId="0" applyNumberFormat="1" applyFont="1" applyFill="1" applyBorder="1" applyAlignment="1">
      <alignment vertical="center"/>
    </xf>
    <xf numFmtId="167" fontId="11" fillId="8" borderId="93" xfId="0" applyNumberFormat="1" applyFont="1" applyFill="1" applyBorder="1" applyAlignment="1">
      <alignment vertical="center"/>
    </xf>
    <xf numFmtId="0" fontId="11" fillId="0" borderId="71" xfId="0" applyFont="1" applyBorder="1" applyAlignment="1">
      <alignment horizontal="left" vertical="center"/>
    </xf>
    <xf numFmtId="3" fontId="16" fillId="0" borderId="41" xfId="0" applyNumberFormat="1" applyFont="1" applyBorder="1" applyAlignment="1">
      <alignment vertical="center"/>
    </xf>
    <xf numFmtId="3" fontId="16" fillId="0" borderId="7" xfId="0" applyNumberFormat="1" applyFont="1" applyBorder="1" applyAlignment="1">
      <alignment vertical="center"/>
    </xf>
    <xf numFmtId="3" fontId="16" fillId="0" borderId="39" xfId="0" applyNumberFormat="1" applyFont="1" applyBorder="1" applyAlignment="1">
      <alignment vertical="center"/>
    </xf>
    <xf numFmtId="3" fontId="16" fillId="0" borderId="38" xfId="0" applyNumberFormat="1" applyFont="1" applyBorder="1" applyAlignment="1">
      <alignment vertical="center"/>
    </xf>
    <xf numFmtId="167" fontId="16" fillId="0" borderId="39" xfId="0" applyNumberFormat="1" applyFont="1" applyBorder="1" applyAlignment="1">
      <alignment vertical="center"/>
    </xf>
    <xf numFmtId="0" fontId="11" fillId="0" borderId="71" xfId="0" applyFont="1" applyBorder="1" applyAlignment="1">
      <alignment horizontal="center" vertical="center"/>
    </xf>
    <xf numFmtId="0" fontId="16" fillId="0" borderId="71" xfId="0" applyFont="1" applyBorder="1" applyAlignment="1">
      <alignment horizontal="center" vertical="center"/>
    </xf>
    <xf numFmtId="3" fontId="16" fillId="0" borderId="0" xfId="0" applyNumberFormat="1" applyFont="1" applyAlignment="1">
      <alignment vertical="center"/>
    </xf>
    <xf numFmtId="0" fontId="6" fillId="3" borderId="1" xfId="0" applyFont="1" applyFill="1" applyBorder="1" applyAlignment="1">
      <alignment vertical="center"/>
    </xf>
    <xf numFmtId="0" fontId="11" fillId="3" borderId="1" xfId="0" applyFont="1" applyFill="1" applyBorder="1" applyAlignment="1">
      <alignment vertical="center"/>
    </xf>
    <xf numFmtId="0" fontId="11" fillId="4" borderId="27" xfId="0" applyFont="1" applyFill="1" applyBorder="1" applyAlignment="1">
      <alignment horizontal="center" vertical="center"/>
    </xf>
    <xf numFmtId="0" fontId="11" fillId="4" borderId="37" xfId="0" applyFont="1" applyFill="1" applyBorder="1" applyAlignment="1">
      <alignment horizontal="center" vertical="center" wrapText="1"/>
    </xf>
    <xf numFmtId="0" fontId="16" fillId="4" borderId="45" xfId="0" applyFont="1" applyFill="1" applyBorder="1" applyAlignment="1">
      <alignment horizontal="center" vertical="center" textRotation="90" wrapText="1"/>
    </xf>
    <xf numFmtId="0" fontId="16" fillId="4" borderId="2" xfId="0" applyFont="1" applyFill="1" applyBorder="1" applyAlignment="1">
      <alignment horizontal="center" vertical="center" textRotation="90" wrapText="1"/>
    </xf>
    <xf numFmtId="0" fontId="11" fillId="4" borderId="2" xfId="0" applyFont="1" applyFill="1" applyBorder="1" applyAlignment="1">
      <alignment horizontal="center" vertical="center" textRotation="90" wrapText="1"/>
    </xf>
    <xf numFmtId="0" fontId="11" fillId="4" borderId="26" xfId="0" applyFont="1" applyFill="1" applyBorder="1" applyAlignment="1">
      <alignment horizontal="center" vertical="center" textRotation="90" wrapText="1"/>
    </xf>
    <xf numFmtId="0" fontId="11" fillId="4" borderId="44" xfId="0" applyFont="1" applyFill="1" applyBorder="1" applyAlignment="1">
      <alignment horizontal="center" vertical="center" textRotation="90" wrapText="1"/>
    </xf>
    <xf numFmtId="0" fontId="16" fillId="0" borderId="0" xfId="0" applyFont="1" applyAlignment="1">
      <alignment vertical="center" wrapText="1"/>
    </xf>
    <xf numFmtId="0" fontId="16" fillId="0" borderId="8" xfId="0" applyFont="1" applyBorder="1" applyAlignment="1">
      <alignment horizontal="center" vertical="center"/>
    </xf>
    <xf numFmtId="0" fontId="16" fillId="3" borderId="97" xfId="0" applyFont="1" applyFill="1" applyBorder="1" applyAlignment="1">
      <alignment vertical="center"/>
    </xf>
    <xf numFmtId="0" fontId="16" fillId="0" borderId="8" xfId="0" applyFont="1" applyBorder="1" applyAlignment="1">
      <alignment vertical="center"/>
    </xf>
    <xf numFmtId="0" fontId="11" fillId="6" borderId="57" xfId="0" applyFont="1" applyFill="1" applyBorder="1" applyAlignment="1">
      <alignment horizontal="left" vertical="center"/>
    </xf>
    <xf numFmtId="0" fontId="16" fillId="6" borderId="85" xfId="0" applyFont="1" applyFill="1" applyBorder="1" applyAlignment="1">
      <alignment vertical="center"/>
    </xf>
    <xf numFmtId="0" fontId="16" fillId="6" borderId="63" xfId="0" applyFont="1" applyFill="1" applyBorder="1" applyAlignment="1">
      <alignment vertical="center"/>
    </xf>
    <xf numFmtId="0" fontId="11" fillId="0" borderId="11" xfId="0" applyFont="1" applyBorder="1" applyAlignment="1">
      <alignment horizontal="center" vertical="center"/>
    </xf>
    <xf numFmtId="0" fontId="11" fillId="0" borderId="94" xfId="0" applyFont="1" applyBorder="1" applyAlignment="1">
      <alignment horizontal="center" vertical="center"/>
    </xf>
    <xf numFmtId="0" fontId="11" fillId="0" borderId="72" xfId="0" applyFont="1" applyBorder="1" applyAlignment="1">
      <alignment horizontal="center" vertical="center"/>
    </xf>
    <xf numFmtId="4" fontId="11" fillId="0" borderId="74" xfId="0" applyNumberFormat="1" applyFont="1" applyBorder="1" applyAlignment="1">
      <alignment vertical="center"/>
    </xf>
    <xf numFmtId="0" fontId="20" fillId="0" borderId="71" xfId="0" applyFont="1" applyBorder="1" applyAlignment="1">
      <alignment horizontal="center" vertical="center"/>
    </xf>
    <xf numFmtId="0" fontId="16" fillId="0" borderId="0" xfId="0" applyFont="1" applyAlignment="1">
      <alignment horizontal="center" vertical="center"/>
    </xf>
    <xf numFmtId="4" fontId="20" fillId="0" borderId="67" xfId="0" applyNumberFormat="1" applyFont="1" applyBorder="1" applyAlignment="1">
      <alignment vertical="center"/>
    </xf>
    <xf numFmtId="37" fontId="20" fillId="0" borderId="71" xfId="0" applyNumberFormat="1" applyFont="1" applyBorder="1" applyAlignment="1">
      <alignment horizontal="center" vertical="center"/>
    </xf>
    <xf numFmtId="37" fontId="16" fillId="0" borderId="0" xfId="0" applyNumberFormat="1" applyFont="1" applyAlignment="1">
      <alignment horizontal="center" vertical="center"/>
    </xf>
    <xf numFmtId="0" fontId="20" fillId="0" borderId="68" xfId="0" applyFont="1" applyBorder="1" applyAlignment="1">
      <alignment horizontal="center" vertical="center"/>
    </xf>
    <xf numFmtId="0" fontId="20" fillId="0" borderId="0" xfId="0" applyFont="1" applyAlignment="1">
      <alignment horizontal="center" vertical="center"/>
    </xf>
    <xf numFmtId="0" fontId="16" fillId="0" borderId="68" xfId="0" applyFont="1" applyBorder="1" applyAlignment="1">
      <alignment horizontal="center" vertical="center"/>
    </xf>
    <xf numFmtId="4" fontId="16" fillId="0" borderId="67" xfId="0" applyNumberFormat="1" applyFont="1" applyBorder="1" applyAlignment="1">
      <alignment vertical="center"/>
    </xf>
    <xf numFmtId="4" fontId="16" fillId="0" borderId="0" xfId="0" applyNumberFormat="1" applyFont="1" applyAlignment="1">
      <alignment vertical="center"/>
    </xf>
    <xf numFmtId="0" fontId="11" fillId="0" borderId="68" xfId="0" applyFont="1" applyBorder="1" applyAlignment="1">
      <alignment horizontal="center" vertical="center"/>
    </xf>
    <xf numFmtId="4" fontId="11" fillId="0" borderId="67" xfId="0" applyNumberFormat="1" applyFont="1" applyBorder="1" applyAlignment="1">
      <alignment horizontal="center" vertical="center"/>
    </xf>
    <xf numFmtId="4" fontId="16" fillId="0" borderId="0" xfId="0" applyNumberFormat="1" applyFont="1" applyAlignment="1">
      <alignment horizontal="center" vertical="center"/>
    </xf>
    <xf numFmtId="4" fontId="16" fillId="0" borderId="71" xfId="0" applyNumberFormat="1" applyFont="1" applyBorder="1" applyAlignment="1">
      <alignment horizontal="center" vertical="center"/>
    </xf>
    <xf numFmtId="0" fontId="19" fillId="0" borderId="68" xfId="0" applyFont="1" applyBorder="1" applyAlignment="1">
      <alignment horizontal="center" vertical="center"/>
    </xf>
    <xf numFmtId="4" fontId="11" fillId="0" borderId="67" xfId="0" applyNumberFormat="1" applyFont="1" applyBorder="1" applyAlignment="1">
      <alignment horizontal="right" vertical="center"/>
    </xf>
    <xf numFmtId="0" fontId="20" fillId="0" borderId="62" xfId="0" applyFont="1" applyBorder="1" applyAlignment="1">
      <alignment horizontal="center" vertical="center"/>
    </xf>
    <xf numFmtId="0" fontId="16" fillId="0" borderId="70" xfId="0" applyFont="1" applyBorder="1" applyAlignment="1">
      <alignment horizontal="center" vertical="center"/>
    </xf>
    <xf numFmtId="0" fontId="16" fillId="0" borderId="98" xfId="0" applyFont="1" applyBorder="1" applyAlignment="1">
      <alignment horizontal="center" vertical="center"/>
    </xf>
    <xf numFmtId="4" fontId="20" fillId="0" borderId="99" xfId="0" applyNumberFormat="1" applyFont="1" applyBorder="1" applyAlignment="1">
      <alignment vertical="center"/>
    </xf>
    <xf numFmtId="0" fontId="19" fillId="6" borderId="58" xfId="0" applyFont="1" applyFill="1" applyBorder="1" applyAlignment="1">
      <alignment horizontal="center" vertical="center"/>
    </xf>
    <xf numFmtId="0" fontId="19" fillId="6" borderId="85" xfId="0" applyFont="1" applyFill="1" applyBorder="1" applyAlignment="1">
      <alignment horizontal="center" vertical="center"/>
    </xf>
    <xf numFmtId="4" fontId="19" fillId="6" borderId="85" xfId="0" applyNumberFormat="1" applyFont="1" applyFill="1" applyBorder="1" applyAlignment="1">
      <alignment vertical="center"/>
    </xf>
    <xf numFmtId="4" fontId="19" fillId="6" borderId="63" xfId="0" applyNumberFormat="1" applyFont="1" applyFill="1" applyBorder="1" applyAlignment="1">
      <alignment vertical="center"/>
    </xf>
    <xf numFmtId="0" fontId="19" fillId="3" borderId="1" xfId="0" applyFont="1" applyFill="1" applyBorder="1" applyAlignment="1">
      <alignment horizontal="center" vertical="center"/>
    </xf>
    <xf numFmtId="4" fontId="19" fillId="3" borderId="1" xfId="0" applyNumberFormat="1" applyFont="1" applyFill="1" applyBorder="1" applyAlignment="1">
      <alignment vertical="center"/>
    </xf>
    <xf numFmtId="0" fontId="11" fillId="6" borderId="57" xfId="0" applyFont="1" applyFill="1" applyBorder="1" applyAlignment="1">
      <alignment vertical="center"/>
    </xf>
    <xf numFmtId="0" fontId="19" fillId="0" borderId="11" xfId="0" applyFont="1" applyBorder="1" applyAlignment="1">
      <alignment horizontal="center" vertical="center"/>
    </xf>
    <xf numFmtId="0" fontId="19" fillId="0" borderId="72" xfId="0" applyFont="1" applyBorder="1" applyAlignment="1">
      <alignment horizontal="center" vertical="center"/>
    </xf>
    <xf numFmtId="4" fontId="19" fillId="0" borderId="72" xfId="0" applyNumberFormat="1" applyFont="1" applyBorder="1" applyAlignment="1">
      <alignment vertical="center"/>
    </xf>
    <xf numFmtId="0" fontId="19" fillId="0" borderId="94" xfId="0" applyFont="1" applyBorder="1" applyAlignment="1">
      <alignment horizontal="center" vertical="center"/>
    </xf>
    <xf numFmtId="4" fontId="19" fillId="0" borderId="74" xfId="0" applyNumberFormat="1" applyFont="1" applyBorder="1" applyAlignment="1">
      <alignment vertical="center"/>
    </xf>
    <xf numFmtId="4" fontId="20" fillId="0" borderId="0" xfId="0" applyNumberFormat="1" applyFont="1" applyAlignment="1">
      <alignment vertical="center"/>
    </xf>
    <xf numFmtId="0" fontId="19" fillId="0" borderId="0" xfId="0" applyFont="1" applyAlignment="1">
      <alignment horizontal="center" vertical="center"/>
    </xf>
    <xf numFmtId="4" fontId="19" fillId="0" borderId="0" xfId="0" applyNumberFormat="1" applyFont="1" applyAlignment="1">
      <alignment vertical="center"/>
    </xf>
    <xf numFmtId="0" fontId="19" fillId="0" borderId="71" xfId="0" applyFont="1" applyBorder="1" applyAlignment="1">
      <alignment horizontal="center" vertical="center"/>
    </xf>
    <xf numFmtId="4" fontId="19" fillId="0" borderId="67" xfId="0" applyNumberFormat="1" applyFont="1" applyBorder="1" applyAlignment="1">
      <alignment vertical="center"/>
    </xf>
    <xf numFmtId="0" fontId="20" fillId="0" borderId="98" xfId="0" applyFont="1" applyBorder="1" applyAlignment="1">
      <alignment horizontal="center" vertical="center"/>
    </xf>
    <xf numFmtId="4" fontId="20" fillId="0" borderId="98" xfId="0" applyNumberFormat="1" applyFont="1" applyBorder="1" applyAlignment="1">
      <alignment vertical="center"/>
    </xf>
    <xf numFmtId="0" fontId="20" fillId="0" borderId="70" xfId="0" applyFont="1" applyBorder="1" applyAlignment="1">
      <alignment horizontal="center" vertical="center"/>
    </xf>
    <xf numFmtId="0" fontId="19" fillId="6" borderId="57" xfId="0" applyFont="1" applyFill="1" applyBorder="1" applyAlignment="1">
      <alignment vertical="center"/>
    </xf>
    <xf numFmtId="0" fontId="20" fillId="0" borderId="72" xfId="0" applyFont="1" applyBorder="1" applyAlignment="1">
      <alignment horizontal="center" vertical="center"/>
    </xf>
    <xf numFmtId="3" fontId="19" fillId="0" borderId="74" xfId="0" applyNumberFormat="1" applyFont="1" applyBorder="1" applyAlignment="1">
      <alignment vertical="center"/>
    </xf>
    <xf numFmtId="0" fontId="20" fillId="0" borderId="67" xfId="0" applyFont="1" applyBorder="1" applyAlignment="1">
      <alignment vertical="center"/>
    </xf>
    <xf numFmtId="0" fontId="21" fillId="0" borderId="68" xfId="0" applyFont="1" applyBorder="1" applyAlignment="1">
      <alignment horizontal="left" vertical="center"/>
    </xf>
    <xf numFmtId="0" fontId="22" fillId="0" borderId="0" xfId="0" applyFont="1" applyAlignment="1">
      <alignment horizontal="center" vertical="center"/>
    </xf>
    <xf numFmtId="0" fontId="22" fillId="0" borderId="67" xfId="0" applyFont="1" applyBorder="1" applyAlignment="1">
      <alignment vertical="center"/>
    </xf>
    <xf numFmtId="0" fontId="19" fillId="0" borderId="68" xfId="0" applyFont="1" applyBorder="1" applyAlignment="1">
      <alignment horizontal="left" vertical="center"/>
    </xf>
    <xf numFmtId="0" fontId="20" fillId="0" borderId="68" xfId="0" applyFont="1" applyBorder="1" applyAlignment="1">
      <alignment horizontal="left" vertical="center"/>
    </xf>
    <xf numFmtId="0" fontId="19" fillId="6" borderId="57" xfId="0" applyFont="1" applyFill="1" applyBorder="1" applyAlignment="1">
      <alignment horizontal="center" vertical="center"/>
    </xf>
    <xf numFmtId="168" fontId="19" fillId="6" borderId="63" xfId="0" applyNumberFormat="1" applyFont="1" applyFill="1" applyBorder="1" applyAlignment="1">
      <alignment vertical="center"/>
    </xf>
    <xf numFmtId="0" fontId="20" fillId="0" borderId="11" xfId="0" applyFont="1" applyBorder="1" applyAlignment="1">
      <alignment vertical="center"/>
    </xf>
    <xf numFmtId="0" fontId="20" fillId="0" borderId="94" xfId="0" applyFont="1" applyBorder="1" applyAlignment="1">
      <alignment horizontal="center" vertical="center"/>
    </xf>
    <xf numFmtId="165" fontId="20" fillId="0" borderId="74" xfId="0" applyNumberFormat="1" applyFont="1" applyBorder="1" applyAlignment="1">
      <alignment vertical="center"/>
    </xf>
    <xf numFmtId="165" fontId="20" fillId="0" borderId="67" xfId="0" applyNumberFormat="1" applyFont="1" applyBorder="1" applyAlignment="1">
      <alignment vertical="center"/>
    </xf>
    <xf numFmtId="165" fontId="20" fillId="0" borderId="99" xfId="0" applyNumberFormat="1" applyFont="1" applyBorder="1" applyAlignment="1">
      <alignment vertical="center"/>
    </xf>
    <xf numFmtId="3" fontId="19" fillId="6" borderId="57" xfId="0" applyNumberFormat="1" applyFont="1" applyFill="1" applyBorder="1" applyAlignment="1">
      <alignment horizontal="center" vertical="center"/>
    </xf>
    <xf numFmtId="3" fontId="19" fillId="6" borderId="85" xfId="0" applyNumberFormat="1" applyFont="1" applyFill="1" applyBorder="1" applyAlignment="1">
      <alignment horizontal="center" vertical="center"/>
    </xf>
    <xf numFmtId="3" fontId="19" fillId="6" borderId="63" xfId="0" applyNumberFormat="1" applyFont="1" applyFill="1" applyBorder="1" applyAlignment="1">
      <alignment horizontal="center" vertical="center"/>
    </xf>
    <xf numFmtId="0" fontId="19" fillId="3" borderId="59" xfId="0" applyFont="1" applyFill="1" applyBorder="1" applyAlignment="1">
      <alignment horizontal="left" vertical="center"/>
    </xf>
    <xf numFmtId="0" fontId="20" fillId="3" borderId="100" xfId="0" applyFont="1" applyFill="1" applyBorder="1" applyAlignment="1">
      <alignment horizontal="center" vertical="center"/>
    </xf>
    <xf numFmtId="4" fontId="20" fillId="3" borderId="101" xfId="0" applyNumberFormat="1" applyFont="1" applyFill="1" applyBorder="1" applyAlignment="1">
      <alignment vertical="center"/>
    </xf>
    <xf numFmtId="0" fontId="20" fillId="3" borderId="101" xfId="0" applyFont="1" applyFill="1" applyBorder="1" applyAlignment="1">
      <alignment vertical="center"/>
    </xf>
    <xf numFmtId="0" fontId="19" fillId="0" borderId="102" xfId="0" applyFont="1" applyBorder="1" applyAlignment="1">
      <alignment horizontal="center" vertical="center"/>
    </xf>
    <xf numFmtId="0" fontId="11" fillId="3" borderId="1" xfId="0" applyFont="1" applyFill="1" applyBorder="1" applyAlignment="1">
      <alignment horizontal="center" vertical="center"/>
    </xf>
    <xf numFmtId="4" fontId="11" fillId="3" borderId="1" xfId="0" applyNumberFormat="1" applyFont="1" applyFill="1" applyBorder="1" applyAlignment="1">
      <alignment vertical="center"/>
    </xf>
    <xf numFmtId="0" fontId="23" fillId="4" borderId="103" xfId="0" applyFont="1" applyFill="1" applyBorder="1" applyAlignment="1">
      <alignment horizontal="center" vertical="center"/>
    </xf>
    <xf numFmtId="3" fontId="23" fillId="4" borderId="103" xfId="0" applyNumberFormat="1" applyFont="1" applyFill="1" applyBorder="1" applyAlignment="1">
      <alignment horizontal="center" vertical="center"/>
    </xf>
    <xf numFmtId="4" fontId="23" fillId="4" borderId="103" xfId="0" applyNumberFormat="1" applyFont="1" applyFill="1" applyBorder="1" applyAlignment="1">
      <alignment horizontal="right" vertical="center"/>
    </xf>
    <xf numFmtId="0" fontId="16" fillId="0" borderId="0" xfId="0" applyFont="1" applyAlignment="1">
      <alignment horizontal="left" vertical="center"/>
    </xf>
    <xf numFmtId="49" fontId="11" fillId="0" borderId="0" xfId="0" applyNumberFormat="1" applyFont="1" applyAlignment="1">
      <alignment vertical="center"/>
    </xf>
    <xf numFmtId="0" fontId="11" fillId="0" borderId="0" xfId="0" applyFont="1"/>
    <xf numFmtId="0" fontId="16" fillId="0" borderId="0" xfId="0" applyFont="1"/>
    <xf numFmtId="0" fontId="11" fillId="0" borderId="0" xfId="0" applyFont="1" applyAlignment="1">
      <alignment horizontal="left" vertical="center"/>
    </xf>
    <xf numFmtId="49" fontId="16" fillId="0" borderId="0" xfId="0" applyNumberFormat="1" applyFont="1" applyAlignment="1">
      <alignment vertical="center"/>
    </xf>
    <xf numFmtId="0" fontId="11" fillId="4" borderId="59" xfId="0" applyFont="1" applyFill="1" applyBorder="1" applyAlignment="1">
      <alignment horizontal="center" vertical="center"/>
    </xf>
    <xf numFmtId="0" fontId="11" fillId="4" borderId="58" xfId="0" applyFont="1" applyFill="1" applyBorder="1" applyAlignment="1">
      <alignment horizontal="center" vertical="center" wrapText="1"/>
    </xf>
    <xf numFmtId="0" fontId="11" fillId="4" borderId="57" xfId="0" applyFont="1" applyFill="1" applyBorder="1" applyAlignment="1">
      <alignment horizontal="center" vertical="center" wrapText="1"/>
    </xf>
    <xf numFmtId="0" fontId="16" fillId="0" borderId="0" xfId="0" applyFont="1" applyAlignment="1">
      <alignment wrapText="1"/>
    </xf>
    <xf numFmtId="0" fontId="16" fillId="3" borderId="37" xfId="0" applyFont="1" applyFill="1" applyBorder="1" applyAlignment="1">
      <alignment horizontal="left" vertical="center"/>
    </xf>
    <xf numFmtId="0" fontId="16" fillId="0" borderId="27" xfId="0" applyFont="1" applyBorder="1" applyAlignment="1">
      <alignment horizontal="center" vertical="center"/>
    </xf>
    <xf numFmtId="3" fontId="16" fillId="0" borderId="37" xfId="0" applyNumberFormat="1" applyFont="1" applyBorder="1" applyAlignment="1">
      <alignment vertical="center"/>
    </xf>
    <xf numFmtId="3" fontId="16" fillId="0" borderId="105" xfId="0" applyNumberFormat="1" applyFont="1" applyBorder="1" applyAlignment="1">
      <alignment horizontal="center" vertical="center"/>
    </xf>
    <xf numFmtId="0" fontId="16" fillId="0" borderId="105" xfId="0" applyFont="1" applyBorder="1" applyAlignment="1">
      <alignment horizontal="center" vertical="center"/>
    </xf>
    <xf numFmtId="4" fontId="16" fillId="9" borderId="1" xfId="0" applyNumberFormat="1" applyFont="1" applyFill="1" applyBorder="1"/>
    <xf numFmtId="0" fontId="16" fillId="9" borderId="2" xfId="0" applyFont="1" applyFill="1" applyBorder="1"/>
    <xf numFmtId="169" fontId="16" fillId="10" borderId="2" xfId="0" applyNumberFormat="1" applyFont="1" applyFill="1" applyBorder="1"/>
    <xf numFmtId="0" fontId="16" fillId="0" borderId="37" xfId="0" applyFont="1" applyBorder="1" applyAlignment="1">
      <alignment horizontal="left" vertical="center"/>
    </xf>
    <xf numFmtId="0" fontId="16" fillId="0" borderId="37" xfId="0" applyFont="1" applyBorder="1" applyAlignment="1">
      <alignment horizontal="center" vertical="center"/>
    </xf>
    <xf numFmtId="49" fontId="24" fillId="3" borderId="106" xfId="0" applyNumberFormat="1" applyFont="1" applyFill="1" applyBorder="1" applyAlignment="1">
      <alignment horizontal="left" vertical="center"/>
    </xf>
    <xf numFmtId="0" fontId="11" fillId="0" borderId="37" xfId="0" applyFont="1" applyBorder="1" applyAlignment="1">
      <alignment horizontal="center" vertical="center"/>
    </xf>
    <xf numFmtId="3" fontId="16" fillId="3" borderId="37" xfId="0" applyNumberFormat="1" applyFont="1" applyFill="1" applyBorder="1" applyAlignment="1">
      <alignment vertical="center"/>
    </xf>
    <xf numFmtId="0" fontId="11" fillId="0" borderId="48" xfId="0" applyFont="1" applyBorder="1" applyAlignment="1">
      <alignment vertical="center"/>
    </xf>
    <xf numFmtId="3" fontId="16" fillId="0" borderId="48" xfId="0" applyNumberFormat="1" applyFont="1" applyBorder="1" applyAlignment="1">
      <alignment vertical="center"/>
    </xf>
    <xf numFmtId="0" fontId="16" fillId="0" borderId="47" xfId="0" applyFont="1" applyBorder="1" applyAlignment="1">
      <alignment vertical="center"/>
    </xf>
    <xf numFmtId="0" fontId="16" fillId="0" borderId="47" xfId="0" applyFont="1" applyBorder="1" applyAlignment="1">
      <alignment horizontal="center" vertical="center"/>
    </xf>
    <xf numFmtId="0" fontId="11" fillId="4" borderId="57" xfId="0" applyFont="1" applyFill="1" applyBorder="1" applyAlignment="1">
      <alignment horizontal="center" vertical="center"/>
    </xf>
    <xf numFmtId="0" fontId="11" fillId="4" borderId="58" xfId="0" applyFont="1" applyFill="1" applyBorder="1" applyAlignment="1">
      <alignment horizontal="center" vertical="center"/>
    </xf>
    <xf numFmtId="3" fontId="11" fillId="4" borderId="58" xfId="0" applyNumberFormat="1" applyFont="1" applyFill="1" applyBorder="1" applyAlignment="1">
      <alignment vertical="center"/>
    </xf>
    <xf numFmtId="169" fontId="11" fillId="3" borderId="1" xfId="0" applyNumberFormat="1" applyFont="1" applyFill="1" applyBorder="1" applyAlignment="1">
      <alignment vertical="center"/>
    </xf>
    <xf numFmtId="0" fontId="16" fillId="3" borderId="1" xfId="0" applyFont="1" applyFill="1" applyBorder="1" applyAlignment="1">
      <alignment vertical="center"/>
    </xf>
    <xf numFmtId="0" fontId="11" fillId="4" borderId="59" xfId="0" applyFont="1" applyFill="1" applyBorder="1" applyAlignment="1">
      <alignment horizontal="center" textRotation="90" wrapText="1"/>
    </xf>
    <xf numFmtId="0" fontId="11" fillId="4" borderId="108" xfId="0" applyFont="1" applyFill="1" applyBorder="1" applyAlignment="1">
      <alignment horizontal="center" textRotation="90" wrapText="1"/>
    </xf>
    <xf numFmtId="0" fontId="11" fillId="4" borderId="109" xfId="0" applyFont="1" applyFill="1" applyBorder="1" applyAlignment="1">
      <alignment horizontal="center" textRotation="90" wrapText="1"/>
    </xf>
    <xf numFmtId="0" fontId="11" fillId="4" borderId="110" xfId="0" applyFont="1" applyFill="1" applyBorder="1" applyAlignment="1">
      <alignment horizontal="center" textRotation="90" wrapText="1"/>
    </xf>
    <xf numFmtId="0" fontId="11" fillId="4" borderId="111" xfId="0" applyFont="1" applyFill="1" applyBorder="1" applyAlignment="1">
      <alignment horizontal="center" textRotation="90" wrapText="1"/>
    </xf>
    <xf numFmtId="0" fontId="11" fillId="4" borderId="101" xfId="0" applyFont="1" applyFill="1" applyBorder="1" applyAlignment="1">
      <alignment horizontal="center" textRotation="90" wrapText="1"/>
    </xf>
    <xf numFmtId="0" fontId="11" fillId="4" borderId="112" xfId="0" applyFont="1" applyFill="1" applyBorder="1" applyAlignment="1">
      <alignment horizontal="center" textRotation="90" wrapText="1"/>
    </xf>
    <xf numFmtId="0" fontId="11" fillId="4" borderId="96" xfId="0" applyFont="1" applyFill="1" applyBorder="1" applyAlignment="1">
      <alignment horizontal="center" vertical="center"/>
    </xf>
    <xf numFmtId="0" fontId="11" fillId="4" borderId="113" xfId="0" applyFont="1" applyFill="1" applyBorder="1" applyAlignment="1">
      <alignment horizontal="center" vertical="center"/>
    </xf>
    <xf numFmtId="0" fontId="11" fillId="4" borderId="114" xfId="0" applyFont="1" applyFill="1" applyBorder="1" applyAlignment="1">
      <alignment horizontal="center" vertical="center"/>
    </xf>
    <xf numFmtId="0" fontId="11" fillId="4" borderId="114" xfId="0" quotePrefix="1" applyFont="1" applyFill="1" applyBorder="1" applyAlignment="1">
      <alignment horizontal="center" vertical="center"/>
    </xf>
    <xf numFmtId="0" fontId="11" fillId="4" borderId="115" xfId="0" quotePrefix="1" applyFont="1" applyFill="1" applyBorder="1" applyAlignment="1">
      <alignment horizontal="center" vertical="center"/>
    </xf>
    <xf numFmtId="0" fontId="11" fillId="4" borderId="116" xfId="0" quotePrefix="1" applyFont="1" applyFill="1" applyBorder="1" applyAlignment="1">
      <alignment horizontal="center" vertical="center"/>
    </xf>
    <xf numFmtId="0" fontId="11" fillId="4" borderId="117" xfId="0" quotePrefix="1" applyFont="1" applyFill="1" applyBorder="1" applyAlignment="1">
      <alignment horizontal="center" vertical="center"/>
    </xf>
    <xf numFmtId="0" fontId="11" fillId="4" borderId="117" xfId="0" applyFont="1" applyFill="1" applyBorder="1" applyAlignment="1">
      <alignment horizontal="center" vertical="center"/>
    </xf>
    <xf numFmtId="0" fontId="11" fillId="0" borderId="55" xfId="0" applyFont="1" applyBorder="1" applyAlignment="1">
      <alignment horizontal="left" vertical="center"/>
    </xf>
    <xf numFmtId="0" fontId="16" fillId="0" borderId="61" xfId="0" applyFont="1" applyBorder="1" applyAlignment="1">
      <alignment horizontal="center" vertical="center"/>
    </xf>
    <xf numFmtId="0" fontId="16" fillId="0" borderId="61" xfId="0" applyFont="1" applyBorder="1" applyAlignment="1">
      <alignment vertical="center"/>
    </xf>
    <xf numFmtId="4" fontId="11" fillId="0" borderId="61" xfId="0" applyNumberFormat="1" applyFont="1" applyBorder="1" applyAlignment="1">
      <alignment vertical="center"/>
    </xf>
    <xf numFmtId="0" fontId="16" fillId="0" borderId="56" xfId="0" applyFont="1" applyBorder="1" applyAlignment="1">
      <alignment vertical="center"/>
    </xf>
    <xf numFmtId="0" fontId="25" fillId="0" borderId="11" xfId="0" applyFont="1" applyBorder="1" applyAlignment="1">
      <alignment vertical="center"/>
    </xf>
    <xf numFmtId="0" fontId="16" fillId="0" borderId="11" xfId="0" applyFont="1" applyBorder="1" applyAlignment="1">
      <alignment horizontal="center" vertical="center"/>
    </xf>
    <xf numFmtId="0" fontId="16" fillId="0" borderId="75" xfId="0" applyFont="1" applyBorder="1" applyAlignment="1">
      <alignment vertical="center"/>
    </xf>
    <xf numFmtId="0" fontId="16" fillId="0" borderId="72" xfId="0" applyFont="1" applyBorder="1" applyAlignment="1">
      <alignment vertical="center"/>
    </xf>
    <xf numFmtId="0" fontId="16" fillId="0" borderId="64" xfId="0" applyFont="1" applyBorder="1" applyAlignment="1">
      <alignment vertical="center"/>
    </xf>
    <xf numFmtId="4" fontId="11" fillId="0" borderId="72" xfId="0" applyNumberFormat="1" applyFont="1" applyBorder="1" applyAlignment="1">
      <alignment vertical="center"/>
    </xf>
    <xf numFmtId="0" fontId="16" fillId="0" borderId="74" xfId="0" applyFont="1" applyBorder="1" applyAlignment="1">
      <alignment vertical="center"/>
    </xf>
    <xf numFmtId="0" fontId="16" fillId="0" borderId="66" xfId="0" applyFont="1" applyBorder="1" applyAlignment="1">
      <alignment vertical="center"/>
    </xf>
    <xf numFmtId="0" fontId="16" fillId="0" borderId="69" xfId="0" applyFont="1" applyBorder="1" applyAlignment="1">
      <alignment vertical="center"/>
    </xf>
    <xf numFmtId="0" fontId="16" fillId="0" borderId="67" xfId="0" applyFont="1" applyBorder="1" applyAlignment="1">
      <alignment vertical="center"/>
    </xf>
    <xf numFmtId="0" fontId="16" fillId="3" borderId="112" xfId="0" applyFont="1" applyFill="1" applyBorder="1" applyAlignment="1">
      <alignment horizontal="center" vertical="center"/>
    </xf>
    <xf numFmtId="1" fontId="16" fillId="0" borderId="68" xfId="0" applyNumberFormat="1" applyFont="1" applyBorder="1" applyAlignment="1">
      <alignment horizontal="center" vertical="center"/>
    </xf>
    <xf numFmtId="3" fontId="16" fillId="0" borderId="66" xfId="0" applyNumberFormat="1" applyFont="1" applyBorder="1" applyAlignment="1">
      <alignment vertical="center"/>
    </xf>
    <xf numFmtId="4" fontId="16" fillId="0" borderId="66" xfId="0" applyNumberFormat="1" applyFont="1" applyBorder="1" applyAlignment="1">
      <alignment vertical="center"/>
    </xf>
    <xf numFmtId="4" fontId="16" fillId="0" borderId="69" xfId="0" applyNumberFormat="1" applyFont="1" applyBorder="1" applyAlignment="1">
      <alignment vertical="center"/>
    </xf>
    <xf numFmtId="0" fontId="26" fillId="0" borderId="66" xfId="0" applyFont="1" applyBorder="1" applyAlignment="1">
      <alignment vertical="center"/>
    </xf>
    <xf numFmtId="0" fontId="26" fillId="0" borderId="66" xfId="0" applyFont="1" applyBorder="1" applyAlignment="1">
      <alignment horizontal="right" vertical="center"/>
    </xf>
    <xf numFmtId="4" fontId="16" fillId="0" borderId="66" xfId="0" applyNumberFormat="1" applyFont="1" applyBorder="1" applyAlignment="1">
      <alignment horizontal="right" vertical="center"/>
    </xf>
    <xf numFmtId="0" fontId="16" fillId="0" borderId="66" xfId="0" applyFont="1" applyBorder="1" applyAlignment="1">
      <alignment horizontal="right" vertical="center"/>
    </xf>
    <xf numFmtId="4" fontId="16" fillId="0" borderId="0" xfId="0" applyNumberFormat="1" applyFont="1" applyAlignment="1">
      <alignment horizontal="right" vertical="center"/>
    </xf>
    <xf numFmtId="4" fontId="16" fillId="0" borderId="69" xfId="0" applyNumberFormat="1" applyFont="1" applyBorder="1" applyAlignment="1">
      <alignment horizontal="right" vertical="center"/>
    </xf>
    <xf numFmtId="4" fontId="16" fillId="0" borderId="67" xfId="0" applyNumberFormat="1" applyFont="1" applyBorder="1" applyAlignment="1">
      <alignment horizontal="right" vertical="center"/>
    </xf>
    <xf numFmtId="4" fontId="16" fillId="0" borderId="68" xfId="0" applyNumberFormat="1" applyFont="1" applyBorder="1" applyAlignment="1">
      <alignment horizontal="right" vertical="center"/>
    </xf>
    <xf numFmtId="1" fontId="16" fillId="0" borderId="68" xfId="0" applyNumberFormat="1" applyFont="1" applyBorder="1" applyAlignment="1">
      <alignment horizontal="right" vertical="center"/>
    </xf>
    <xf numFmtId="0" fontId="16" fillId="0" borderId="68" xfId="0" applyFont="1" applyBorder="1" applyAlignment="1">
      <alignment horizontal="right" vertical="center"/>
    </xf>
    <xf numFmtId="4" fontId="16" fillId="0" borderId="65" xfId="0" applyNumberFormat="1" applyFont="1" applyBorder="1" applyAlignment="1">
      <alignment horizontal="right" vertical="center"/>
    </xf>
    <xf numFmtId="4" fontId="16" fillId="3" borderId="108" xfId="0" applyNumberFormat="1" applyFont="1" applyFill="1" applyBorder="1" applyAlignment="1">
      <alignment horizontal="right" vertical="center"/>
    </xf>
    <xf numFmtId="0" fontId="16" fillId="3" borderId="108" xfId="0" applyFont="1" applyFill="1" applyBorder="1" applyAlignment="1">
      <alignment horizontal="right" vertical="center"/>
    </xf>
    <xf numFmtId="0" fontId="11" fillId="3" borderId="112" xfId="0" applyFont="1" applyFill="1" applyBorder="1" applyAlignment="1">
      <alignment horizontal="center" vertical="center"/>
    </xf>
    <xf numFmtId="0" fontId="27" fillId="0" borderId="68" xfId="0" applyFont="1" applyBorder="1" applyAlignment="1">
      <alignment horizontal="center" vertical="center"/>
    </xf>
    <xf numFmtId="0" fontId="16" fillId="0" borderId="0" xfId="0" applyFont="1" applyAlignment="1">
      <alignment horizontal="right" vertical="center"/>
    </xf>
    <xf numFmtId="0" fontId="16" fillId="0" borderId="68" xfId="0" quotePrefix="1" applyFont="1" applyBorder="1" applyAlignment="1">
      <alignment horizontal="center" vertical="center"/>
    </xf>
    <xf numFmtId="0" fontId="13" fillId="0" borderId="68" xfId="0" applyFont="1" applyBorder="1" applyAlignment="1">
      <alignment horizontal="center" vertical="center"/>
    </xf>
    <xf numFmtId="4" fontId="16" fillId="0" borderId="66" xfId="0" applyNumberFormat="1" applyFont="1" applyBorder="1" applyAlignment="1">
      <alignment horizontal="center" vertical="center"/>
    </xf>
    <xf numFmtId="4" fontId="16" fillId="0" borderId="65" xfId="0" applyNumberFormat="1" applyFont="1" applyBorder="1" applyAlignment="1">
      <alignment horizontal="center" vertical="center"/>
    </xf>
    <xf numFmtId="0" fontId="16" fillId="0" borderId="65" xfId="0" applyFont="1" applyBorder="1" applyAlignment="1">
      <alignment vertical="center"/>
    </xf>
    <xf numFmtId="0" fontId="26" fillId="0" borderId="0" xfId="0" applyFont="1" applyAlignment="1">
      <alignment vertical="center"/>
    </xf>
    <xf numFmtId="0" fontId="16" fillId="0" borderId="65" xfId="0" applyFont="1" applyBorder="1" applyAlignment="1">
      <alignment horizontal="right" vertical="center"/>
    </xf>
    <xf numFmtId="169" fontId="16" fillId="0" borderId="67" xfId="0" applyNumberFormat="1" applyFont="1" applyBorder="1" applyAlignment="1">
      <alignment horizontal="right" vertical="center"/>
    </xf>
    <xf numFmtId="169" fontId="16" fillId="0" borderId="68" xfId="0" applyNumberFormat="1" applyFont="1" applyBorder="1" applyAlignment="1">
      <alignment horizontal="right" vertical="center"/>
    </xf>
    <xf numFmtId="0" fontId="16" fillId="0" borderId="67" xfId="0" applyFont="1" applyBorder="1" applyAlignment="1">
      <alignment horizontal="right" vertical="center"/>
    </xf>
    <xf numFmtId="0" fontId="16" fillId="0" borderId="69" xfId="0" applyFont="1" applyBorder="1" applyAlignment="1">
      <alignment horizontal="right" vertical="center"/>
    </xf>
    <xf numFmtId="0" fontId="28" fillId="0" borderId="68" xfId="0" applyFont="1" applyBorder="1" applyAlignment="1">
      <alignment vertical="center"/>
    </xf>
    <xf numFmtId="0" fontId="29" fillId="0" borderId="68" xfId="0" applyFont="1" applyBorder="1" applyAlignment="1">
      <alignment horizontal="center" vertical="center"/>
    </xf>
    <xf numFmtId="0" fontId="30" fillId="0" borderId="66" xfId="0" applyFont="1" applyBorder="1" applyAlignment="1">
      <alignment vertical="center"/>
    </xf>
    <xf numFmtId="4" fontId="31" fillId="0" borderId="66" xfId="0" applyNumberFormat="1" applyFont="1" applyBorder="1" applyAlignment="1">
      <alignment vertical="center"/>
    </xf>
    <xf numFmtId="0" fontId="32" fillId="0" borderId="0" xfId="0" applyFont="1" applyAlignment="1">
      <alignment vertical="center"/>
    </xf>
    <xf numFmtId="0" fontId="33" fillId="0" borderId="69" xfId="0" applyFont="1" applyBorder="1" applyAlignment="1">
      <alignment vertical="center"/>
    </xf>
    <xf numFmtId="4" fontId="34" fillId="0" borderId="0" xfId="0" applyNumberFormat="1" applyFont="1" applyAlignment="1">
      <alignment vertical="center"/>
    </xf>
    <xf numFmtId="0" fontId="13" fillId="0" borderId="68" xfId="0" applyFont="1" applyBorder="1" applyAlignment="1">
      <alignment horizontal="left" vertical="center"/>
    </xf>
    <xf numFmtId="4" fontId="11" fillId="0" borderId="69" xfId="0" applyNumberFormat="1" applyFont="1" applyBorder="1" applyAlignment="1">
      <alignment vertical="center"/>
    </xf>
    <xf numFmtId="4" fontId="11" fillId="0" borderId="0" xfId="0" applyNumberFormat="1" applyFont="1" applyAlignment="1">
      <alignment vertical="center"/>
    </xf>
    <xf numFmtId="0" fontId="16" fillId="0" borderId="118" xfId="0" applyFont="1" applyBorder="1" applyAlignment="1">
      <alignment vertical="center"/>
    </xf>
    <xf numFmtId="0" fontId="16" fillId="0" borderId="118" xfId="0" applyFont="1" applyBorder="1" applyAlignment="1">
      <alignment horizontal="center" vertical="center"/>
    </xf>
    <xf numFmtId="0" fontId="16" fillId="0" borderId="119" xfId="0" applyFont="1" applyBorder="1" applyAlignment="1">
      <alignment vertical="center"/>
    </xf>
    <xf numFmtId="0" fontId="16" fillId="0" borderId="120" xfId="0" applyFont="1" applyBorder="1" applyAlignment="1">
      <alignment vertical="center"/>
    </xf>
    <xf numFmtId="0" fontId="16" fillId="0" borderId="121" xfId="0" applyFont="1" applyBorder="1" applyAlignment="1">
      <alignment vertical="center"/>
    </xf>
    <xf numFmtId="4" fontId="11" fillId="0" borderId="120" xfId="0" applyNumberFormat="1" applyFont="1" applyBorder="1" applyAlignment="1">
      <alignment vertical="center"/>
    </xf>
    <xf numFmtId="0" fontId="16" fillId="0" borderId="62" xfId="0" applyFont="1" applyBorder="1" applyAlignment="1">
      <alignment horizontal="center" vertical="center"/>
    </xf>
    <xf numFmtId="0" fontId="16" fillId="0" borderId="119" xfId="0" applyFont="1" applyBorder="1" applyAlignment="1">
      <alignment horizontal="right" vertical="center"/>
    </xf>
    <xf numFmtId="0" fontId="16" fillId="0" borderId="120" xfId="0" applyFont="1" applyBorder="1" applyAlignment="1">
      <alignment horizontal="right" vertical="center"/>
    </xf>
    <xf numFmtId="0" fontId="16" fillId="0" borderId="121" xfId="0" applyFont="1" applyBorder="1" applyAlignment="1">
      <alignment horizontal="right" vertical="center"/>
    </xf>
    <xf numFmtId="0" fontId="16" fillId="0" borderId="122" xfId="0" applyFont="1" applyBorder="1" applyAlignment="1">
      <alignment horizontal="right" vertical="center"/>
    </xf>
    <xf numFmtId="0" fontId="16" fillId="0" borderId="118" xfId="0" applyFont="1" applyBorder="1" applyAlignment="1">
      <alignment horizontal="right" vertical="center"/>
    </xf>
    <xf numFmtId="0" fontId="11" fillId="0" borderId="103" xfId="0" applyFont="1" applyBorder="1" applyAlignment="1">
      <alignment vertical="center"/>
    </xf>
    <xf numFmtId="3" fontId="11" fillId="0" borderId="103" xfId="0" applyNumberFormat="1" applyFont="1" applyBorder="1" applyAlignment="1">
      <alignment horizontal="center" vertical="center"/>
    </xf>
    <xf numFmtId="4" fontId="11" fillId="0" borderId="103" xfId="0" applyNumberFormat="1" applyFont="1" applyBorder="1" applyAlignment="1">
      <alignment horizontal="right" vertical="center"/>
    </xf>
    <xf numFmtId="3" fontId="11" fillId="0" borderId="103" xfId="0" applyNumberFormat="1" applyFont="1" applyBorder="1" applyAlignment="1">
      <alignment horizontal="right" vertical="center"/>
    </xf>
    <xf numFmtId="3" fontId="11" fillId="0" borderId="123" xfId="0" applyNumberFormat="1" applyFont="1" applyBorder="1" applyAlignment="1">
      <alignment horizontal="right" vertical="center"/>
    </xf>
    <xf numFmtId="0" fontId="35" fillId="0" borderId="0" xfId="0" applyFont="1" applyAlignment="1">
      <alignment horizontal="right" vertical="center"/>
    </xf>
    <xf numFmtId="4" fontId="35" fillId="0" borderId="0" xfId="0" applyNumberFormat="1" applyFont="1" applyAlignment="1">
      <alignment horizontal="right" vertical="center"/>
    </xf>
    <xf numFmtId="0" fontId="11" fillId="0" borderId="94" xfId="0" applyFont="1" applyBorder="1" applyAlignment="1">
      <alignment vertical="center"/>
    </xf>
    <xf numFmtId="0" fontId="16" fillId="0" borderId="72" xfId="0" applyFont="1" applyBorder="1" applyAlignment="1">
      <alignment horizontal="center" vertical="center"/>
    </xf>
    <xf numFmtId="0" fontId="16" fillId="0" borderId="72" xfId="0" applyFont="1" applyBorder="1" applyAlignment="1">
      <alignment horizontal="right" vertical="center"/>
    </xf>
    <xf numFmtId="0" fontId="35" fillId="0" borderId="72" xfId="0" applyFont="1" applyBorder="1" applyAlignment="1">
      <alignment horizontal="right" vertical="center"/>
    </xf>
    <xf numFmtId="4" fontId="35" fillId="0" borderId="74" xfId="0" applyNumberFormat="1" applyFont="1" applyBorder="1" applyAlignment="1">
      <alignment horizontal="right" vertical="center"/>
    </xf>
    <xf numFmtId="0" fontId="11" fillId="0" borderId="70" xfId="0" applyFont="1" applyBorder="1" applyAlignment="1">
      <alignment vertical="center"/>
    </xf>
    <xf numFmtId="0" fontId="16" fillId="0" borderId="98" xfId="0" applyFont="1" applyBorder="1" applyAlignment="1">
      <alignment vertical="center"/>
    </xf>
    <xf numFmtId="0" fontId="16" fillId="0" borderId="98" xfId="0" applyFont="1" applyBorder="1" applyAlignment="1">
      <alignment horizontal="right" vertical="center"/>
    </xf>
    <xf numFmtId="0" fontId="35" fillId="0" borderId="98" xfId="0" applyFont="1" applyBorder="1" applyAlignment="1">
      <alignment horizontal="right" vertical="center"/>
    </xf>
    <xf numFmtId="4" fontId="35" fillId="0" borderId="99" xfId="0" applyNumberFormat="1" applyFont="1" applyBorder="1" applyAlignment="1">
      <alignment horizontal="right" vertical="center"/>
    </xf>
    <xf numFmtId="0" fontId="16" fillId="0" borderId="75" xfId="0" applyFont="1" applyBorder="1" applyAlignment="1">
      <alignment horizontal="right" vertical="center"/>
    </xf>
    <xf numFmtId="0" fontId="16" fillId="0" borderId="64" xfId="0" applyFont="1" applyBorder="1" applyAlignment="1">
      <alignment horizontal="right" vertical="center"/>
    </xf>
    <xf numFmtId="0" fontId="16" fillId="0" borderId="74" xfId="0" applyFont="1" applyBorder="1" applyAlignment="1">
      <alignment horizontal="right" vertical="center"/>
    </xf>
    <xf numFmtId="0" fontId="16" fillId="0" borderId="11" xfId="0" applyFont="1" applyBorder="1" applyAlignment="1">
      <alignment horizontal="right" vertical="center"/>
    </xf>
    <xf numFmtId="2" fontId="16" fillId="0" borderId="66" xfId="0" applyNumberFormat="1" applyFont="1" applyBorder="1" applyAlignment="1">
      <alignment vertical="center"/>
    </xf>
    <xf numFmtId="0" fontId="11" fillId="0" borderId="58" xfId="0" applyFont="1" applyBorder="1" applyAlignment="1">
      <alignment horizontal="center" vertical="center"/>
    </xf>
    <xf numFmtId="0" fontId="11" fillId="0" borderId="58" xfId="0" applyFont="1" applyBorder="1" applyAlignment="1">
      <alignment vertical="center"/>
    </xf>
    <xf numFmtId="4" fontId="11" fillId="0" borderId="84" xfId="0" applyNumberFormat="1" applyFont="1" applyBorder="1" applyAlignment="1">
      <alignment vertical="center"/>
    </xf>
    <xf numFmtId="3" fontId="11" fillId="0" borderId="84" xfId="0" applyNumberFormat="1" applyFont="1" applyBorder="1" applyAlignment="1">
      <alignment vertical="center"/>
    </xf>
    <xf numFmtId="0" fontId="11" fillId="0" borderId="58" xfId="0" applyFont="1" applyBorder="1" applyAlignment="1">
      <alignment horizontal="right" vertical="center"/>
    </xf>
    <xf numFmtId="4" fontId="11" fillId="0" borderId="58" xfId="0" applyNumberFormat="1" applyFont="1" applyBorder="1" applyAlignment="1">
      <alignment horizontal="right" vertical="center"/>
    </xf>
    <xf numFmtId="4" fontId="16" fillId="0" borderId="74" xfId="0" applyNumberFormat="1" applyFont="1" applyBorder="1" applyAlignment="1">
      <alignment horizontal="right" vertical="center"/>
    </xf>
    <xf numFmtId="4" fontId="16" fillId="0" borderId="99" xfId="0" applyNumberFormat="1" applyFont="1" applyBorder="1" applyAlignment="1">
      <alignment horizontal="right" vertical="center"/>
    </xf>
    <xf numFmtId="0" fontId="36" fillId="0" borderId="11" xfId="0" applyFont="1" applyBorder="1" applyAlignment="1">
      <alignment horizontal="left" vertical="center"/>
    </xf>
    <xf numFmtId="0" fontId="16" fillId="0" borderId="73" xfId="0" applyFont="1" applyBorder="1" applyAlignment="1">
      <alignment horizontal="right" vertical="center"/>
    </xf>
    <xf numFmtId="0" fontId="37" fillId="0" borderId="66" xfId="0" applyFont="1" applyBorder="1" applyAlignment="1">
      <alignment vertical="center"/>
    </xf>
    <xf numFmtId="0" fontId="37" fillId="0" borderId="69" xfId="0" applyFont="1" applyBorder="1" applyAlignment="1">
      <alignment vertical="center"/>
    </xf>
    <xf numFmtId="170" fontId="16" fillId="0" borderId="69" xfId="0" applyNumberFormat="1" applyFont="1" applyBorder="1" applyAlignment="1">
      <alignment vertical="center"/>
    </xf>
    <xf numFmtId="170" fontId="16" fillId="0" borderId="66" xfId="0" applyNumberFormat="1" applyFont="1" applyBorder="1" applyAlignment="1">
      <alignment vertical="center"/>
    </xf>
    <xf numFmtId="170" fontId="16" fillId="0" borderId="124" xfId="0" applyNumberFormat="1" applyFont="1" applyBorder="1" applyAlignment="1">
      <alignment vertical="center"/>
    </xf>
    <xf numFmtId="170" fontId="16" fillId="0" borderId="67" xfId="0" applyNumberFormat="1" applyFont="1" applyBorder="1" applyAlignment="1">
      <alignment vertical="center"/>
    </xf>
    <xf numFmtId="0" fontId="38" fillId="0" borderId="66" xfId="0" applyFont="1" applyBorder="1" applyAlignment="1">
      <alignment vertical="center"/>
    </xf>
    <xf numFmtId="0" fontId="38" fillId="0" borderId="66" xfId="0" applyFont="1" applyBorder="1" applyAlignment="1">
      <alignment horizontal="right" vertical="center"/>
    </xf>
    <xf numFmtId="170" fontId="16" fillId="0" borderId="66" xfId="0" applyNumberFormat="1" applyFont="1" applyBorder="1" applyAlignment="1">
      <alignment horizontal="right" vertical="center"/>
    </xf>
    <xf numFmtId="170" fontId="16" fillId="0" borderId="0" xfId="0" applyNumberFormat="1" applyFont="1" applyAlignment="1">
      <alignment horizontal="right" vertical="center"/>
    </xf>
    <xf numFmtId="170" fontId="16" fillId="0" borderId="69" xfId="0" applyNumberFormat="1" applyFont="1" applyBorder="1" applyAlignment="1">
      <alignment horizontal="right" vertical="center"/>
    </xf>
    <xf numFmtId="170" fontId="16" fillId="0" borderId="67" xfId="0" applyNumberFormat="1" applyFont="1" applyBorder="1" applyAlignment="1">
      <alignment horizontal="right" vertical="center"/>
    </xf>
    <xf numFmtId="170" fontId="16" fillId="0" borderId="68" xfId="0" applyNumberFormat="1" applyFont="1" applyBorder="1" applyAlignment="1">
      <alignment horizontal="right" vertical="center"/>
    </xf>
    <xf numFmtId="0" fontId="16" fillId="0" borderId="124" xfId="0" applyFont="1" applyBorder="1" applyAlignment="1">
      <alignment vertical="center"/>
    </xf>
    <xf numFmtId="1" fontId="16" fillId="0" borderId="0" xfId="0" applyNumberFormat="1" applyFont="1" applyAlignment="1">
      <alignment horizontal="right" vertical="center"/>
    </xf>
    <xf numFmtId="3" fontId="16" fillId="0" borderId="68" xfId="0" applyNumberFormat="1" applyFont="1" applyBorder="1" applyAlignment="1">
      <alignment horizontal="right" vertical="center"/>
    </xf>
    <xf numFmtId="0" fontId="39" fillId="0" borderId="68" xfId="0" applyFont="1" applyBorder="1" applyAlignment="1">
      <alignment vertical="center"/>
    </xf>
    <xf numFmtId="0" fontId="39" fillId="0" borderId="69" xfId="0" applyFont="1" applyBorder="1" applyAlignment="1">
      <alignment vertical="center"/>
    </xf>
    <xf numFmtId="0" fontId="11" fillId="0" borderId="55" xfId="0" applyFont="1" applyBorder="1" applyAlignment="1">
      <alignment horizontal="center" vertical="center"/>
    </xf>
    <xf numFmtId="170" fontId="11" fillId="0" borderId="21" xfId="0" applyNumberFormat="1" applyFont="1" applyBorder="1" applyAlignment="1">
      <alignment vertical="center"/>
    </xf>
    <xf numFmtId="0" fontId="11" fillId="0" borderId="22" xfId="0" applyFont="1" applyBorder="1" applyAlignment="1">
      <alignment vertical="center"/>
    </xf>
    <xf numFmtId="170" fontId="11" fillId="0" borderId="22" xfId="0" applyNumberFormat="1" applyFont="1" applyBorder="1" applyAlignment="1">
      <alignment vertical="center"/>
    </xf>
    <xf numFmtId="170" fontId="11" fillId="0" borderId="24" xfId="0" applyNumberFormat="1" applyFont="1" applyBorder="1" applyAlignment="1">
      <alignment vertical="center"/>
    </xf>
    <xf numFmtId="170" fontId="11" fillId="0" borderId="84" xfId="0" applyNumberFormat="1" applyFont="1" applyBorder="1" applyAlignment="1">
      <alignment vertical="center"/>
    </xf>
    <xf numFmtId="0" fontId="37" fillId="0" borderId="22" xfId="0" applyFont="1" applyBorder="1" applyAlignment="1">
      <alignment vertical="center"/>
    </xf>
    <xf numFmtId="0" fontId="37" fillId="0" borderId="22" xfId="0" applyFont="1" applyBorder="1" applyAlignment="1">
      <alignment horizontal="right" vertical="center"/>
    </xf>
    <xf numFmtId="170" fontId="11" fillId="0" borderId="22" xfId="0" applyNumberFormat="1" applyFont="1" applyBorder="1" applyAlignment="1">
      <alignment horizontal="right" vertical="center"/>
    </xf>
    <xf numFmtId="0" fontId="11" fillId="0" borderId="22" xfId="0" applyFont="1" applyBorder="1" applyAlignment="1">
      <alignment horizontal="right" vertical="center"/>
    </xf>
    <xf numFmtId="170" fontId="11" fillId="0" borderId="125" xfId="0" applyNumberFormat="1" applyFont="1" applyBorder="1" applyAlignment="1">
      <alignment horizontal="right" vertical="center"/>
    </xf>
    <xf numFmtId="170" fontId="11" fillId="0" borderId="21" xfId="0" applyNumberFormat="1" applyFont="1" applyBorder="1" applyAlignment="1">
      <alignment horizontal="right" vertical="center"/>
    </xf>
    <xf numFmtId="170" fontId="11" fillId="0" borderId="56" xfId="0" applyNumberFormat="1" applyFont="1" applyBorder="1" applyAlignment="1">
      <alignment horizontal="right" vertical="center"/>
    </xf>
    <xf numFmtId="1" fontId="11" fillId="0" borderId="61" xfId="0" applyNumberFormat="1" applyFont="1" applyBorder="1" applyAlignment="1">
      <alignment horizontal="right" vertical="center"/>
    </xf>
    <xf numFmtId="3" fontId="11" fillId="0" borderId="58" xfId="0" applyNumberFormat="1" applyFont="1" applyBorder="1" applyAlignment="1">
      <alignment horizontal="right" vertical="center"/>
    </xf>
    <xf numFmtId="170" fontId="11" fillId="0" borderId="58" xfId="0" applyNumberFormat="1" applyFont="1" applyBorder="1" applyAlignment="1">
      <alignment horizontal="right" vertical="center"/>
    </xf>
    <xf numFmtId="0" fontId="11" fillId="0" borderId="55" xfId="0" applyFont="1" applyBorder="1" applyAlignment="1">
      <alignment vertical="center"/>
    </xf>
    <xf numFmtId="0" fontId="16" fillId="0" borderId="61" xfId="0" applyFont="1" applyBorder="1" applyAlignment="1">
      <alignment horizontal="right" vertical="center"/>
    </xf>
    <xf numFmtId="4" fontId="16" fillId="0" borderId="56" xfId="0" applyNumberFormat="1" applyFont="1" applyBorder="1" applyAlignment="1">
      <alignment horizontal="right" vertical="center"/>
    </xf>
    <xf numFmtId="165" fontId="16" fillId="0" borderId="75" xfId="0" applyNumberFormat="1" applyFont="1" applyBorder="1" applyAlignment="1">
      <alignment horizontal="center" vertical="center"/>
    </xf>
    <xf numFmtId="165" fontId="16" fillId="0" borderId="75" xfId="0" applyNumberFormat="1" applyFont="1" applyBorder="1" applyAlignment="1">
      <alignment vertical="center"/>
    </xf>
    <xf numFmtId="165" fontId="16" fillId="0" borderId="72" xfId="0" applyNumberFormat="1" applyFont="1" applyBorder="1" applyAlignment="1">
      <alignment vertical="center"/>
    </xf>
    <xf numFmtId="165" fontId="16" fillId="0" borderId="64" xfId="0" applyNumberFormat="1" applyFont="1" applyBorder="1" applyAlignment="1">
      <alignment vertical="center"/>
    </xf>
    <xf numFmtId="165" fontId="16" fillId="0" borderId="74" xfId="0" applyNumberFormat="1" applyFont="1" applyBorder="1" applyAlignment="1">
      <alignment vertical="center"/>
    </xf>
    <xf numFmtId="165" fontId="16" fillId="0" borderId="75" xfId="0" applyNumberFormat="1" applyFont="1" applyBorder="1" applyAlignment="1">
      <alignment horizontal="right" vertical="center"/>
    </xf>
    <xf numFmtId="165" fontId="16" fillId="0" borderId="72" xfId="0" applyNumberFormat="1" applyFont="1" applyBorder="1" applyAlignment="1">
      <alignment horizontal="right" vertical="center"/>
    </xf>
    <xf numFmtId="165" fontId="16" fillId="0" borderId="64" xfId="0" applyNumberFormat="1" applyFont="1" applyBorder="1" applyAlignment="1">
      <alignment horizontal="right" vertical="center"/>
    </xf>
    <xf numFmtId="165" fontId="16" fillId="0" borderId="74" xfId="0" applyNumberFormat="1" applyFont="1" applyBorder="1" applyAlignment="1">
      <alignment horizontal="right" vertical="center"/>
    </xf>
    <xf numFmtId="4" fontId="16" fillId="0" borderId="11" xfId="0" applyNumberFormat="1" applyFont="1" applyBorder="1" applyAlignment="1">
      <alignment horizontal="right" vertical="center"/>
    </xf>
    <xf numFmtId="165" fontId="16" fillId="0" borderId="11" xfId="0" applyNumberFormat="1" applyFont="1" applyBorder="1" applyAlignment="1">
      <alignment horizontal="right" vertical="center"/>
    </xf>
    <xf numFmtId="165" fontId="16" fillId="0" borderId="66" xfId="0" applyNumberFormat="1" applyFont="1" applyBorder="1" applyAlignment="1">
      <alignment horizontal="center" vertical="center"/>
    </xf>
    <xf numFmtId="165" fontId="16" fillId="0" borderId="66" xfId="0" applyNumberFormat="1" applyFont="1" applyBorder="1" applyAlignment="1">
      <alignment vertical="center"/>
    </xf>
    <xf numFmtId="165" fontId="16" fillId="0" borderId="69" xfId="0" applyNumberFormat="1" applyFont="1" applyBorder="1" applyAlignment="1">
      <alignment vertical="center"/>
    </xf>
    <xf numFmtId="165" fontId="16" fillId="0" borderId="67" xfId="0" applyNumberFormat="1" applyFont="1" applyBorder="1" applyAlignment="1">
      <alignment vertical="center"/>
    </xf>
    <xf numFmtId="165" fontId="16" fillId="0" borderId="66" xfId="0" applyNumberFormat="1" applyFont="1" applyBorder="1" applyAlignment="1">
      <alignment horizontal="right" vertical="center"/>
    </xf>
    <xf numFmtId="165" fontId="16" fillId="0" borderId="0" xfId="0" applyNumberFormat="1" applyFont="1" applyAlignment="1">
      <alignment horizontal="right" vertical="center"/>
    </xf>
    <xf numFmtId="165" fontId="16" fillId="0" borderId="69" xfId="0" applyNumberFormat="1" applyFont="1" applyBorder="1" applyAlignment="1">
      <alignment horizontal="right" vertical="center"/>
    </xf>
    <xf numFmtId="165" fontId="16" fillId="0" borderId="67" xfId="0" applyNumberFormat="1" applyFont="1" applyBorder="1" applyAlignment="1">
      <alignment horizontal="right" vertical="center"/>
    </xf>
    <xf numFmtId="165" fontId="16" fillId="0" borderId="68" xfId="0" applyNumberFormat="1" applyFont="1" applyBorder="1" applyAlignment="1">
      <alignment horizontal="right" vertical="center"/>
    </xf>
    <xf numFmtId="4" fontId="11" fillId="0" borderId="58" xfId="0" applyNumberFormat="1" applyFont="1" applyBorder="1" applyAlignment="1">
      <alignment horizontal="center" vertical="center"/>
    </xf>
    <xf numFmtId="3" fontId="11" fillId="0" borderId="58" xfId="0" applyNumberFormat="1" applyFont="1" applyBorder="1" applyAlignment="1">
      <alignment vertical="center"/>
    </xf>
    <xf numFmtId="4" fontId="11" fillId="0" borderId="58" xfId="0" applyNumberFormat="1" applyFont="1" applyBorder="1" applyAlignment="1">
      <alignment vertical="center"/>
    </xf>
    <xf numFmtId="0" fontId="16" fillId="0" borderId="62" xfId="0" applyFont="1" applyBorder="1" applyAlignment="1">
      <alignment vertical="center"/>
    </xf>
    <xf numFmtId="0" fontId="16" fillId="0" borderId="126" xfId="0" applyFont="1" applyBorder="1" applyAlignment="1">
      <alignment vertical="center"/>
    </xf>
    <xf numFmtId="0" fontId="16" fillId="0" borderId="38" xfId="0" applyFont="1" applyBorder="1" applyAlignment="1">
      <alignment vertical="center"/>
    </xf>
    <xf numFmtId="0" fontId="16" fillId="0" borderId="42" xfId="0" applyFont="1" applyBorder="1" applyAlignment="1">
      <alignment vertical="center"/>
    </xf>
    <xf numFmtId="0" fontId="16" fillId="0" borderId="41" xfId="0" applyFont="1" applyBorder="1" applyAlignment="1">
      <alignment vertical="center"/>
    </xf>
    <xf numFmtId="0" fontId="16" fillId="0" borderId="127" xfId="0" applyFont="1" applyBorder="1" applyAlignment="1">
      <alignment vertical="center"/>
    </xf>
    <xf numFmtId="0" fontId="16" fillId="0" borderId="38" xfId="0" applyFont="1" applyBorder="1" applyAlignment="1">
      <alignment horizontal="right" vertical="center"/>
    </xf>
    <xf numFmtId="0" fontId="16" fillId="0" borderId="42" xfId="0" applyFont="1" applyBorder="1" applyAlignment="1">
      <alignment horizontal="right" vertical="center"/>
    </xf>
    <xf numFmtId="0" fontId="16" fillId="0" borderId="41" xfId="0" applyFont="1" applyBorder="1" applyAlignment="1">
      <alignment horizontal="right" vertical="center"/>
    </xf>
    <xf numFmtId="0" fontId="16" fillId="0" borderId="127" xfId="0" applyFont="1" applyBorder="1" applyAlignment="1">
      <alignment horizontal="right" vertical="center"/>
    </xf>
    <xf numFmtId="0" fontId="16" fillId="0" borderId="126" xfId="0" applyFont="1" applyBorder="1" applyAlignment="1">
      <alignment horizontal="right" vertical="center"/>
    </xf>
    <xf numFmtId="0" fontId="11" fillId="0" borderId="62" xfId="0" applyFont="1" applyBorder="1" applyAlignment="1">
      <alignment horizontal="center" vertical="center"/>
    </xf>
    <xf numFmtId="0" fontId="11" fillId="0" borderId="92" xfId="0" applyFont="1" applyBorder="1" applyAlignment="1">
      <alignment vertical="center"/>
    </xf>
    <xf numFmtId="0" fontId="11" fillId="0" borderId="50" xfId="0" applyFont="1" applyBorder="1" applyAlignment="1">
      <alignment vertical="center"/>
    </xf>
    <xf numFmtId="165" fontId="11" fillId="0" borderId="50" xfId="0" applyNumberFormat="1" applyFont="1" applyBorder="1" applyAlignment="1">
      <alignment horizontal="center" vertical="center"/>
    </xf>
    <xf numFmtId="0" fontId="11" fillId="0" borderId="51" xfId="0" applyFont="1" applyBorder="1" applyAlignment="1">
      <alignment vertical="center"/>
    </xf>
    <xf numFmtId="165" fontId="11" fillId="0" borderId="92" xfId="0" applyNumberFormat="1" applyFont="1" applyBorder="1" applyAlignment="1">
      <alignment vertical="center"/>
    </xf>
    <xf numFmtId="165" fontId="11" fillId="0" borderId="51" xfId="0" applyNumberFormat="1" applyFont="1" applyBorder="1" applyAlignment="1">
      <alignment vertical="center"/>
    </xf>
    <xf numFmtId="0" fontId="11" fillId="0" borderId="50" xfId="0" applyFont="1" applyBorder="1" applyAlignment="1">
      <alignment horizontal="right" vertical="center"/>
    </xf>
    <xf numFmtId="4" fontId="11" fillId="0" borderId="50" xfId="0" applyNumberFormat="1" applyFont="1" applyBorder="1" applyAlignment="1">
      <alignment horizontal="right" vertical="center"/>
    </xf>
    <xf numFmtId="4" fontId="11" fillId="0" borderId="51" xfId="0" applyNumberFormat="1" applyFont="1" applyBorder="1" applyAlignment="1">
      <alignment horizontal="right" vertical="center"/>
    </xf>
    <xf numFmtId="4" fontId="11" fillId="0" borderId="92" xfId="0" applyNumberFormat="1" applyFont="1" applyBorder="1" applyAlignment="1">
      <alignment horizontal="right" vertical="center"/>
    </xf>
    <xf numFmtId="4" fontId="11" fillId="0" borderId="48" xfId="0" applyNumberFormat="1" applyFont="1" applyBorder="1" applyAlignment="1">
      <alignment horizontal="right" vertical="center"/>
    </xf>
    <xf numFmtId="170" fontId="16" fillId="0" borderId="0" xfId="0" applyNumberFormat="1" applyFont="1" applyAlignment="1">
      <alignment vertical="center"/>
    </xf>
    <xf numFmtId="0" fontId="11" fillId="4" borderId="103" xfId="0" applyFont="1" applyFill="1" applyBorder="1" applyAlignment="1">
      <alignment horizontal="center" vertical="center"/>
    </xf>
    <xf numFmtId="170" fontId="11" fillId="4" borderId="103" xfId="0" applyNumberFormat="1" applyFont="1" applyFill="1" applyBorder="1" applyAlignment="1">
      <alignment vertical="center"/>
    </xf>
    <xf numFmtId="168" fontId="11" fillId="4" borderId="103" xfId="0" applyNumberFormat="1" applyFont="1" applyFill="1" applyBorder="1" applyAlignment="1">
      <alignment horizontal="right" vertical="center"/>
    </xf>
    <xf numFmtId="170" fontId="11" fillId="4" borderId="103" xfId="0" applyNumberFormat="1" applyFont="1" applyFill="1" applyBorder="1" applyAlignment="1">
      <alignment horizontal="right" vertical="center"/>
    </xf>
    <xf numFmtId="4" fontId="11" fillId="4" borderId="103" xfId="0" applyNumberFormat="1" applyFont="1" applyFill="1" applyBorder="1" applyAlignment="1">
      <alignment horizontal="right" vertical="center"/>
    </xf>
    <xf numFmtId="0" fontId="16" fillId="0" borderId="68" xfId="0" applyFont="1" applyBorder="1" applyAlignment="1">
      <alignment horizontal="left" vertical="center"/>
    </xf>
    <xf numFmtId="3" fontId="16" fillId="0" borderId="124" xfId="0" applyNumberFormat="1" applyFont="1" applyBorder="1" applyAlignment="1">
      <alignment vertical="center"/>
    </xf>
    <xf numFmtId="3" fontId="16" fillId="0" borderId="68" xfId="0" applyNumberFormat="1" applyFont="1" applyBorder="1" applyAlignment="1">
      <alignment vertical="center"/>
    </xf>
    <xf numFmtId="3" fontId="16" fillId="0" borderId="71" xfId="0" applyNumberFormat="1" applyFont="1" applyBorder="1" applyAlignment="1">
      <alignment vertical="center"/>
    </xf>
    <xf numFmtId="167" fontId="11" fillId="0" borderId="135" xfId="0" applyNumberFormat="1" applyFont="1" applyBorder="1" applyAlignment="1">
      <alignment vertical="center"/>
    </xf>
    <xf numFmtId="3" fontId="16" fillId="0" borderId="69" xfId="0" applyNumberFormat="1" applyFont="1" applyBorder="1" applyAlignment="1">
      <alignment vertical="center"/>
    </xf>
    <xf numFmtId="167" fontId="11" fillId="0" borderId="67" xfId="0" applyNumberFormat="1" applyFont="1" applyBorder="1" applyAlignment="1">
      <alignment vertical="center"/>
    </xf>
    <xf numFmtId="3" fontId="16" fillId="0" borderId="0" xfId="0" applyNumberFormat="1" applyFont="1"/>
    <xf numFmtId="0" fontId="16" fillId="0" borderId="135" xfId="0" applyFont="1" applyBorder="1" applyAlignment="1">
      <alignment vertical="center"/>
    </xf>
    <xf numFmtId="0" fontId="11" fillId="7" borderId="57" xfId="0" applyFont="1" applyFill="1" applyBorder="1" applyAlignment="1">
      <alignment horizontal="center" vertical="center"/>
    </xf>
    <xf numFmtId="3" fontId="11" fillId="7" borderId="57" xfId="0" applyNumberFormat="1" applyFont="1" applyFill="1" applyBorder="1" applyAlignment="1">
      <alignment vertical="center"/>
    </xf>
    <xf numFmtId="167" fontId="11" fillId="7" borderId="23" xfId="0" applyNumberFormat="1" applyFont="1" applyFill="1" applyBorder="1" applyAlignment="1">
      <alignment vertical="center"/>
    </xf>
    <xf numFmtId="3" fontId="11" fillId="7" borderId="21" xfId="0" applyNumberFormat="1" applyFont="1" applyFill="1" applyBorder="1" applyAlignment="1">
      <alignment vertical="center"/>
    </xf>
    <xf numFmtId="167" fontId="11" fillId="7" borderId="24" xfId="0" applyNumberFormat="1" applyFont="1" applyFill="1" applyBorder="1" applyAlignment="1">
      <alignment vertical="center"/>
    </xf>
    <xf numFmtId="164" fontId="11" fillId="0" borderId="0" xfId="0" applyNumberFormat="1" applyFont="1" applyAlignment="1">
      <alignment horizontal="right" vertical="center"/>
    </xf>
    <xf numFmtId="49" fontId="16" fillId="0" borderId="0" xfId="0" applyNumberFormat="1" applyFont="1" applyAlignment="1">
      <alignment horizontal="center" vertical="center"/>
    </xf>
    <xf numFmtId="164" fontId="16" fillId="0" borderId="0" xfId="0" applyNumberFormat="1" applyFont="1" applyAlignment="1">
      <alignment horizontal="right" vertical="center"/>
    </xf>
    <xf numFmtId="49" fontId="16" fillId="0" borderId="0" xfId="0" applyNumberFormat="1" applyFont="1" applyAlignment="1">
      <alignment horizontal="left" vertical="center"/>
    </xf>
    <xf numFmtId="0" fontId="11" fillId="4" borderId="95" xfId="0" applyFont="1" applyFill="1" applyBorder="1" applyAlignment="1">
      <alignment horizontal="center" vertical="center" wrapText="1"/>
    </xf>
    <xf numFmtId="0" fontId="11" fillId="4" borderId="29" xfId="0" applyFont="1" applyFill="1" applyBorder="1" applyAlignment="1">
      <alignment horizontal="center" vertical="center" wrapText="1"/>
    </xf>
    <xf numFmtId="164" fontId="11" fillId="4" borderId="29" xfId="0" applyNumberFormat="1" applyFont="1" applyFill="1" applyBorder="1" applyAlignment="1">
      <alignment horizontal="center" vertical="center" wrapText="1"/>
    </xf>
    <xf numFmtId="49" fontId="11" fillId="4" borderId="29" xfId="0" applyNumberFormat="1" applyFont="1" applyFill="1" applyBorder="1" applyAlignment="1">
      <alignment horizontal="center" vertical="center" wrapText="1"/>
    </xf>
    <xf numFmtId="0" fontId="11" fillId="4" borderId="29" xfId="0" applyFont="1" applyFill="1" applyBorder="1" applyAlignment="1">
      <alignment horizontal="left" vertical="center" wrapText="1"/>
    </xf>
    <xf numFmtId="0" fontId="11" fillId="4" borderId="30" xfId="0" applyFont="1" applyFill="1" applyBorder="1" applyAlignment="1">
      <alignment horizontal="center" vertical="center" wrapText="1"/>
    </xf>
    <xf numFmtId="0" fontId="16" fillId="3" borderId="43" xfId="0" applyFont="1" applyFill="1" applyBorder="1" applyAlignment="1">
      <alignment horizontal="left" vertical="center" wrapText="1"/>
    </xf>
    <xf numFmtId="0" fontId="16" fillId="3" borderId="2" xfId="0" applyFont="1" applyFill="1" applyBorder="1" applyAlignment="1">
      <alignment horizontal="center" vertical="center" wrapText="1"/>
    </xf>
    <xf numFmtId="171" fontId="16" fillId="3" borderId="2" xfId="0" applyNumberFormat="1" applyFont="1" applyFill="1" applyBorder="1" applyAlignment="1">
      <alignment vertical="center" wrapText="1"/>
    </xf>
    <xf numFmtId="0" fontId="16" fillId="3" borderId="2" xfId="0" applyFont="1" applyFill="1" applyBorder="1" applyAlignment="1">
      <alignment horizontal="left" vertical="center" wrapText="1"/>
    </xf>
    <xf numFmtId="14" fontId="16" fillId="3" borderId="2" xfId="0" applyNumberFormat="1" applyFont="1" applyFill="1" applyBorder="1" applyAlignment="1">
      <alignment horizontal="center" vertical="center" wrapText="1"/>
    </xf>
    <xf numFmtId="14" fontId="16" fillId="3" borderId="44" xfId="0" applyNumberFormat="1" applyFont="1" applyFill="1" applyBorder="1" applyAlignment="1">
      <alignment horizontal="center" vertical="center" wrapText="1"/>
    </xf>
    <xf numFmtId="0" fontId="16" fillId="0" borderId="43" xfId="0" applyFont="1" applyBorder="1" applyAlignment="1">
      <alignment horizontal="left" vertical="center" wrapText="1"/>
    </xf>
    <xf numFmtId="0" fontId="16" fillId="0" borderId="2" xfId="0" applyFont="1" applyBorder="1" applyAlignment="1">
      <alignment horizontal="center" vertical="center" wrapText="1"/>
    </xf>
    <xf numFmtId="171" fontId="16" fillId="0" borderId="2" xfId="0" applyNumberFormat="1" applyFont="1" applyBorder="1" applyAlignment="1">
      <alignment vertical="center" wrapText="1"/>
    </xf>
    <xf numFmtId="14" fontId="16" fillId="0" borderId="2" xfId="0" applyNumberFormat="1" applyFont="1" applyBorder="1" applyAlignment="1">
      <alignment horizontal="center" vertical="center" wrapText="1"/>
    </xf>
    <xf numFmtId="14" fontId="16" fillId="0" borderId="2" xfId="0" applyNumberFormat="1" applyFont="1" applyBorder="1" applyAlignment="1">
      <alignment horizontal="left" vertical="center" wrapText="1"/>
    </xf>
    <xf numFmtId="0" fontId="16" fillId="0" borderId="44" xfId="0" applyFont="1" applyBorder="1" applyAlignment="1">
      <alignment horizontal="center" vertical="center" wrapText="1"/>
    </xf>
    <xf numFmtId="0" fontId="16" fillId="0" borderId="2" xfId="0" applyFont="1" applyBorder="1" applyAlignment="1">
      <alignment horizontal="left" vertical="center" wrapText="1"/>
    </xf>
    <xf numFmtId="14" fontId="16" fillId="0" borderId="44" xfId="0" applyNumberFormat="1" applyFont="1" applyBorder="1" applyAlignment="1">
      <alignment horizontal="center" vertical="center" wrapText="1"/>
    </xf>
    <xf numFmtId="1" fontId="16" fillId="0" borderId="2" xfId="0" applyNumberFormat="1" applyFont="1" applyBorder="1" applyAlignment="1">
      <alignment horizontal="center" vertical="center" wrapText="1"/>
    </xf>
    <xf numFmtId="171" fontId="16" fillId="0" borderId="2" xfId="0" applyNumberFormat="1" applyFont="1" applyBorder="1" applyAlignment="1">
      <alignment vertical="center"/>
    </xf>
    <xf numFmtId="0" fontId="16" fillId="3" borderId="44" xfId="0" applyFont="1" applyFill="1" applyBorder="1" applyAlignment="1">
      <alignment horizontal="center" vertical="center" wrapText="1"/>
    </xf>
    <xf numFmtId="49" fontId="16" fillId="0" borderId="2" xfId="0" applyNumberFormat="1" applyFont="1" applyBorder="1" applyAlignment="1">
      <alignment horizontal="center" vertical="center" wrapText="1"/>
    </xf>
    <xf numFmtId="0" fontId="16" fillId="0" borderId="2" xfId="0" applyFont="1" applyBorder="1" applyAlignment="1">
      <alignment horizontal="center" vertical="center"/>
    </xf>
    <xf numFmtId="14" fontId="16" fillId="0" borderId="2" xfId="0" applyNumberFormat="1" applyFont="1" applyBorder="1" applyAlignment="1">
      <alignment horizontal="center" vertical="center"/>
    </xf>
    <xf numFmtId="0" fontId="16" fillId="0" borderId="44" xfId="0" applyFont="1" applyBorder="1" applyAlignment="1">
      <alignment horizontal="center" vertical="center"/>
    </xf>
    <xf numFmtId="0" fontId="16" fillId="3" borderId="2" xfId="0" applyFont="1" applyFill="1" applyBorder="1" applyAlignment="1">
      <alignment horizontal="center" vertical="center"/>
    </xf>
    <xf numFmtId="171" fontId="16" fillId="3" borderId="2" xfId="0" applyNumberFormat="1" applyFont="1" applyFill="1" applyBorder="1" applyAlignment="1">
      <alignment vertical="center"/>
    </xf>
    <xf numFmtId="14" fontId="16" fillId="3" borderId="2" xfId="0" applyNumberFormat="1" applyFont="1" applyFill="1" applyBorder="1" applyAlignment="1">
      <alignment horizontal="center" vertical="center"/>
    </xf>
    <xf numFmtId="14" fontId="16" fillId="3" borderId="44" xfId="0" applyNumberFormat="1" applyFont="1" applyFill="1" applyBorder="1" applyAlignment="1">
      <alignment horizontal="center" vertical="center"/>
    </xf>
    <xf numFmtId="1" fontId="16" fillId="0" borderId="2" xfId="0" applyNumberFormat="1" applyFont="1" applyBorder="1" applyAlignment="1">
      <alignment horizontal="center" vertical="center"/>
    </xf>
    <xf numFmtId="0" fontId="16" fillId="3" borderId="44" xfId="0" applyFont="1" applyFill="1" applyBorder="1" applyAlignment="1">
      <alignment horizontal="center" vertical="center"/>
    </xf>
    <xf numFmtId="0" fontId="11" fillId="7" borderId="92" xfId="0" applyFont="1" applyFill="1" applyBorder="1" applyAlignment="1">
      <alignment horizontal="center" vertical="center"/>
    </xf>
    <xf numFmtId="0" fontId="11" fillId="7" borderId="50" xfId="0" applyFont="1" applyFill="1" applyBorder="1" applyAlignment="1">
      <alignment horizontal="center" vertical="center"/>
    </xf>
    <xf numFmtId="171" fontId="11" fillId="7" borderId="50" xfId="0" applyNumberFormat="1" applyFont="1" applyFill="1" applyBorder="1" applyAlignment="1">
      <alignment vertical="center"/>
    </xf>
    <xf numFmtId="0" fontId="11" fillId="7" borderId="50" xfId="0" applyFont="1" applyFill="1" applyBorder="1" applyAlignment="1">
      <alignment horizontal="left" vertical="center"/>
    </xf>
    <xf numFmtId="0" fontId="11" fillId="7" borderId="51" xfId="0" applyFont="1" applyFill="1" applyBorder="1" applyAlignment="1">
      <alignment horizontal="center" vertical="center"/>
    </xf>
    <xf numFmtId="49" fontId="40" fillId="0" borderId="0" xfId="0" applyNumberFormat="1" applyFont="1" applyAlignment="1">
      <alignment horizontal="left" vertical="center"/>
    </xf>
    <xf numFmtId="0" fontId="11" fillId="4" borderId="95" xfId="0" applyFont="1" applyFill="1" applyBorder="1" applyAlignment="1">
      <alignment horizontal="center" vertical="center"/>
    </xf>
    <xf numFmtId="0" fontId="41" fillId="0" borderId="43" xfId="0" applyFont="1" applyBorder="1" applyAlignment="1">
      <alignment horizontal="left" vertical="center" wrapText="1"/>
    </xf>
    <xf numFmtId="0" fontId="41" fillId="0" borderId="2" xfId="0" applyFont="1" applyBorder="1" applyAlignment="1">
      <alignment horizontal="center" vertical="center" wrapText="1"/>
    </xf>
    <xf numFmtId="0" fontId="41" fillId="0" borderId="2" xfId="0" applyFont="1" applyBorder="1" applyAlignment="1">
      <alignment horizontal="left" vertical="center" wrapText="1"/>
    </xf>
    <xf numFmtId="3" fontId="41" fillId="0" borderId="2" xfId="0" applyNumberFormat="1" applyFont="1" applyBorder="1" applyAlignment="1">
      <alignment horizontal="right" vertical="center"/>
    </xf>
    <xf numFmtId="0" fontId="41" fillId="0" borderId="2" xfId="0" applyFont="1" applyBorder="1" applyAlignment="1">
      <alignment horizontal="center" vertical="center"/>
    </xf>
    <xf numFmtId="14" fontId="41" fillId="0" borderId="2" xfId="0" applyNumberFormat="1" applyFont="1" applyBorder="1" applyAlignment="1">
      <alignment horizontal="center" vertical="center"/>
    </xf>
    <xf numFmtId="0" fontId="41" fillId="0" borderId="44" xfId="0" applyFont="1" applyBorder="1" applyAlignment="1">
      <alignment vertical="center"/>
    </xf>
    <xf numFmtId="0" fontId="41" fillId="3" borderId="2" xfId="0" applyFont="1" applyFill="1" applyBorder="1" applyAlignment="1">
      <alignment horizontal="left" vertical="center" wrapText="1"/>
    </xf>
    <xf numFmtId="0" fontId="41" fillId="0" borderId="43" xfId="0" applyFont="1" applyBorder="1" applyAlignment="1">
      <alignment horizontal="left" vertical="center"/>
    </xf>
    <xf numFmtId="0" fontId="41" fillId="3" borderId="2" xfId="0" applyFont="1" applyFill="1" applyBorder="1" applyAlignment="1">
      <alignment vertical="center" wrapText="1"/>
    </xf>
    <xf numFmtId="0" fontId="41" fillId="0" borderId="2" xfId="0" applyFont="1" applyBorder="1" applyAlignment="1">
      <alignment vertical="center" wrapText="1"/>
    </xf>
    <xf numFmtId="0" fontId="41" fillId="0" borderId="44" xfId="0" applyFont="1" applyBorder="1" applyAlignment="1">
      <alignment vertical="center" wrapText="1"/>
    </xf>
    <xf numFmtId="0" fontId="41" fillId="0" borderId="2" xfId="0" applyFont="1" applyBorder="1" applyAlignment="1">
      <alignment horizontal="left" vertical="center"/>
    </xf>
    <xf numFmtId="0" fontId="41" fillId="3" borderId="2" xfId="0" applyFont="1" applyFill="1" applyBorder="1" applyAlignment="1">
      <alignment horizontal="center" vertical="center"/>
    </xf>
    <xf numFmtId="0" fontId="41" fillId="3" borderId="43" xfId="0" applyFont="1" applyFill="1" applyBorder="1" applyAlignment="1">
      <alignment horizontal="left" vertical="center" wrapText="1"/>
    </xf>
    <xf numFmtId="3" fontId="23" fillId="3" borderId="2" xfId="0" applyNumberFormat="1" applyFont="1" applyFill="1" applyBorder="1" applyAlignment="1">
      <alignment horizontal="right" vertical="center"/>
    </xf>
    <xf numFmtId="14" fontId="41" fillId="0" borderId="2" xfId="0" applyNumberFormat="1" applyFont="1" applyBorder="1" applyAlignment="1">
      <alignment horizontal="center" vertical="center"/>
    </xf>
    <xf numFmtId="3" fontId="11" fillId="7" borderId="50" xfId="0" applyNumberFormat="1" applyFont="1" applyFill="1" applyBorder="1" applyAlignment="1">
      <alignment horizontal="right" vertical="center"/>
    </xf>
    <xf numFmtId="0" fontId="11" fillId="7" borderId="50" xfId="0" applyFont="1" applyFill="1" applyBorder="1" applyAlignment="1">
      <alignment vertical="center"/>
    </xf>
    <xf numFmtId="0" fontId="11" fillId="7" borderId="51" xfId="0" applyFont="1" applyFill="1" applyBorder="1" applyAlignment="1">
      <alignment vertical="center"/>
    </xf>
    <xf numFmtId="0" fontId="16" fillId="0" borderId="0" xfId="0" applyFont="1" applyAlignment="1">
      <alignment horizontal="left"/>
    </xf>
    <xf numFmtId="15" fontId="11" fillId="4" borderId="19" xfId="0" applyNumberFormat="1"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114" xfId="0" applyFont="1" applyFill="1" applyBorder="1" applyAlignment="1">
      <alignment horizontal="center" vertical="center" wrapText="1"/>
    </xf>
    <xf numFmtId="171" fontId="16" fillId="3" borderId="2" xfId="0" applyNumberFormat="1" applyFont="1" applyFill="1" applyBorder="1" applyAlignment="1">
      <alignment horizontal="right" vertical="center"/>
    </xf>
    <xf numFmtId="0" fontId="16" fillId="3" borderId="44" xfId="0" applyFont="1" applyFill="1" applyBorder="1" applyAlignment="1">
      <alignment horizontal="left" vertical="center" wrapText="1"/>
    </xf>
    <xf numFmtId="0" fontId="13" fillId="3" borderId="43" xfId="0" applyFont="1" applyFill="1" applyBorder="1" applyAlignment="1">
      <alignment horizontal="left" vertical="center" wrapText="1"/>
    </xf>
    <xf numFmtId="0" fontId="13" fillId="3" borderId="2" xfId="0" applyFont="1" applyFill="1" applyBorder="1" applyAlignment="1">
      <alignment horizontal="center" vertical="center" wrapText="1"/>
    </xf>
    <xf numFmtId="171" fontId="16" fillId="0" borderId="2" xfId="0" applyNumberFormat="1" applyFont="1" applyBorder="1" applyAlignment="1">
      <alignment horizontal="right" vertical="center" wrapText="1"/>
    </xf>
    <xf numFmtId="0" fontId="16" fillId="0" borderId="44" xfId="0" applyFont="1" applyBorder="1" applyAlignment="1">
      <alignment horizontal="left" vertical="center" wrapText="1"/>
    </xf>
    <xf numFmtId="171" fontId="16" fillId="0" borderId="2" xfId="0" applyNumberFormat="1" applyFont="1" applyBorder="1" applyAlignment="1">
      <alignment horizontal="right" vertical="center"/>
    </xf>
    <xf numFmtId="0" fontId="16" fillId="0" borderId="43" xfId="0" applyFont="1" applyBorder="1" applyAlignment="1">
      <alignment vertical="top" wrapText="1"/>
    </xf>
    <xf numFmtId="172" fontId="16" fillId="3" borderId="43" xfId="0" applyNumberFormat="1" applyFont="1" applyFill="1" applyBorder="1" applyAlignment="1">
      <alignment horizontal="left" vertical="center" wrapText="1"/>
    </xf>
    <xf numFmtId="49" fontId="16" fillId="3" borderId="2" xfId="0" applyNumberFormat="1" applyFont="1" applyFill="1" applyBorder="1" applyAlignment="1">
      <alignment horizontal="center" vertical="center" wrapText="1"/>
    </xf>
    <xf numFmtId="0" fontId="16" fillId="0" borderId="44" xfId="0" applyFont="1" applyBorder="1" applyAlignment="1">
      <alignment horizontal="left" vertical="center"/>
    </xf>
    <xf numFmtId="0" fontId="16" fillId="0" borderId="43" xfId="0" applyFont="1" applyBorder="1" applyAlignment="1">
      <alignment horizontal="left" vertical="top" wrapText="1"/>
    </xf>
    <xf numFmtId="0" fontId="16" fillId="0" borderId="2" xfId="0" quotePrefix="1" applyFont="1" applyBorder="1" applyAlignment="1">
      <alignment horizontal="left" vertical="center" wrapText="1"/>
    </xf>
    <xf numFmtId="0" fontId="16" fillId="0" borderId="2" xfId="0" quotePrefix="1" applyFont="1" applyBorder="1" applyAlignment="1">
      <alignment horizontal="center" vertical="center" wrapText="1"/>
    </xf>
    <xf numFmtId="0" fontId="16" fillId="0" borderId="53" xfId="0" applyFont="1" applyBorder="1" applyAlignment="1">
      <alignment horizontal="left" vertical="center" wrapText="1"/>
    </xf>
    <xf numFmtId="0" fontId="16" fillId="0" borderId="6" xfId="0" applyFont="1" applyBorder="1" applyAlignment="1">
      <alignment horizontal="center" vertical="center" wrapText="1"/>
    </xf>
    <xf numFmtId="0" fontId="16" fillId="3" borderId="9" xfId="0" applyFont="1" applyFill="1" applyBorder="1" applyAlignment="1">
      <alignment horizontal="center" vertical="center"/>
    </xf>
    <xf numFmtId="171" fontId="16" fillId="0" borderId="6" xfId="0" applyNumberFormat="1" applyFont="1" applyBorder="1" applyAlignment="1">
      <alignment horizontal="right" vertical="center"/>
    </xf>
    <xf numFmtId="171" fontId="16" fillId="3" borderId="9" xfId="0" applyNumberFormat="1" applyFont="1" applyFill="1" applyBorder="1" applyAlignment="1">
      <alignment horizontal="right" vertical="center"/>
    </xf>
    <xf numFmtId="171" fontId="16" fillId="3" borderId="9" xfId="0" applyNumberFormat="1" applyFont="1" applyFill="1" applyBorder="1" applyAlignment="1">
      <alignment vertical="center"/>
    </xf>
    <xf numFmtId="0" fontId="16" fillId="0" borderId="6" xfId="0" applyFont="1" applyBorder="1" applyAlignment="1">
      <alignment horizontal="left" vertical="center" wrapText="1"/>
    </xf>
    <xf numFmtId="0" fontId="16" fillId="0" borderId="54" xfId="0" applyFont="1" applyBorder="1" applyAlignment="1">
      <alignment horizontal="left" vertical="center" wrapText="1"/>
    </xf>
    <xf numFmtId="0" fontId="11" fillId="7" borderId="51" xfId="0" applyFont="1" applyFill="1" applyBorder="1" applyAlignment="1">
      <alignment horizontal="left" vertical="center"/>
    </xf>
    <xf numFmtId="0" fontId="11" fillId="11" borderId="58" xfId="0" applyFont="1" applyFill="1" applyBorder="1" applyAlignment="1">
      <alignment horizontal="center" vertical="center"/>
    </xf>
    <xf numFmtId="0" fontId="11" fillId="11" borderId="57" xfId="0" applyFont="1" applyFill="1" applyBorder="1" applyAlignment="1">
      <alignment horizontal="center" vertical="center"/>
    </xf>
    <xf numFmtId="0" fontId="11" fillId="11" borderId="58" xfId="0" applyFont="1" applyFill="1" applyBorder="1" applyAlignment="1">
      <alignment horizontal="center" vertical="center" wrapText="1"/>
    </xf>
    <xf numFmtId="0" fontId="11" fillId="11" borderId="63" xfId="0" applyFont="1" applyFill="1" applyBorder="1" applyAlignment="1">
      <alignment horizontal="center" vertical="center"/>
    </xf>
    <xf numFmtId="0" fontId="11" fillId="11" borderId="63" xfId="0" applyFont="1" applyFill="1" applyBorder="1" applyAlignment="1">
      <alignment horizontal="center" vertical="center" wrapText="1"/>
    </xf>
    <xf numFmtId="0" fontId="4" fillId="0" borderId="94" xfId="0" applyFont="1" applyBorder="1" applyAlignment="1">
      <alignment vertical="center"/>
    </xf>
    <xf numFmtId="0" fontId="11" fillId="0" borderId="71" xfId="0" applyFont="1" applyBorder="1" applyAlignment="1">
      <alignment vertical="center"/>
    </xf>
    <xf numFmtId="49" fontId="16" fillId="0" borderId="68" xfId="0" applyNumberFormat="1" applyFont="1" applyBorder="1" applyAlignment="1">
      <alignment horizontal="center" vertical="center"/>
    </xf>
    <xf numFmtId="3" fontId="16" fillId="0" borderId="67" xfId="0" applyNumberFormat="1" applyFont="1" applyBorder="1" applyAlignment="1">
      <alignment vertical="center"/>
    </xf>
    <xf numFmtId="3" fontId="16" fillId="0" borderId="68" xfId="0" applyNumberFormat="1" applyFont="1" applyBorder="1" applyAlignment="1">
      <alignment horizontal="center" vertical="center"/>
    </xf>
    <xf numFmtId="3" fontId="16" fillId="0" borderId="67" xfId="0" applyNumberFormat="1" applyFont="1" applyBorder="1" applyAlignment="1">
      <alignment horizontal="center" vertical="center"/>
    </xf>
    <xf numFmtId="0" fontId="16" fillId="0" borderId="71" xfId="0" applyFont="1" applyBorder="1" applyAlignment="1">
      <alignment vertical="center"/>
    </xf>
    <xf numFmtId="3" fontId="11" fillId="0" borderId="56" xfId="0" applyNumberFormat="1" applyFont="1" applyBorder="1" applyAlignment="1">
      <alignment vertical="center"/>
    </xf>
    <xf numFmtId="0" fontId="11" fillId="0" borderId="11" xfId="0" applyFont="1" applyBorder="1" applyAlignment="1">
      <alignment vertical="center"/>
    </xf>
    <xf numFmtId="49" fontId="16" fillId="0" borderId="11" xfId="0" applyNumberFormat="1" applyFont="1" applyBorder="1" applyAlignment="1">
      <alignment horizontal="center" vertical="center"/>
    </xf>
    <xf numFmtId="3" fontId="16" fillId="0" borderId="11" xfId="0" applyNumberFormat="1" applyFont="1" applyBorder="1" applyAlignment="1">
      <alignment horizontal="center" vertical="center"/>
    </xf>
    <xf numFmtId="3" fontId="16" fillId="0" borderId="11" xfId="0" applyNumberFormat="1" applyFont="1" applyBorder="1" applyAlignment="1">
      <alignment horizontal="center" vertical="center" wrapText="1"/>
    </xf>
    <xf numFmtId="3" fontId="16" fillId="0" borderId="74" xfId="0" applyNumberFormat="1" applyFont="1" applyBorder="1" applyAlignment="1">
      <alignment vertical="center"/>
    </xf>
    <xf numFmtId="3" fontId="16" fillId="0" borderId="68" xfId="0" applyNumberFormat="1" applyFont="1" applyBorder="1" applyAlignment="1">
      <alignment horizontal="center" vertical="center" wrapText="1"/>
    </xf>
    <xf numFmtId="0" fontId="11" fillId="0" borderId="68" xfId="0" applyFont="1" applyBorder="1" applyAlignment="1">
      <alignment vertical="center"/>
    </xf>
    <xf numFmtId="49" fontId="16" fillId="0" borderId="62" xfId="0" applyNumberFormat="1" applyFont="1" applyBorder="1" applyAlignment="1">
      <alignment horizontal="center" vertical="center"/>
    </xf>
    <xf numFmtId="3" fontId="16" fillId="0" borderId="62" xfId="0" applyNumberFormat="1" applyFont="1" applyBorder="1" applyAlignment="1">
      <alignment horizontal="center" vertical="center"/>
    </xf>
    <xf numFmtId="3" fontId="16" fillId="0" borderId="62" xfId="0" applyNumberFormat="1" applyFont="1" applyBorder="1" applyAlignment="1">
      <alignment horizontal="center" vertical="center" wrapText="1"/>
    </xf>
    <xf numFmtId="3" fontId="16" fillId="0" borderId="99" xfId="0" applyNumberFormat="1" applyFont="1" applyBorder="1" applyAlignment="1">
      <alignment vertical="center"/>
    </xf>
    <xf numFmtId="0" fontId="11" fillId="0" borderId="68" xfId="0" applyFont="1" applyBorder="1" applyAlignment="1">
      <alignment vertical="center" wrapText="1"/>
    </xf>
    <xf numFmtId="3" fontId="11" fillId="0" borderId="67" xfId="0" applyNumberFormat="1" applyFont="1" applyBorder="1" applyAlignment="1">
      <alignment vertical="center"/>
    </xf>
    <xf numFmtId="0" fontId="16" fillId="0" borderId="68" xfId="0" applyFont="1" applyBorder="1" applyAlignment="1">
      <alignment vertical="center" wrapText="1"/>
    </xf>
    <xf numFmtId="0" fontId="16" fillId="0" borderId="67" xfId="0" applyFont="1" applyBorder="1" applyAlignment="1">
      <alignment horizontal="center" vertical="center"/>
    </xf>
    <xf numFmtId="3" fontId="16" fillId="0" borderId="0" xfId="0" applyNumberFormat="1" applyFont="1" applyAlignment="1">
      <alignment horizontal="center" vertical="center"/>
    </xf>
    <xf numFmtId="3" fontId="16" fillId="0" borderId="68" xfId="0" quotePrefix="1" applyNumberFormat="1" applyFont="1" applyBorder="1" applyAlignment="1">
      <alignment horizontal="center" vertical="center"/>
    </xf>
    <xf numFmtId="3" fontId="16" fillId="0" borderId="67" xfId="0" applyNumberFormat="1" applyFont="1" applyBorder="1" applyAlignment="1">
      <alignment horizontal="center" vertical="center" wrapText="1"/>
    </xf>
    <xf numFmtId="49" fontId="16" fillId="0" borderId="68" xfId="0" quotePrefix="1" applyNumberFormat="1" applyFont="1" applyBorder="1" applyAlignment="1">
      <alignment horizontal="center" vertical="center"/>
    </xf>
    <xf numFmtId="0" fontId="16" fillId="0" borderId="67" xfId="0" applyFont="1" applyBorder="1" applyAlignment="1">
      <alignment horizontal="center" vertical="center" wrapText="1"/>
    </xf>
    <xf numFmtId="0" fontId="16" fillId="0" borderId="67" xfId="0" applyFont="1" applyBorder="1" applyAlignment="1">
      <alignment vertical="center" wrapText="1"/>
    </xf>
    <xf numFmtId="171" fontId="11" fillId="0" borderId="61" xfId="0" applyNumberFormat="1" applyFont="1" applyBorder="1" applyAlignment="1">
      <alignment vertical="center"/>
    </xf>
    <xf numFmtId="171" fontId="11" fillId="0" borderId="58" xfId="0" applyNumberFormat="1" applyFont="1" applyBorder="1" applyAlignment="1">
      <alignment vertical="center"/>
    </xf>
    <xf numFmtId="3" fontId="16" fillId="3" borderId="112" xfId="0" applyNumberFormat="1" applyFont="1" applyFill="1" applyBorder="1" applyAlignment="1">
      <alignment vertical="center"/>
    </xf>
    <xf numFmtId="3" fontId="16" fillId="3" borderId="137" xfId="0" applyNumberFormat="1" applyFont="1" applyFill="1" applyBorder="1" applyAlignment="1">
      <alignment vertical="center"/>
    </xf>
    <xf numFmtId="3" fontId="11" fillId="0" borderId="68" xfId="0" applyNumberFormat="1" applyFont="1" applyBorder="1" applyAlignment="1">
      <alignment horizontal="center" vertical="center"/>
    </xf>
    <xf numFmtId="3" fontId="11" fillId="0" borderId="67" xfId="0" applyNumberFormat="1" applyFont="1" applyBorder="1" applyAlignment="1">
      <alignment horizontal="center" vertical="center"/>
    </xf>
    <xf numFmtId="3" fontId="11" fillId="0" borderId="68" xfId="0" applyNumberFormat="1" applyFont="1" applyBorder="1" applyAlignment="1">
      <alignment vertical="center"/>
    </xf>
    <xf numFmtId="3" fontId="11" fillId="0" borderId="61" xfId="0" applyNumberFormat="1" applyFont="1" applyBorder="1" applyAlignment="1">
      <alignment vertical="center"/>
    </xf>
    <xf numFmtId="3" fontId="16" fillId="0" borderId="67" xfId="0" applyNumberFormat="1" applyFont="1" applyBorder="1" applyAlignment="1">
      <alignment horizontal="right" vertical="center"/>
    </xf>
    <xf numFmtId="0" fontId="11" fillId="0" borderId="0" xfId="0" applyFont="1" applyAlignment="1">
      <alignment vertical="center" wrapText="1"/>
    </xf>
    <xf numFmtId="173" fontId="16" fillId="0" borderId="0" xfId="0" applyNumberFormat="1" applyFont="1" applyAlignment="1">
      <alignment vertical="center"/>
    </xf>
    <xf numFmtId="0" fontId="16" fillId="0" borderId="0" xfId="0" applyFont="1" applyAlignment="1">
      <alignment horizontal="center" vertical="center" wrapText="1"/>
    </xf>
    <xf numFmtId="0" fontId="11" fillId="4" borderId="111"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1" fillId="4" borderId="138" xfId="0" applyFont="1" applyFill="1" applyBorder="1" applyAlignment="1">
      <alignment horizontal="center" vertical="center" wrapText="1"/>
    </xf>
    <xf numFmtId="0" fontId="11" fillId="4" borderId="100" xfId="0" applyFont="1" applyFill="1" applyBorder="1" applyAlignment="1">
      <alignment horizontal="center" vertical="center" wrapText="1"/>
    </xf>
    <xf numFmtId="173" fontId="11" fillId="4" borderId="111" xfId="0" applyNumberFormat="1" applyFont="1" applyFill="1" applyBorder="1" applyAlignment="1">
      <alignment horizontal="center" vertical="center" textRotation="90" wrapText="1"/>
    </xf>
    <xf numFmtId="173" fontId="11" fillId="4" borderId="19" xfId="0" applyNumberFormat="1" applyFont="1" applyFill="1" applyBorder="1" applyAlignment="1">
      <alignment horizontal="center" vertical="center" textRotation="90" wrapText="1"/>
    </xf>
    <xf numFmtId="173" fontId="11" fillId="4" borderId="138" xfId="0" applyNumberFormat="1" applyFont="1" applyFill="1" applyBorder="1" applyAlignment="1">
      <alignment horizontal="center" vertical="center" textRotation="90" wrapText="1"/>
    </xf>
    <xf numFmtId="0" fontId="11" fillId="0" borderId="0" xfId="0" applyFont="1" applyAlignment="1">
      <alignment horizontal="center" vertical="center" textRotation="90" wrapText="1"/>
    </xf>
    <xf numFmtId="0" fontId="41" fillId="0" borderId="2" xfId="0" applyFont="1" applyBorder="1" applyAlignment="1">
      <alignment vertical="center"/>
    </xf>
    <xf numFmtId="4" fontId="41" fillId="0" borderId="2" xfId="0" applyNumberFormat="1" applyFont="1" applyBorder="1" applyAlignment="1">
      <alignment vertical="center"/>
    </xf>
    <xf numFmtId="0" fontId="42" fillId="0" borderId="2" xfId="0" applyFont="1" applyBorder="1" applyAlignment="1">
      <alignment horizontal="center" vertical="center"/>
    </xf>
    <xf numFmtId="0" fontId="42" fillId="0" borderId="2" xfId="0" applyFont="1" applyBorder="1" applyAlignment="1">
      <alignment vertical="center" wrapText="1"/>
    </xf>
    <xf numFmtId="173" fontId="41" fillId="0" borderId="2" xfId="0" applyNumberFormat="1" applyFont="1" applyBorder="1" applyAlignment="1">
      <alignment vertical="center"/>
    </xf>
    <xf numFmtId="0" fontId="41" fillId="0" borderId="2" xfId="0" quotePrefix="1" applyFont="1" applyBorder="1" applyAlignment="1">
      <alignment horizontal="center" vertical="center"/>
    </xf>
    <xf numFmtId="2" fontId="42" fillId="0" borderId="2" xfId="0" applyNumberFormat="1" applyFont="1" applyBorder="1" applyAlignment="1">
      <alignment horizontal="right" vertical="center"/>
    </xf>
    <xf numFmtId="0" fontId="42" fillId="3" borderId="2" xfId="0" applyFont="1" applyFill="1" applyBorder="1" applyAlignment="1">
      <alignment vertical="center" wrapText="1"/>
    </xf>
    <xf numFmtId="0" fontId="42" fillId="0" borderId="2" xfId="0" applyFont="1" applyBorder="1" applyAlignment="1">
      <alignment horizontal="left" vertical="center" wrapText="1"/>
    </xf>
    <xf numFmtId="49" fontId="41" fillId="0" borderId="2" xfId="0" applyNumberFormat="1" applyFont="1" applyBorder="1" applyAlignment="1">
      <alignment vertical="center"/>
    </xf>
    <xf numFmtId="2" fontId="42" fillId="0" borderId="2" xfId="0" applyNumberFormat="1" applyFont="1" applyBorder="1" applyAlignment="1">
      <alignment vertical="center"/>
    </xf>
    <xf numFmtId="0" fontId="42" fillId="8" borderId="2" xfId="0" applyFont="1" applyFill="1" applyBorder="1" applyAlignment="1">
      <alignment horizontal="center" vertical="center"/>
    </xf>
    <xf numFmtId="0" fontId="41" fillId="8" borderId="2" xfId="0" applyFont="1" applyFill="1" applyBorder="1" applyAlignment="1">
      <alignment horizontal="center" vertical="center"/>
    </xf>
    <xf numFmtId="0" fontId="41" fillId="8" borderId="2" xfId="0" applyFont="1" applyFill="1" applyBorder="1" applyAlignment="1">
      <alignment vertical="center" wrapText="1"/>
    </xf>
    <xf numFmtId="0" fontId="41" fillId="8" borderId="2" xfId="0" applyFont="1" applyFill="1" applyBorder="1" applyAlignment="1">
      <alignment horizontal="left" vertical="center" wrapText="1"/>
    </xf>
    <xf numFmtId="0" fontId="42" fillId="8" borderId="2" xfId="0" applyFont="1" applyFill="1" applyBorder="1" applyAlignment="1">
      <alignment vertical="center" wrapText="1"/>
    </xf>
    <xf numFmtId="174" fontId="41" fillId="0" borderId="2" xfId="0" applyNumberFormat="1" applyFont="1" applyBorder="1" applyAlignment="1">
      <alignment horizontal="center" vertical="center"/>
    </xf>
    <xf numFmtId="173" fontId="41" fillId="0" borderId="2" xfId="0" applyNumberFormat="1" applyFont="1" applyBorder="1" applyAlignment="1">
      <alignment horizontal="center" vertical="center"/>
    </xf>
    <xf numFmtId="1" fontId="41" fillId="0" borderId="2" xfId="0" applyNumberFormat="1" applyFont="1" applyBorder="1" applyAlignment="1">
      <alignment horizontal="center" vertical="center"/>
    </xf>
    <xf numFmtId="49" fontId="41" fillId="0" borderId="2" xfId="0" applyNumberFormat="1" applyFont="1" applyBorder="1" applyAlignment="1">
      <alignment horizontal="center" vertical="center"/>
    </xf>
    <xf numFmtId="4" fontId="41" fillId="0" borderId="2" xfId="0" applyNumberFormat="1" applyFont="1" applyBorder="1" applyAlignment="1">
      <alignment vertical="center" wrapText="1"/>
    </xf>
    <xf numFmtId="4" fontId="43" fillId="0" borderId="2" xfId="0" applyNumberFormat="1" applyFont="1" applyBorder="1" applyAlignment="1">
      <alignment vertical="center"/>
    </xf>
    <xf numFmtId="171" fontId="41" fillId="0" borderId="2" xfId="0" applyNumberFormat="1" applyFont="1" applyBorder="1" applyAlignment="1">
      <alignment horizontal="center" vertical="center"/>
    </xf>
    <xf numFmtId="175" fontId="41" fillId="0" borderId="2" xfId="0" applyNumberFormat="1" applyFont="1" applyBorder="1" applyAlignment="1">
      <alignment vertical="center"/>
    </xf>
    <xf numFmtId="4" fontId="41" fillId="0" borderId="2" xfId="0" applyNumberFormat="1" applyFont="1" applyBorder="1" applyAlignment="1">
      <alignment horizontal="right" vertical="center"/>
    </xf>
    <xf numFmtId="3" fontId="41" fillId="0" borderId="2" xfId="0" applyNumberFormat="1" applyFont="1" applyBorder="1" applyAlignment="1">
      <alignment horizontal="center" vertical="center"/>
    </xf>
    <xf numFmtId="4" fontId="41" fillId="0" borderId="2" xfId="0" applyNumberFormat="1" applyFont="1" applyBorder="1" applyAlignment="1">
      <alignment horizontal="center" vertical="center"/>
    </xf>
    <xf numFmtId="4" fontId="4" fillId="0" borderId="123" xfId="0" applyNumberFormat="1" applyFont="1" applyBorder="1" applyAlignment="1">
      <alignment vertical="center"/>
    </xf>
    <xf numFmtId="0" fontId="4" fillId="0" borderId="123" xfId="0" applyFont="1" applyBorder="1" applyAlignment="1">
      <alignment vertical="center"/>
    </xf>
    <xf numFmtId="0" fontId="4" fillId="0" borderId="123" xfId="0" applyFont="1" applyBorder="1" applyAlignment="1">
      <alignment vertical="center" wrapText="1"/>
    </xf>
    <xf numFmtId="173" fontId="4" fillId="0" borderId="123" xfId="0" applyNumberFormat="1" applyFont="1" applyBorder="1" applyAlignment="1">
      <alignment vertical="center"/>
    </xf>
    <xf numFmtId="0" fontId="11" fillId="4" borderId="59" xfId="0" applyFont="1" applyFill="1" applyBorder="1" applyAlignment="1">
      <alignment horizontal="center" vertical="center" wrapText="1"/>
    </xf>
    <xf numFmtId="0" fontId="11" fillId="4" borderId="101" xfId="0" applyFont="1" applyFill="1" applyBorder="1" applyAlignment="1">
      <alignment horizontal="center" vertical="center" wrapText="1"/>
    </xf>
    <xf numFmtId="0" fontId="11" fillId="4" borderId="142" xfId="0" applyFont="1" applyFill="1" applyBorder="1" applyAlignment="1">
      <alignment horizontal="center" vertical="center" wrapText="1"/>
    </xf>
    <xf numFmtId="173" fontId="11" fillId="4" borderId="19" xfId="0" applyNumberFormat="1" applyFont="1" applyFill="1" applyBorder="1" applyAlignment="1">
      <alignment horizontal="center" textRotation="90" wrapText="1"/>
    </xf>
    <xf numFmtId="173" fontId="11" fillId="4" borderId="138" xfId="0" applyNumberFormat="1" applyFont="1" applyFill="1" applyBorder="1" applyAlignment="1">
      <alignment horizontal="center" textRotation="90" wrapText="1"/>
    </xf>
    <xf numFmtId="0" fontId="11" fillId="4" borderId="112" xfId="0" applyFont="1" applyFill="1" applyBorder="1" applyAlignment="1">
      <alignment horizontal="center" vertical="center" wrapText="1"/>
    </xf>
    <xf numFmtId="0" fontId="11" fillId="4" borderId="137" xfId="0" applyFont="1" applyFill="1" applyBorder="1" applyAlignment="1">
      <alignment horizontal="center" vertical="center" wrapText="1"/>
    </xf>
    <xf numFmtId="0" fontId="16" fillId="3" borderId="43" xfId="0" applyFont="1" applyFill="1" applyBorder="1" applyAlignment="1">
      <alignment horizontal="center" vertical="center" wrapText="1"/>
    </xf>
    <xf numFmtId="4" fontId="16" fillId="3" borderId="2" xfId="0" applyNumberFormat="1" applyFont="1" applyFill="1" applyBorder="1" applyAlignment="1">
      <alignment horizontal="right" vertical="center"/>
    </xf>
    <xf numFmtId="4" fontId="16" fillId="3" borderId="44" xfId="0" applyNumberFormat="1" applyFont="1" applyFill="1" applyBorder="1" applyAlignment="1">
      <alignment horizontal="right" vertical="center"/>
    </xf>
    <xf numFmtId="0" fontId="16" fillId="0" borderId="43" xfId="0" applyFont="1" applyBorder="1" applyAlignment="1">
      <alignment horizontal="center" vertical="center" wrapText="1"/>
    </xf>
    <xf numFmtId="4" fontId="16" fillId="0" borderId="2" xfId="0" applyNumberFormat="1" applyFont="1" applyBorder="1" applyAlignment="1">
      <alignment horizontal="right" vertical="center" wrapText="1"/>
    </xf>
    <xf numFmtId="4" fontId="16" fillId="0" borderId="44" xfId="0" applyNumberFormat="1" applyFont="1" applyBorder="1" applyAlignment="1">
      <alignment horizontal="right" vertical="center" wrapText="1"/>
    </xf>
    <xf numFmtId="176" fontId="16" fillId="3" borderId="2" xfId="0" applyNumberFormat="1" applyFont="1" applyFill="1" applyBorder="1" applyAlignment="1">
      <alignment horizontal="center" vertical="center" wrapText="1"/>
    </xf>
    <xf numFmtId="177" fontId="16" fillId="3" borderId="2" xfId="0" applyNumberFormat="1" applyFont="1" applyFill="1" applyBorder="1" applyAlignment="1">
      <alignment horizontal="center" vertical="center"/>
    </xf>
    <xf numFmtId="0" fontId="16" fillId="3" borderId="2" xfId="0" quotePrefix="1" applyFont="1" applyFill="1" applyBorder="1" applyAlignment="1">
      <alignment horizontal="center" vertical="center"/>
    </xf>
    <xf numFmtId="0" fontId="16" fillId="3" borderId="2" xfId="0" quotePrefix="1" applyFont="1" applyFill="1" applyBorder="1" applyAlignment="1">
      <alignment horizontal="center" vertical="center" wrapText="1"/>
    </xf>
    <xf numFmtId="2" fontId="16" fillId="3" borderId="2" xfId="0" applyNumberFormat="1" applyFont="1" applyFill="1" applyBorder="1" applyAlignment="1">
      <alignment horizontal="center" vertical="center" wrapText="1"/>
    </xf>
    <xf numFmtId="4" fontId="16" fillId="3" borderId="2" xfId="0" applyNumberFormat="1" applyFont="1" applyFill="1" applyBorder="1" applyAlignment="1">
      <alignment horizontal="right" vertical="center" wrapText="1"/>
    </xf>
    <xf numFmtId="4" fontId="16" fillId="3" borderId="44" xfId="0" applyNumberFormat="1" applyFont="1" applyFill="1" applyBorder="1" applyAlignment="1">
      <alignment horizontal="right" vertical="center" wrapText="1"/>
    </xf>
    <xf numFmtId="2" fontId="16" fillId="3" borderId="2" xfId="0" applyNumberFormat="1" applyFont="1" applyFill="1" applyBorder="1" applyAlignment="1">
      <alignment horizontal="center" vertical="center"/>
    </xf>
    <xf numFmtId="49" fontId="16" fillId="0" borderId="2" xfId="0" applyNumberFormat="1" applyFont="1" applyBorder="1" applyAlignment="1">
      <alignment horizontal="center" vertical="center"/>
    </xf>
    <xf numFmtId="0" fontId="13" fillId="3" borderId="2" xfId="0" applyFont="1" applyFill="1" applyBorder="1" applyAlignment="1">
      <alignment horizontal="center" vertical="center"/>
    </xf>
    <xf numFmtId="4" fontId="16" fillId="0" borderId="2" xfId="0" applyNumberFormat="1" applyFont="1" applyBorder="1" applyAlignment="1">
      <alignment horizontal="right" vertical="center"/>
    </xf>
    <xf numFmtId="4" fontId="16" fillId="0" borderId="44" xfId="0" applyNumberFormat="1" applyFont="1" applyBorder="1" applyAlignment="1">
      <alignment horizontal="right" vertical="center"/>
    </xf>
    <xf numFmtId="0" fontId="16" fillId="0" borderId="43" xfId="0" quotePrefix="1" applyFont="1" applyBorder="1" applyAlignment="1">
      <alignment horizontal="center" vertical="center" wrapText="1"/>
    </xf>
    <xf numFmtId="0" fontId="13" fillId="0" borderId="43" xfId="0" applyFont="1" applyBorder="1" applyAlignment="1">
      <alignment horizontal="center" vertical="center" wrapText="1"/>
    </xf>
    <xf numFmtId="0" fontId="13" fillId="0" borderId="2" xfId="0" applyFont="1" applyBorder="1" applyAlignment="1">
      <alignment horizontal="center" vertical="center" wrapText="1"/>
    </xf>
    <xf numFmtId="2" fontId="16" fillId="0" borderId="2" xfId="0" applyNumberFormat="1" applyFont="1" applyBorder="1" applyAlignment="1">
      <alignment horizontal="center" vertical="center"/>
    </xf>
    <xf numFmtId="0" fontId="16" fillId="0" borderId="58" xfId="0" applyFont="1" applyBorder="1" applyAlignment="1">
      <alignment vertical="center"/>
    </xf>
    <xf numFmtId="4" fontId="11" fillId="0" borderId="84" xfId="0" applyNumberFormat="1" applyFont="1" applyBorder="1" applyAlignment="1">
      <alignment horizontal="right" vertical="center"/>
    </xf>
    <xf numFmtId="0" fontId="11" fillId="0" borderId="56" xfId="0" applyFont="1" applyBorder="1" applyAlignment="1">
      <alignment vertical="center"/>
    </xf>
    <xf numFmtId="4" fontId="11" fillId="0" borderId="21" xfId="0" applyNumberFormat="1" applyFont="1" applyBorder="1" applyAlignment="1">
      <alignment horizontal="right" vertical="center"/>
    </xf>
    <xf numFmtId="4" fontId="11" fillId="0" borderId="24" xfId="0" applyNumberFormat="1" applyFont="1" applyBorder="1" applyAlignment="1">
      <alignment horizontal="right" vertical="center"/>
    </xf>
    <xf numFmtId="0" fontId="3" fillId="3" borderId="3" xfId="0" applyFont="1" applyFill="1" applyBorder="1" applyAlignment="1">
      <alignment horizontal="left" vertical="center" wrapText="1"/>
    </xf>
    <xf numFmtId="0" fontId="5" fillId="0" borderId="4" xfId="0" applyFont="1" applyBorder="1"/>
    <xf numFmtId="0" fontId="5" fillId="0" borderId="5" xfId="0" applyFont="1" applyBorder="1"/>
    <xf numFmtId="0" fontId="7" fillId="0" borderId="0" xfId="0" applyFont="1" applyAlignment="1">
      <alignment horizontal="left" vertical="center" wrapText="1"/>
    </xf>
    <xf numFmtId="0" fontId="0" fillId="0" borderId="0" xfId="0" applyFont="1" applyAlignment="1"/>
    <xf numFmtId="0" fontId="8" fillId="4" borderId="6" xfId="0" applyFont="1" applyFill="1" applyBorder="1" applyAlignment="1">
      <alignment horizontal="center" vertical="center" wrapText="1"/>
    </xf>
    <xf numFmtId="0" fontId="5" fillId="0" borderId="7" xfId="0" applyFont="1" applyBorder="1"/>
    <xf numFmtId="0" fontId="7" fillId="0" borderId="6" xfId="0" applyFont="1" applyBorder="1" applyAlignment="1">
      <alignment horizontal="left" vertical="center" wrapText="1"/>
    </xf>
    <xf numFmtId="0" fontId="8" fillId="4" borderId="3" xfId="0" applyFont="1" applyFill="1" applyBorder="1" applyAlignment="1">
      <alignment horizontal="center" vertical="center" wrapText="1"/>
    </xf>
    <xf numFmtId="49" fontId="8" fillId="4" borderId="10" xfId="0" applyNumberFormat="1" applyFont="1" applyFill="1" applyBorder="1" applyAlignment="1">
      <alignment horizontal="center" vertical="center" wrapText="1"/>
    </xf>
    <xf numFmtId="0" fontId="5" fillId="0" borderId="16" xfId="0" applyFont="1" applyBorder="1"/>
    <xf numFmtId="49" fontId="8" fillId="4" borderId="11" xfId="0" applyNumberFormat="1" applyFont="1" applyFill="1" applyBorder="1" applyAlignment="1">
      <alignment horizontal="center" vertical="center" wrapText="1"/>
    </xf>
    <xf numFmtId="0" fontId="5" fillId="0" borderId="17" xfId="0" applyFont="1" applyBorder="1"/>
    <xf numFmtId="49" fontId="11" fillId="7" borderId="55" xfId="0" applyNumberFormat="1" applyFont="1" applyFill="1" applyBorder="1" applyAlignment="1">
      <alignment horizontal="center" vertical="center"/>
    </xf>
    <xf numFmtId="0" fontId="5" fillId="0" borderId="56" xfId="0" applyFont="1" applyBorder="1"/>
    <xf numFmtId="49" fontId="8" fillId="4" borderId="12" xfId="0" applyNumberFormat="1" applyFont="1" applyFill="1" applyBorder="1" applyAlignment="1">
      <alignment horizontal="center" vertical="center" wrapText="1"/>
    </xf>
    <xf numFmtId="0" fontId="5" fillId="0" borderId="14" xfId="0" applyFont="1" applyBorder="1"/>
    <xf numFmtId="49" fontId="8" fillId="4" borderId="15" xfId="0" applyNumberFormat="1" applyFont="1" applyFill="1" applyBorder="1" applyAlignment="1">
      <alignment horizontal="center" vertical="center" wrapText="1"/>
    </xf>
    <xf numFmtId="0" fontId="5" fillId="0" borderId="13" xfId="0" applyFont="1" applyBorder="1"/>
    <xf numFmtId="0" fontId="8" fillId="4" borderId="11" xfId="0" applyFont="1" applyFill="1" applyBorder="1" applyAlignment="1">
      <alignment horizontal="center" vertical="center"/>
    </xf>
    <xf numFmtId="0" fontId="5" fillId="0" borderId="62" xfId="0" applyFont="1" applyBorder="1"/>
    <xf numFmtId="0" fontId="8" fillId="4" borderId="15" xfId="0" applyFont="1" applyFill="1" applyBorder="1" applyAlignment="1">
      <alignment horizontal="center" wrapText="1"/>
    </xf>
    <xf numFmtId="0" fontId="5" fillId="0" borderId="60" xfId="0" applyFont="1" applyBorder="1"/>
    <xf numFmtId="0" fontId="8" fillId="4" borderId="55" xfId="0" applyFont="1" applyFill="1" applyBorder="1" applyAlignment="1">
      <alignment horizontal="center" wrapText="1"/>
    </xf>
    <xf numFmtId="0" fontId="5" fillId="0" borderId="61" xfId="0" applyFont="1" applyBorder="1"/>
    <xf numFmtId="0" fontId="19" fillId="4" borderId="11" xfId="0" applyFont="1" applyFill="1" applyBorder="1" applyAlignment="1">
      <alignment horizontal="center" vertical="center"/>
    </xf>
    <xf numFmtId="0" fontId="19" fillId="4" borderId="55" xfId="0" applyFont="1" applyFill="1" applyBorder="1" applyAlignment="1">
      <alignment horizontal="center" vertical="center"/>
    </xf>
    <xf numFmtId="0" fontId="19" fillId="4" borderId="55" xfId="0" applyFont="1" applyFill="1" applyBorder="1" applyAlignment="1">
      <alignment horizontal="center" vertical="center" wrapText="1"/>
    </xf>
    <xf numFmtId="49" fontId="11" fillId="4" borderId="91" xfId="0" applyNumberFormat="1" applyFont="1" applyFill="1" applyBorder="1" applyAlignment="1">
      <alignment horizontal="center" vertical="center" wrapText="1"/>
    </xf>
    <xf numFmtId="0" fontId="5" fillId="0" borderId="88" xfId="0" applyFont="1" applyBorder="1"/>
    <xf numFmtId="0" fontId="11" fillId="4" borderId="11" xfId="0" applyFont="1" applyFill="1" applyBorder="1" applyAlignment="1">
      <alignment horizontal="center" vertical="center"/>
    </xf>
    <xf numFmtId="0" fontId="11" fillId="4" borderId="11" xfId="0" applyFont="1" applyFill="1" applyBorder="1" applyAlignment="1">
      <alignment horizontal="center" vertical="center" wrapText="1"/>
    </xf>
    <xf numFmtId="49" fontId="11" fillId="4" borderId="86" xfId="0" applyNumberFormat="1" applyFont="1" applyFill="1" applyBorder="1" applyAlignment="1">
      <alignment horizontal="center" vertical="center"/>
    </xf>
    <xf numFmtId="0" fontId="5" fillId="0" borderId="87" xfId="0" applyFont="1" applyBorder="1"/>
    <xf numFmtId="49" fontId="11" fillId="4" borderId="86" xfId="0" applyNumberFormat="1" applyFont="1" applyFill="1" applyBorder="1" applyAlignment="1">
      <alignment horizontal="center" vertical="center" wrapText="1"/>
    </xf>
    <xf numFmtId="49" fontId="11" fillId="4" borderId="89" xfId="0" applyNumberFormat="1" applyFont="1" applyFill="1" applyBorder="1" applyAlignment="1">
      <alignment horizontal="center" vertical="center" wrapText="1"/>
    </xf>
    <xf numFmtId="0" fontId="5" fillId="0" borderId="90" xfId="0" applyFont="1" applyBorder="1"/>
    <xf numFmtId="0" fontId="11" fillId="4" borderId="86"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55" xfId="0" applyFont="1" applyFill="1" applyBorder="1" applyAlignment="1">
      <alignment horizontal="center" vertical="center"/>
    </xf>
    <xf numFmtId="0" fontId="5" fillId="0" borderId="104" xfId="0" applyFont="1" applyBorder="1"/>
    <xf numFmtId="0" fontId="5" fillId="0" borderId="68" xfId="0" applyFont="1" applyBorder="1"/>
    <xf numFmtId="0" fontId="11" fillId="4" borderId="107" xfId="0" applyFont="1" applyFill="1" applyBorder="1" applyAlignment="1">
      <alignment horizontal="center" vertical="center"/>
    </xf>
    <xf numFmtId="0" fontId="11" fillId="4" borderId="55" xfId="0" applyFont="1" applyFill="1" applyBorder="1" applyAlignment="1">
      <alignment horizontal="center" vertical="center" wrapText="1"/>
    </xf>
    <xf numFmtId="0" fontId="11" fillId="4" borderId="76" xfId="0" applyFont="1" applyFill="1" applyBorder="1" applyAlignment="1">
      <alignment horizontal="center" vertical="center" wrapText="1"/>
    </xf>
    <xf numFmtId="0" fontId="5" fillId="0" borderId="131" xfId="0" applyFont="1" applyBorder="1"/>
    <xf numFmtId="0" fontId="11" fillId="4" borderId="10" xfId="0" applyFont="1" applyFill="1" applyBorder="1" applyAlignment="1">
      <alignment horizontal="center" vertical="center" wrapText="1"/>
    </xf>
    <xf numFmtId="0" fontId="5" fillId="0" borderId="130" xfId="0" applyFont="1" applyBorder="1"/>
    <xf numFmtId="0" fontId="11" fillId="4" borderId="128" xfId="0" applyFont="1" applyFill="1" applyBorder="1" applyAlignment="1">
      <alignment horizontal="center" vertical="center" wrapText="1"/>
    </xf>
    <xf numFmtId="0" fontId="5" fillId="0" borderId="132" xfId="0" applyFont="1" applyBorder="1"/>
    <xf numFmtId="0" fontId="11" fillId="4" borderId="129" xfId="0" applyFont="1" applyFill="1" applyBorder="1" applyAlignment="1">
      <alignment horizontal="center" vertical="center" wrapText="1"/>
    </xf>
    <xf numFmtId="0" fontId="5" fillId="0" borderId="133" xfId="0" applyFont="1" applyBorder="1"/>
    <xf numFmtId="0" fontId="11" fillId="4" borderId="64" xfId="0" applyFont="1" applyFill="1" applyBorder="1" applyAlignment="1">
      <alignment horizontal="center" vertical="center" wrapText="1"/>
    </xf>
    <xf numFmtId="0" fontId="5" fillId="0" borderId="134" xfId="0" applyFont="1" applyBorder="1"/>
    <xf numFmtId="0" fontId="6" fillId="0" borderId="0" xfId="0" applyFont="1" applyAlignment="1">
      <alignment horizontal="left" vertical="center" wrapText="1"/>
    </xf>
    <xf numFmtId="0" fontId="11" fillId="4" borderId="64" xfId="0" applyFont="1" applyFill="1" applyBorder="1" applyAlignment="1">
      <alignment horizontal="center" vertical="center"/>
    </xf>
    <xf numFmtId="0" fontId="11" fillId="4" borderId="73" xfId="0" applyFont="1" applyFill="1" applyBorder="1" applyAlignment="1">
      <alignment horizontal="center" vertical="center"/>
    </xf>
    <xf numFmtId="0" fontId="5" fillId="0" borderId="136" xfId="0" applyFont="1" applyBorder="1"/>
    <xf numFmtId="0" fontId="11" fillId="4" borderId="73" xfId="0" applyFont="1" applyFill="1" applyBorder="1" applyAlignment="1">
      <alignment horizontal="center" vertical="center" wrapText="1"/>
    </xf>
    <xf numFmtId="0" fontId="11" fillId="4" borderId="76" xfId="0" applyFont="1" applyFill="1" applyBorder="1" applyAlignment="1">
      <alignment horizontal="center" vertical="center"/>
    </xf>
    <xf numFmtId="0" fontId="11" fillId="0" borderId="70" xfId="0" applyFont="1" applyBorder="1" applyAlignment="1">
      <alignment horizontal="left" vertical="center" wrapText="1"/>
    </xf>
    <xf numFmtId="0" fontId="5" fillId="0" borderId="98" xfId="0" applyFont="1" applyBorder="1"/>
    <xf numFmtId="0" fontId="5" fillId="0" borderId="99" xfId="0" applyFont="1" applyBorder="1"/>
    <xf numFmtId="0" fontId="11" fillId="11" borderId="11" xfId="0" applyFont="1" applyFill="1" applyBorder="1" applyAlignment="1">
      <alignment horizontal="center" vertical="center"/>
    </xf>
    <xf numFmtId="0" fontId="11" fillId="11" borderId="55" xfId="0" applyFont="1" applyFill="1" applyBorder="1" applyAlignment="1">
      <alignment horizontal="center" vertical="center"/>
    </xf>
    <xf numFmtId="0" fontId="11" fillId="0" borderId="55" xfId="0" applyFont="1" applyBorder="1" applyAlignment="1">
      <alignment horizontal="right" vertical="center"/>
    </xf>
    <xf numFmtId="0" fontId="11" fillId="0" borderId="55" xfId="0" applyFont="1" applyBorder="1" applyAlignment="1">
      <alignment horizontal="center" vertical="center"/>
    </xf>
    <xf numFmtId="0" fontId="16" fillId="0" borderId="68" xfId="0" applyFont="1" applyBorder="1" applyAlignment="1">
      <alignment horizontal="center" vertical="center" wrapText="1"/>
    </xf>
    <xf numFmtId="173" fontId="11" fillId="4" borderId="55" xfId="0" applyNumberFormat="1" applyFont="1" applyFill="1" applyBorder="1" applyAlignment="1">
      <alignment horizontal="center" vertical="center" wrapText="1"/>
    </xf>
    <xf numFmtId="0" fontId="4" fillId="0" borderId="139" xfId="0" applyFont="1" applyBorder="1" applyAlignment="1">
      <alignment horizontal="center" vertical="center"/>
    </xf>
    <xf numFmtId="0" fontId="5" fillId="0" borderId="140" xfId="0" applyFont="1" applyBorder="1"/>
    <xf numFmtId="0" fontId="5" fillId="0" borderId="141" xfId="0" applyFont="1" applyBorder="1"/>
    <xf numFmtId="0" fontId="11" fillId="4" borderId="107" xfId="0" applyFont="1" applyFill="1" applyBorder="1" applyAlignment="1">
      <alignment horizontal="center" vertical="center" wrapText="1"/>
    </xf>
    <xf numFmtId="0" fontId="4" fillId="0" borderId="5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295275</xdr:colOff>
      <xdr:row>17</xdr:row>
      <xdr:rowOff>114300</xdr:rowOff>
    </xdr:from>
    <xdr:ext cx="4562475" cy="1285875"/>
    <xdr:sp macro="" textlink="">
      <xdr:nvSpPr>
        <xdr:cNvPr id="2" name="CuadroTexto 1">
          <a:extLst>
            <a:ext uri="{FF2B5EF4-FFF2-40B4-BE49-F238E27FC236}">
              <a16:creationId xmlns:a16="http://schemas.microsoft.com/office/drawing/2014/main" id="{00000000-0008-0000-0600-000002000000}"/>
            </a:ext>
          </a:extLst>
        </xdr:cNvPr>
        <xdr:cNvSpPr txBox="1"/>
      </xdr:nvSpPr>
      <xdr:spPr>
        <a:xfrm rot="19330333">
          <a:off x="2346819" y="3749113"/>
          <a:ext cx="4553576" cy="1432226"/>
        </a:xfrm>
        <a:prstGeom prst="rect">
          <a:avLst/>
        </a:prstGeom>
        <a:solidFill>
          <a:schemeClr val="lt1"/>
        </a:solidFill>
        <a:ln w="25400" cap="flat" cmpd="sng" algn="ctr">
          <a:solidFill>
            <a:schemeClr val="accent1"/>
          </a:solidFill>
          <a:prstDash val="soli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lvl="0" algn="ctr"/>
          <a:r>
            <a:rPr lang="es-PE" sz="4000">
              <a:solidFill>
                <a:srgbClr val="0070C0"/>
              </a:solidFill>
              <a:latin typeface="Arial" panose="020B0604020202020204" pitchFamily="34" charset="0"/>
              <a:cs typeface="Arial" panose="020B0604020202020204" pitchFamily="34" charset="0"/>
            </a:rPr>
            <a:t>NO APLICA</a:t>
          </a: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200025</xdr:colOff>
      <xdr:row>115</xdr:row>
      <xdr:rowOff>190500</xdr:rowOff>
    </xdr:from>
    <xdr:ext cx="9953625" cy="1447800"/>
    <xdr:sp macro="" textlink="">
      <xdr:nvSpPr>
        <xdr:cNvPr id="2" name="Rectángulo 1">
          <a:extLst>
            <a:ext uri="{FF2B5EF4-FFF2-40B4-BE49-F238E27FC236}">
              <a16:creationId xmlns:a16="http://schemas.microsoft.com/office/drawing/2014/main" id="{00000000-0008-0000-0B00-000002000000}"/>
            </a:ext>
          </a:extLst>
        </xdr:cNvPr>
        <xdr:cNvSpPr/>
      </xdr:nvSpPr>
      <xdr:spPr>
        <a:xfrm>
          <a:off x="7600949" y="21536025"/>
          <a:ext cx="9957075" cy="1450729"/>
        </a:xfrm>
        <a:prstGeom prst="rect">
          <a:avLst/>
        </a:prstGeom>
        <a:noFill/>
      </xdr:spPr>
      <xdr:txBody>
        <a:bodyPr wrap="square" lIns="91440" tIns="45720" rIns="91440" bIns="45720">
          <a:noAutofit/>
        </a:bodyPr>
        <a:lstStyle/>
        <a:p>
          <a:pPr lvl="0" algn="ctr"/>
          <a:r>
            <a:rPr lang="es-ES" sz="80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rPr>
            <a:t>NO APLICABLE</a:t>
          </a:r>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U100"/>
  <sheetViews>
    <sheetView showGridLines="0" tabSelected="1" workbookViewId="0"/>
  </sheetViews>
  <sheetFormatPr baseColWidth="10" defaultColWidth="14.42578125" defaultRowHeight="15" customHeight="1" x14ac:dyDescent="0.2"/>
  <cols>
    <col min="1" max="1" width="19.85546875" customWidth="1"/>
    <col min="2" max="2" width="69.85546875" customWidth="1"/>
    <col min="3" max="5" width="8.7109375" customWidth="1"/>
    <col min="6" max="21" width="11.42578125" customWidth="1"/>
  </cols>
  <sheetData>
    <row r="1" spans="1:21" ht="12.75" customHeight="1" x14ac:dyDescent="0.2">
      <c r="A1" s="1" t="s">
        <v>0</v>
      </c>
      <c r="B1" s="2"/>
      <c r="C1" s="3"/>
      <c r="D1" s="3"/>
      <c r="E1" s="3"/>
      <c r="F1" s="4"/>
      <c r="G1" s="4"/>
      <c r="H1" s="4"/>
      <c r="I1" s="4"/>
      <c r="J1" s="4"/>
      <c r="K1" s="4"/>
      <c r="L1" s="4"/>
      <c r="M1" s="4"/>
      <c r="N1" s="4"/>
      <c r="O1" s="4"/>
      <c r="P1" s="4"/>
      <c r="Q1" s="4"/>
      <c r="R1" s="4"/>
      <c r="S1" s="4"/>
      <c r="T1" s="4"/>
      <c r="U1" s="4"/>
    </row>
    <row r="2" spans="1:21" ht="12.75" customHeight="1" x14ac:dyDescent="0.2">
      <c r="A2" s="5"/>
      <c r="B2" s="6"/>
      <c r="C2" s="5"/>
      <c r="D2" s="5"/>
      <c r="E2" s="5"/>
      <c r="F2" s="5"/>
      <c r="G2" s="5"/>
      <c r="H2" s="5"/>
      <c r="I2" s="5"/>
      <c r="J2" s="5"/>
      <c r="K2" s="5"/>
      <c r="L2" s="5"/>
      <c r="M2" s="5"/>
      <c r="N2" s="5"/>
      <c r="O2" s="5"/>
      <c r="P2" s="5"/>
      <c r="Q2" s="5"/>
      <c r="R2" s="5"/>
      <c r="S2" s="5"/>
      <c r="T2" s="5"/>
      <c r="U2" s="5"/>
    </row>
    <row r="3" spans="1:21" ht="12.75" customHeight="1" x14ac:dyDescent="0.2">
      <c r="A3" s="7" t="s">
        <v>1</v>
      </c>
      <c r="B3" s="6"/>
      <c r="C3" s="5"/>
      <c r="D3" s="5"/>
      <c r="E3" s="5"/>
      <c r="F3" s="5"/>
      <c r="G3" s="5"/>
      <c r="H3" s="5"/>
      <c r="I3" s="5"/>
      <c r="J3" s="5"/>
      <c r="K3" s="5"/>
      <c r="L3" s="5"/>
      <c r="M3" s="5"/>
      <c r="N3" s="5"/>
      <c r="O3" s="5"/>
      <c r="P3" s="5"/>
      <c r="Q3" s="5"/>
      <c r="R3" s="5"/>
      <c r="S3" s="5"/>
      <c r="T3" s="5"/>
      <c r="U3" s="5"/>
    </row>
    <row r="4" spans="1:21" ht="12.75" customHeight="1" x14ac:dyDescent="0.2">
      <c r="A4" s="5"/>
      <c r="B4" s="6"/>
      <c r="C4" s="5"/>
      <c r="D4" s="5"/>
      <c r="E4" s="5"/>
      <c r="F4" s="5"/>
      <c r="G4" s="5"/>
      <c r="H4" s="5"/>
      <c r="I4" s="5"/>
      <c r="J4" s="5"/>
      <c r="K4" s="5"/>
      <c r="L4" s="5"/>
      <c r="M4" s="5"/>
      <c r="N4" s="5"/>
      <c r="O4" s="5"/>
      <c r="P4" s="5"/>
      <c r="Q4" s="5"/>
      <c r="R4" s="5"/>
      <c r="S4" s="5"/>
      <c r="T4" s="5"/>
      <c r="U4" s="5"/>
    </row>
    <row r="5" spans="1:21" ht="27" customHeight="1" x14ac:dyDescent="0.2">
      <c r="A5" s="8" t="s">
        <v>2</v>
      </c>
      <c r="B5" s="800" t="s">
        <v>3</v>
      </c>
      <c r="C5" s="801"/>
      <c r="D5" s="801"/>
      <c r="E5" s="802"/>
      <c r="F5" s="9"/>
      <c r="G5" s="9"/>
      <c r="H5" s="9"/>
      <c r="I5" s="9"/>
      <c r="J5" s="9"/>
      <c r="K5" s="9"/>
      <c r="L5" s="9"/>
      <c r="M5" s="9"/>
      <c r="N5" s="9"/>
      <c r="O5" s="9"/>
      <c r="P5" s="9"/>
      <c r="Q5" s="9"/>
      <c r="R5" s="9"/>
      <c r="S5" s="9"/>
      <c r="T5" s="9"/>
      <c r="U5" s="9"/>
    </row>
    <row r="6" spans="1:21" ht="12.75" customHeight="1" x14ac:dyDescent="0.2">
      <c r="A6" s="7"/>
      <c r="B6" s="10"/>
      <c r="C6" s="9"/>
      <c r="D6" s="9"/>
      <c r="E6" s="9"/>
      <c r="F6" s="5"/>
      <c r="G6" s="5"/>
      <c r="H6" s="5"/>
      <c r="I6" s="5"/>
      <c r="J6" s="5"/>
      <c r="K6" s="5"/>
      <c r="L6" s="5"/>
      <c r="M6" s="5"/>
      <c r="N6" s="5"/>
      <c r="O6" s="5"/>
      <c r="P6" s="5"/>
      <c r="Q6" s="5"/>
      <c r="R6" s="5"/>
      <c r="S6" s="5"/>
      <c r="T6" s="5"/>
      <c r="U6" s="5"/>
    </row>
    <row r="7" spans="1:21" ht="12.75" customHeight="1" x14ac:dyDescent="0.2">
      <c r="A7" s="7" t="s">
        <v>4</v>
      </c>
      <c r="B7" s="10"/>
      <c r="C7" s="9"/>
      <c r="D7" s="9"/>
      <c r="E7" s="9"/>
      <c r="F7" s="5"/>
      <c r="G7" s="5"/>
      <c r="H7" s="5"/>
      <c r="I7" s="5"/>
      <c r="J7" s="5"/>
      <c r="K7" s="5"/>
      <c r="L7" s="5"/>
      <c r="M7" s="5"/>
      <c r="N7" s="5"/>
      <c r="O7" s="5"/>
      <c r="P7" s="5"/>
      <c r="Q7" s="5"/>
      <c r="R7" s="5"/>
      <c r="S7" s="5"/>
      <c r="T7" s="5"/>
      <c r="U7" s="5"/>
    </row>
    <row r="8" spans="1:21" ht="12.75" customHeight="1" x14ac:dyDescent="0.2">
      <c r="A8" s="7"/>
      <c r="B8" s="10"/>
      <c r="C8" s="9"/>
      <c r="D8" s="9"/>
      <c r="E8" s="9"/>
      <c r="F8" s="5"/>
      <c r="G8" s="5"/>
      <c r="H8" s="5"/>
      <c r="I8" s="5"/>
      <c r="J8" s="5"/>
      <c r="K8" s="5"/>
      <c r="L8" s="5"/>
      <c r="M8" s="5"/>
      <c r="N8" s="5"/>
      <c r="O8" s="5"/>
      <c r="P8" s="5"/>
      <c r="Q8" s="5"/>
      <c r="R8" s="5"/>
      <c r="S8" s="5"/>
      <c r="T8" s="5"/>
      <c r="U8" s="5"/>
    </row>
    <row r="9" spans="1:21" ht="27" customHeight="1" x14ac:dyDescent="0.2">
      <c r="A9" s="8" t="s">
        <v>5</v>
      </c>
      <c r="B9" s="800" t="s">
        <v>6</v>
      </c>
      <c r="C9" s="801"/>
      <c r="D9" s="801"/>
      <c r="E9" s="802"/>
      <c r="F9" s="9"/>
      <c r="G9" s="9"/>
      <c r="H9" s="9"/>
      <c r="I9" s="9"/>
      <c r="J9" s="9"/>
      <c r="K9" s="9"/>
      <c r="L9" s="9"/>
      <c r="M9" s="9"/>
      <c r="N9" s="9"/>
      <c r="O9" s="9"/>
      <c r="P9" s="9"/>
      <c r="Q9" s="9"/>
      <c r="R9" s="9"/>
      <c r="S9" s="9"/>
      <c r="T9" s="9"/>
      <c r="U9" s="9"/>
    </row>
    <row r="10" spans="1:21" ht="27" customHeight="1" x14ac:dyDescent="0.2">
      <c r="A10" s="8" t="s">
        <v>7</v>
      </c>
      <c r="B10" s="800" t="s">
        <v>8</v>
      </c>
      <c r="C10" s="801"/>
      <c r="D10" s="801"/>
      <c r="E10" s="802"/>
      <c r="F10" s="9"/>
      <c r="G10" s="9"/>
      <c r="H10" s="9"/>
      <c r="I10" s="9"/>
      <c r="J10" s="9"/>
      <c r="K10" s="9"/>
      <c r="L10" s="9"/>
      <c r="M10" s="9"/>
      <c r="N10" s="9"/>
      <c r="O10" s="9"/>
      <c r="P10" s="9"/>
      <c r="Q10" s="9"/>
      <c r="R10" s="9"/>
      <c r="S10" s="9"/>
      <c r="T10" s="9"/>
      <c r="U10" s="9"/>
    </row>
    <row r="11" spans="1:21" ht="27" customHeight="1" x14ac:dyDescent="0.2">
      <c r="A11" s="8" t="s">
        <v>9</v>
      </c>
      <c r="B11" s="800" t="s">
        <v>10</v>
      </c>
      <c r="C11" s="801"/>
      <c r="D11" s="801"/>
      <c r="E11" s="802"/>
      <c r="F11" s="9"/>
      <c r="G11" s="9"/>
      <c r="H11" s="9"/>
      <c r="I11" s="9"/>
      <c r="J11" s="9"/>
      <c r="K11" s="9"/>
      <c r="L11" s="9"/>
      <c r="M11" s="9"/>
      <c r="N11" s="9"/>
      <c r="O11" s="9"/>
      <c r="P11" s="9"/>
      <c r="Q11" s="9"/>
      <c r="R11" s="9"/>
      <c r="S11" s="9"/>
      <c r="T11" s="9"/>
      <c r="U11" s="9"/>
    </row>
    <row r="12" spans="1:21" ht="27" customHeight="1" x14ac:dyDescent="0.2">
      <c r="A12" s="8" t="s">
        <v>11</v>
      </c>
      <c r="B12" s="800" t="s">
        <v>12</v>
      </c>
      <c r="C12" s="801"/>
      <c r="D12" s="801"/>
      <c r="E12" s="802"/>
      <c r="F12" s="9"/>
      <c r="G12" s="9"/>
      <c r="H12" s="9"/>
      <c r="I12" s="9"/>
      <c r="J12" s="9"/>
      <c r="K12" s="9"/>
      <c r="L12" s="9"/>
      <c r="M12" s="9"/>
      <c r="N12" s="9"/>
      <c r="O12" s="9"/>
      <c r="P12" s="9"/>
      <c r="Q12" s="9"/>
      <c r="R12" s="9"/>
      <c r="S12" s="9"/>
      <c r="T12" s="9"/>
      <c r="U12" s="9"/>
    </row>
    <row r="13" spans="1:21" ht="27" customHeight="1" x14ac:dyDescent="0.2">
      <c r="A13" s="8" t="s">
        <v>13</v>
      </c>
      <c r="B13" s="800" t="s">
        <v>14</v>
      </c>
      <c r="C13" s="801"/>
      <c r="D13" s="801"/>
      <c r="E13" s="802"/>
      <c r="F13" s="9"/>
      <c r="G13" s="9"/>
      <c r="H13" s="9"/>
      <c r="I13" s="9"/>
      <c r="J13" s="9"/>
      <c r="K13" s="9"/>
      <c r="L13" s="9"/>
      <c r="M13" s="9"/>
      <c r="N13" s="9"/>
      <c r="O13" s="9"/>
      <c r="P13" s="9"/>
      <c r="Q13" s="9"/>
      <c r="R13" s="9"/>
      <c r="S13" s="9"/>
      <c r="T13" s="9"/>
      <c r="U13" s="9"/>
    </row>
    <row r="14" spans="1:21" ht="27" customHeight="1" x14ac:dyDescent="0.2">
      <c r="A14" s="8" t="s">
        <v>15</v>
      </c>
      <c r="B14" s="800" t="s">
        <v>16</v>
      </c>
      <c r="C14" s="801"/>
      <c r="D14" s="801"/>
      <c r="E14" s="802"/>
      <c r="F14" s="9"/>
      <c r="G14" s="9"/>
      <c r="H14" s="9"/>
      <c r="I14" s="9"/>
      <c r="J14" s="9"/>
      <c r="K14" s="9"/>
      <c r="L14" s="9"/>
      <c r="M14" s="9"/>
      <c r="N14" s="9"/>
      <c r="O14" s="9"/>
      <c r="P14" s="9"/>
      <c r="Q14" s="9"/>
      <c r="R14" s="9"/>
      <c r="S14" s="9"/>
      <c r="T14" s="9"/>
      <c r="U14" s="9"/>
    </row>
    <row r="15" spans="1:21" ht="27" customHeight="1" x14ac:dyDescent="0.2">
      <c r="A15" s="8" t="s">
        <v>17</v>
      </c>
      <c r="B15" s="800" t="s">
        <v>18</v>
      </c>
      <c r="C15" s="801"/>
      <c r="D15" s="801"/>
      <c r="E15" s="802"/>
      <c r="F15" s="9"/>
      <c r="G15" s="9"/>
      <c r="H15" s="9"/>
      <c r="I15" s="9"/>
      <c r="J15" s="9"/>
      <c r="K15" s="9"/>
      <c r="L15" s="9"/>
      <c r="M15" s="9"/>
      <c r="N15" s="9"/>
      <c r="O15" s="9"/>
      <c r="P15" s="9"/>
      <c r="Q15" s="9"/>
      <c r="R15" s="9"/>
      <c r="S15" s="9"/>
      <c r="T15" s="9"/>
      <c r="U15" s="9"/>
    </row>
    <row r="16" spans="1:21" ht="12.75" customHeight="1" x14ac:dyDescent="0.2">
      <c r="A16" s="7"/>
      <c r="B16" s="10"/>
      <c r="C16" s="9"/>
      <c r="D16" s="9"/>
      <c r="E16" s="9"/>
      <c r="F16" s="5"/>
      <c r="G16" s="5"/>
      <c r="H16" s="5"/>
      <c r="I16" s="5"/>
      <c r="J16" s="5"/>
      <c r="K16" s="5"/>
      <c r="L16" s="5"/>
      <c r="M16" s="5"/>
      <c r="N16" s="5"/>
      <c r="O16" s="5"/>
      <c r="P16" s="5"/>
      <c r="Q16" s="5"/>
      <c r="R16" s="5"/>
      <c r="S16" s="5"/>
      <c r="T16" s="5"/>
      <c r="U16" s="5"/>
    </row>
    <row r="17" spans="1:21" ht="12.75" customHeight="1" x14ac:dyDescent="0.2">
      <c r="A17" s="7" t="s">
        <v>19</v>
      </c>
      <c r="B17" s="10"/>
      <c r="C17" s="9"/>
      <c r="D17" s="9"/>
      <c r="E17" s="9"/>
      <c r="F17" s="5"/>
      <c r="G17" s="5"/>
      <c r="H17" s="5"/>
      <c r="I17" s="5"/>
      <c r="J17" s="5"/>
      <c r="K17" s="5"/>
      <c r="L17" s="5"/>
      <c r="M17" s="5"/>
      <c r="N17" s="5"/>
      <c r="O17" s="5"/>
      <c r="P17" s="5"/>
      <c r="Q17" s="5"/>
      <c r="R17" s="5"/>
      <c r="S17" s="5"/>
      <c r="T17" s="5"/>
      <c r="U17" s="5"/>
    </row>
    <row r="18" spans="1:21" ht="12.75" customHeight="1" x14ac:dyDescent="0.2">
      <c r="A18" s="7"/>
      <c r="B18" s="10"/>
      <c r="C18" s="9"/>
      <c r="D18" s="9"/>
      <c r="E18" s="9"/>
      <c r="F18" s="5"/>
      <c r="G18" s="5"/>
      <c r="H18" s="5"/>
      <c r="I18" s="5"/>
      <c r="J18" s="5"/>
      <c r="K18" s="5"/>
      <c r="L18" s="5"/>
      <c r="M18" s="5"/>
      <c r="N18" s="5"/>
      <c r="O18" s="5"/>
      <c r="P18" s="5"/>
      <c r="Q18" s="5"/>
      <c r="R18" s="5"/>
      <c r="S18" s="5"/>
      <c r="T18" s="5"/>
      <c r="U18" s="5"/>
    </row>
    <row r="19" spans="1:21" ht="27" customHeight="1" x14ac:dyDescent="0.2">
      <c r="A19" s="8" t="s">
        <v>20</v>
      </c>
      <c r="B19" s="800" t="s">
        <v>21</v>
      </c>
      <c r="C19" s="801"/>
      <c r="D19" s="801"/>
      <c r="E19" s="802"/>
      <c r="F19" s="9"/>
      <c r="G19" s="9"/>
      <c r="H19" s="9"/>
      <c r="I19" s="9"/>
      <c r="J19" s="9"/>
      <c r="K19" s="9"/>
      <c r="L19" s="9"/>
      <c r="M19" s="9"/>
      <c r="N19" s="9"/>
      <c r="O19" s="9"/>
      <c r="P19" s="9"/>
      <c r="Q19" s="9"/>
      <c r="R19" s="9"/>
      <c r="S19" s="9"/>
      <c r="T19" s="9"/>
      <c r="U19" s="9"/>
    </row>
    <row r="20" spans="1:21" ht="27" customHeight="1" x14ac:dyDescent="0.2">
      <c r="A20" s="8" t="s">
        <v>22</v>
      </c>
      <c r="B20" s="800" t="s">
        <v>23</v>
      </c>
      <c r="C20" s="801"/>
      <c r="D20" s="801"/>
      <c r="E20" s="802"/>
      <c r="F20" s="9"/>
      <c r="G20" s="9"/>
      <c r="H20" s="9"/>
      <c r="I20" s="9"/>
      <c r="J20" s="9"/>
      <c r="K20" s="9"/>
      <c r="L20" s="9"/>
      <c r="M20" s="9"/>
      <c r="N20" s="9"/>
      <c r="O20" s="9"/>
      <c r="P20" s="9"/>
      <c r="Q20" s="9"/>
      <c r="R20" s="9"/>
      <c r="S20" s="9"/>
      <c r="T20" s="9"/>
      <c r="U20" s="9"/>
    </row>
    <row r="21" spans="1:21" ht="27" customHeight="1" x14ac:dyDescent="0.2">
      <c r="A21" s="8" t="s">
        <v>24</v>
      </c>
      <c r="B21" s="800" t="s">
        <v>25</v>
      </c>
      <c r="C21" s="801"/>
      <c r="D21" s="801"/>
      <c r="E21" s="802"/>
      <c r="F21" s="9"/>
      <c r="G21" s="9"/>
      <c r="H21" s="9"/>
      <c r="I21" s="9"/>
      <c r="J21" s="9"/>
      <c r="K21" s="9"/>
      <c r="L21" s="9"/>
      <c r="M21" s="9"/>
      <c r="N21" s="9"/>
      <c r="O21" s="9"/>
      <c r="P21" s="9"/>
      <c r="Q21" s="9"/>
      <c r="R21" s="9"/>
      <c r="S21" s="9"/>
      <c r="T21" s="9"/>
      <c r="U21" s="9"/>
    </row>
    <row r="22" spans="1:21" ht="12.75" customHeight="1" x14ac:dyDescent="0.2">
      <c r="A22" s="7"/>
      <c r="B22" s="10"/>
      <c r="C22" s="9"/>
      <c r="D22" s="9"/>
      <c r="E22" s="9"/>
      <c r="F22" s="5"/>
      <c r="G22" s="5"/>
      <c r="H22" s="5"/>
      <c r="I22" s="5"/>
      <c r="J22" s="5"/>
      <c r="K22" s="5"/>
      <c r="L22" s="5"/>
      <c r="M22" s="5"/>
      <c r="N22" s="5"/>
      <c r="O22" s="5"/>
      <c r="P22" s="5"/>
      <c r="Q22" s="5"/>
      <c r="R22" s="5"/>
      <c r="S22" s="5"/>
      <c r="T22" s="5"/>
      <c r="U22" s="5"/>
    </row>
    <row r="23" spans="1:21" ht="12.75" customHeight="1" x14ac:dyDescent="0.2">
      <c r="A23" s="7" t="s">
        <v>26</v>
      </c>
      <c r="B23" s="10"/>
      <c r="C23" s="9"/>
      <c r="D23" s="9"/>
      <c r="E23" s="9"/>
      <c r="F23" s="5"/>
      <c r="G23" s="5"/>
      <c r="H23" s="5"/>
      <c r="I23" s="5"/>
      <c r="J23" s="5"/>
      <c r="K23" s="5"/>
      <c r="L23" s="5"/>
      <c r="M23" s="5"/>
      <c r="N23" s="5"/>
      <c r="O23" s="5"/>
      <c r="P23" s="5"/>
      <c r="Q23" s="5"/>
      <c r="R23" s="5"/>
      <c r="S23" s="5"/>
      <c r="T23" s="5"/>
      <c r="U23" s="5"/>
    </row>
    <row r="24" spans="1:21" ht="12.75" customHeight="1" x14ac:dyDescent="0.2">
      <c r="A24" s="7"/>
      <c r="B24" s="10"/>
      <c r="C24" s="9"/>
      <c r="D24" s="9"/>
      <c r="E24" s="9"/>
      <c r="F24" s="5"/>
      <c r="G24" s="5"/>
      <c r="H24" s="5"/>
      <c r="I24" s="5"/>
      <c r="J24" s="5"/>
      <c r="K24" s="5"/>
      <c r="L24" s="5"/>
      <c r="M24" s="5"/>
      <c r="N24" s="5"/>
      <c r="O24" s="5"/>
      <c r="P24" s="5"/>
      <c r="Q24" s="5"/>
      <c r="R24" s="5"/>
      <c r="S24" s="5"/>
      <c r="T24" s="5"/>
      <c r="U24" s="5"/>
    </row>
    <row r="25" spans="1:21" ht="27" customHeight="1" x14ac:dyDescent="0.2">
      <c r="A25" s="8" t="s">
        <v>27</v>
      </c>
      <c r="B25" s="800" t="s">
        <v>28</v>
      </c>
      <c r="C25" s="801"/>
      <c r="D25" s="801"/>
      <c r="E25" s="802"/>
      <c r="F25" s="9"/>
      <c r="G25" s="9"/>
      <c r="H25" s="9"/>
      <c r="I25" s="9"/>
      <c r="J25" s="9"/>
      <c r="K25" s="9"/>
      <c r="L25" s="9"/>
      <c r="M25" s="9"/>
      <c r="N25" s="9"/>
      <c r="O25" s="9"/>
      <c r="P25" s="9"/>
      <c r="Q25" s="9"/>
      <c r="R25" s="9"/>
      <c r="S25" s="9"/>
      <c r="T25" s="9"/>
      <c r="U25" s="9"/>
    </row>
    <row r="26" spans="1:21" ht="27" customHeight="1" x14ac:dyDescent="0.2">
      <c r="A26" s="8" t="s">
        <v>29</v>
      </c>
      <c r="B26" s="800" t="s">
        <v>30</v>
      </c>
      <c r="C26" s="801"/>
      <c r="D26" s="801"/>
      <c r="E26" s="802"/>
      <c r="F26" s="9"/>
      <c r="G26" s="9"/>
      <c r="H26" s="9"/>
      <c r="I26" s="9"/>
      <c r="J26" s="9"/>
      <c r="K26" s="9"/>
      <c r="L26" s="9"/>
      <c r="M26" s="9"/>
      <c r="N26" s="9"/>
      <c r="O26" s="9"/>
      <c r="P26" s="9"/>
      <c r="Q26" s="9"/>
      <c r="R26" s="9"/>
      <c r="S26" s="9"/>
      <c r="T26" s="9"/>
      <c r="U26" s="9"/>
    </row>
    <row r="27" spans="1:21" ht="27" customHeight="1" x14ac:dyDescent="0.2">
      <c r="A27" s="8" t="s">
        <v>31</v>
      </c>
      <c r="B27" s="800" t="s">
        <v>32</v>
      </c>
      <c r="C27" s="801"/>
      <c r="D27" s="801"/>
      <c r="E27" s="802"/>
      <c r="F27" s="9"/>
      <c r="G27" s="9"/>
      <c r="H27" s="9"/>
      <c r="I27" s="9"/>
      <c r="J27" s="9"/>
      <c r="K27" s="9"/>
      <c r="L27" s="9"/>
      <c r="M27" s="9"/>
      <c r="N27" s="9"/>
      <c r="O27" s="9"/>
      <c r="P27" s="9"/>
      <c r="Q27" s="9"/>
      <c r="R27" s="9"/>
      <c r="S27" s="9"/>
      <c r="T27" s="9"/>
      <c r="U27" s="9"/>
    </row>
    <row r="28" spans="1:21" ht="27" customHeight="1" x14ac:dyDescent="0.2">
      <c r="A28" s="8" t="s">
        <v>33</v>
      </c>
      <c r="B28" s="800" t="s">
        <v>34</v>
      </c>
      <c r="C28" s="801"/>
      <c r="D28" s="801"/>
      <c r="E28" s="802"/>
      <c r="F28" s="9"/>
      <c r="G28" s="9"/>
      <c r="H28" s="9"/>
      <c r="I28" s="9"/>
      <c r="J28" s="9"/>
      <c r="K28" s="9"/>
      <c r="L28" s="9"/>
      <c r="M28" s="9"/>
      <c r="N28" s="9"/>
      <c r="O28" s="9"/>
      <c r="P28" s="9"/>
      <c r="Q28" s="9"/>
      <c r="R28" s="9"/>
      <c r="S28" s="9"/>
      <c r="T28" s="9"/>
      <c r="U28" s="9"/>
    </row>
    <row r="29" spans="1:21" ht="27" customHeight="1" x14ac:dyDescent="0.2">
      <c r="A29" s="8" t="s">
        <v>35</v>
      </c>
      <c r="B29" s="800" t="s">
        <v>36</v>
      </c>
      <c r="C29" s="801"/>
      <c r="D29" s="801"/>
      <c r="E29" s="802"/>
      <c r="F29" s="9"/>
      <c r="G29" s="9"/>
      <c r="H29" s="9"/>
      <c r="I29" s="9"/>
      <c r="J29" s="9"/>
      <c r="K29" s="9"/>
      <c r="L29" s="9"/>
      <c r="M29" s="9"/>
      <c r="N29" s="9"/>
      <c r="O29" s="9"/>
      <c r="P29" s="9"/>
      <c r="Q29" s="9"/>
      <c r="R29" s="9"/>
      <c r="S29" s="9"/>
      <c r="T29" s="9"/>
      <c r="U29" s="9"/>
    </row>
    <row r="30" spans="1:21" ht="12.75" customHeight="1" x14ac:dyDescent="0.2">
      <c r="A30" s="7"/>
      <c r="B30" s="10"/>
      <c r="C30" s="9"/>
      <c r="D30" s="9"/>
      <c r="E30" s="9"/>
      <c r="F30" s="5"/>
      <c r="G30" s="5"/>
      <c r="H30" s="5"/>
      <c r="I30" s="5"/>
      <c r="J30" s="5"/>
      <c r="K30" s="5"/>
      <c r="L30" s="5"/>
      <c r="M30" s="5"/>
      <c r="N30" s="5"/>
      <c r="O30" s="5"/>
      <c r="P30" s="5"/>
      <c r="Q30" s="5"/>
      <c r="R30" s="5"/>
      <c r="S30" s="5"/>
      <c r="T30" s="5"/>
      <c r="U30" s="5"/>
    </row>
    <row r="31" spans="1:21" ht="12.75" customHeight="1" x14ac:dyDescent="0.2">
      <c r="A31" s="7" t="s">
        <v>37</v>
      </c>
      <c r="B31" s="10"/>
      <c r="C31" s="9"/>
      <c r="D31" s="9"/>
      <c r="E31" s="9"/>
      <c r="F31" s="5"/>
      <c r="G31" s="5"/>
      <c r="H31" s="5"/>
      <c r="I31" s="5"/>
      <c r="J31" s="5"/>
      <c r="K31" s="5"/>
      <c r="L31" s="5"/>
      <c r="M31" s="5"/>
      <c r="N31" s="5"/>
      <c r="O31" s="5"/>
      <c r="P31" s="5"/>
      <c r="Q31" s="5"/>
      <c r="R31" s="5"/>
      <c r="S31" s="5"/>
      <c r="T31" s="5"/>
      <c r="U31" s="5"/>
    </row>
    <row r="32" spans="1:21" ht="12.75" customHeight="1" x14ac:dyDescent="0.2">
      <c r="A32" s="7"/>
      <c r="B32" s="10"/>
      <c r="C32" s="9"/>
      <c r="D32" s="9"/>
      <c r="E32" s="9"/>
      <c r="F32" s="5"/>
      <c r="G32" s="5"/>
      <c r="H32" s="5"/>
      <c r="I32" s="5"/>
      <c r="J32" s="5"/>
      <c r="K32" s="5"/>
      <c r="L32" s="5"/>
      <c r="M32" s="5"/>
      <c r="N32" s="5"/>
      <c r="O32" s="5"/>
      <c r="P32" s="5"/>
      <c r="Q32" s="5"/>
      <c r="R32" s="5"/>
      <c r="S32" s="5"/>
      <c r="T32" s="5"/>
      <c r="U32" s="5"/>
    </row>
    <row r="33" spans="1:21" ht="27" customHeight="1" x14ac:dyDescent="0.2">
      <c r="A33" s="8" t="s">
        <v>38</v>
      </c>
      <c r="B33" s="800" t="s">
        <v>39</v>
      </c>
      <c r="C33" s="801"/>
      <c r="D33" s="801"/>
      <c r="E33" s="802"/>
      <c r="F33" s="9"/>
      <c r="G33" s="9"/>
      <c r="H33" s="9"/>
      <c r="I33" s="9"/>
      <c r="J33" s="9"/>
      <c r="K33" s="9"/>
      <c r="L33" s="9"/>
      <c r="M33" s="9"/>
      <c r="N33" s="9"/>
      <c r="O33" s="9"/>
      <c r="P33" s="9"/>
      <c r="Q33" s="9"/>
      <c r="R33" s="9"/>
      <c r="S33" s="9"/>
      <c r="T33" s="9"/>
      <c r="U33" s="9"/>
    </row>
    <row r="34" spans="1:21" ht="27" customHeight="1" x14ac:dyDescent="0.2">
      <c r="A34" s="8" t="s">
        <v>40</v>
      </c>
      <c r="B34" s="800" t="s">
        <v>41</v>
      </c>
      <c r="C34" s="801"/>
      <c r="D34" s="801"/>
      <c r="E34" s="802"/>
      <c r="F34" s="9"/>
      <c r="G34" s="9"/>
      <c r="H34" s="9"/>
      <c r="I34" s="9"/>
      <c r="J34" s="9"/>
      <c r="K34" s="9"/>
      <c r="L34" s="9"/>
      <c r="M34" s="9"/>
      <c r="N34" s="9"/>
      <c r="O34" s="9"/>
      <c r="P34" s="9"/>
      <c r="Q34" s="9"/>
      <c r="R34" s="9"/>
      <c r="S34" s="9"/>
      <c r="T34" s="9"/>
      <c r="U34" s="9"/>
    </row>
    <row r="35" spans="1:21" ht="12.75" customHeight="1" x14ac:dyDescent="0.2">
      <c r="A35" s="5"/>
      <c r="B35" s="6"/>
      <c r="C35" s="5"/>
      <c r="D35" s="5"/>
      <c r="E35" s="5"/>
      <c r="F35" s="5"/>
      <c r="G35" s="5"/>
      <c r="H35" s="5"/>
      <c r="I35" s="5"/>
      <c r="J35" s="5"/>
      <c r="K35" s="5"/>
      <c r="L35" s="5"/>
      <c r="M35" s="5"/>
      <c r="N35" s="5"/>
      <c r="O35" s="5"/>
      <c r="P35" s="5"/>
      <c r="Q35" s="5"/>
      <c r="R35" s="5"/>
      <c r="S35" s="5"/>
      <c r="T35" s="5"/>
      <c r="U35" s="5"/>
    </row>
    <row r="36" spans="1:21" ht="12.75" customHeight="1" x14ac:dyDescent="0.2">
      <c r="A36" s="5"/>
      <c r="B36" s="6"/>
      <c r="C36" s="5"/>
      <c r="D36" s="5"/>
      <c r="E36" s="5"/>
      <c r="F36" s="5"/>
      <c r="G36" s="5"/>
      <c r="H36" s="5"/>
      <c r="I36" s="5"/>
      <c r="J36" s="5"/>
      <c r="K36" s="5"/>
      <c r="L36" s="5"/>
      <c r="M36" s="5"/>
      <c r="N36" s="5"/>
      <c r="O36" s="5"/>
      <c r="P36" s="5"/>
      <c r="Q36" s="5"/>
      <c r="R36" s="5"/>
      <c r="S36" s="5"/>
      <c r="T36" s="5"/>
      <c r="U36" s="5"/>
    </row>
    <row r="37" spans="1:21" ht="12.75" customHeight="1" x14ac:dyDescent="0.2">
      <c r="A37" s="5"/>
      <c r="B37" s="6"/>
      <c r="C37" s="5"/>
      <c r="D37" s="5"/>
      <c r="E37" s="5"/>
      <c r="F37" s="5"/>
      <c r="G37" s="5"/>
      <c r="H37" s="5"/>
      <c r="I37" s="5"/>
      <c r="J37" s="5"/>
      <c r="K37" s="5"/>
      <c r="L37" s="5"/>
      <c r="M37" s="5"/>
      <c r="N37" s="5"/>
      <c r="O37" s="5"/>
      <c r="P37" s="5"/>
      <c r="Q37" s="5"/>
      <c r="R37" s="5"/>
      <c r="S37" s="5"/>
      <c r="T37" s="5"/>
      <c r="U37" s="5"/>
    </row>
    <row r="38" spans="1:21" ht="12.75" customHeight="1" x14ac:dyDescent="0.2">
      <c r="A38" s="5"/>
      <c r="B38" s="6"/>
      <c r="C38" s="5"/>
      <c r="D38" s="5"/>
      <c r="E38" s="5"/>
      <c r="F38" s="5"/>
      <c r="G38" s="5"/>
      <c r="H38" s="5"/>
      <c r="I38" s="5"/>
      <c r="J38" s="5"/>
      <c r="K38" s="5"/>
      <c r="L38" s="5"/>
      <c r="M38" s="5"/>
      <c r="N38" s="5"/>
      <c r="O38" s="5"/>
      <c r="P38" s="5"/>
      <c r="Q38" s="5"/>
      <c r="R38" s="5"/>
      <c r="S38" s="5"/>
      <c r="T38" s="5"/>
      <c r="U38" s="5"/>
    </row>
    <row r="39" spans="1:21" ht="12.75" customHeight="1" x14ac:dyDescent="0.2">
      <c r="A39" s="5"/>
      <c r="B39" s="6"/>
      <c r="C39" s="5"/>
      <c r="D39" s="5"/>
      <c r="E39" s="5"/>
      <c r="F39" s="5"/>
      <c r="G39" s="5"/>
      <c r="H39" s="5"/>
      <c r="I39" s="5"/>
      <c r="J39" s="5"/>
      <c r="K39" s="5"/>
      <c r="L39" s="5"/>
      <c r="M39" s="5"/>
      <c r="N39" s="5"/>
      <c r="O39" s="5"/>
      <c r="P39" s="5"/>
      <c r="Q39" s="5"/>
      <c r="R39" s="5"/>
      <c r="S39" s="5"/>
      <c r="T39" s="5"/>
      <c r="U39" s="5"/>
    </row>
    <row r="40" spans="1:21" ht="12.75" customHeight="1" x14ac:dyDescent="0.2">
      <c r="A40" s="5"/>
      <c r="B40" s="6"/>
      <c r="C40" s="5"/>
      <c r="D40" s="5"/>
      <c r="E40" s="5"/>
      <c r="F40" s="5"/>
      <c r="G40" s="5"/>
      <c r="H40" s="5"/>
      <c r="I40" s="5"/>
      <c r="J40" s="5"/>
      <c r="K40" s="5"/>
      <c r="L40" s="5"/>
      <c r="M40" s="5"/>
      <c r="N40" s="5"/>
      <c r="O40" s="5"/>
      <c r="P40" s="5"/>
      <c r="Q40" s="5"/>
      <c r="R40" s="5"/>
      <c r="S40" s="5"/>
      <c r="T40" s="5"/>
      <c r="U40" s="5"/>
    </row>
    <row r="41" spans="1:21" ht="12.75" customHeight="1" x14ac:dyDescent="0.2">
      <c r="A41" s="5"/>
      <c r="B41" s="6"/>
      <c r="C41" s="5"/>
      <c r="D41" s="5"/>
      <c r="E41" s="5"/>
      <c r="F41" s="5"/>
      <c r="G41" s="5"/>
      <c r="H41" s="5"/>
      <c r="I41" s="5"/>
      <c r="J41" s="5"/>
      <c r="K41" s="5"/>
      <c r="L41" s="5"/>
      <c r="M41" s="5"/>
      <c r="N41" s="5"/>
      <c r="O41" s="5"/>
      <c r="P41" s="5"/>
      <c r="Q41" s="5"/>
      <c r="R41" s="5"/>
      <c r="S41" s="5"/>
      <c r="T41" s="5"/>
      <c r="U41" s="5"/>
    </row>
    <row r="42" spans="1:21" ht="12.75" customHeight="1" x14ac:dyDescent="0.2">
      <c r="A42" s="5"/>
      <c r="B42" s="6"/>
      <c r="C42" s="5"/>
      <c r="D42" s="5"/>
      <c r="E42" s="5"/>
      <c r="F42" s="5"/>
      <c r="G42" s="5"/>
      <c r="H42" s="5"/>
      <c r="I42" s="5"/>
      <c r="J42" s="5"/>
      <c r="K42" s="5"/>
      <c r="L42" s="5"/>
      <c r="M42" s="5"/>
      <c r="N42" s="5"/>
      <c r="O42" s="5"/>
      <c r="P42" s="5"/>
      <c r="Q42" s="5"/>
      <c r="R42" s="5"/>
      <c r="S42" s="5"/>
      <c r="T42" s="5"/>
      <c r="U42" s="5"/>
    </row>
    <row r="43" spans="1:21" ht="12.75" customHeight="1" x14ac:dyDescent="0.2">
      <c r="A43" s="5"/>
      <c r="B43" s="6"/>
      <c r="C43" s="5"/>
      <c r="D43" s="5"/>
      <c r="E43" s="5"/>
      <c r="F43" s="5"/>
      <c r="G43" s="5"/>
      <c r="H43" s="5"/>
      <c r="I43" s="5"/>
      <c r="J43" s="5"/>
      <c r="K43" s="5"/>
      <c r="L43" s="5"/>
      <c r="M43" s="5"/>
      <c r="N43" s="5"/>
      <c r="O43" s="5"/>
      <c r="P43" s="5"/>
      <c r="Q43" s="5"/>
      <c r="R43" s="5"/>
      <c r="S43" s="5"/>
      <c r="T43" s="5"/>
      <c r="U43" s="5"/>
    </row>
    <row r="44" spans="1:21" ht="12.75" customHeight="1" x14ac:dyDescent="0.2">
      <c r="A44" s="5"/>
      <c r="B44" s="6"/>
      <c r="C44" s="5"/>
      <c r="D44" s="5"/>
      <c r="E44" s="5"/>
      <c r="F44" s="5"/>
      <c r="G44" s="5"/>
      <c r="H44" s="5"/>
      <c r="I44" s="5"/>
      <c r="J44" s="5"/>
      <c r="K44" s="5"/>
      <c r="L44" s="5"/>
      <c r="M44" s="5"/>
      <c r="N44" s="5"/>
      <c r="O44" s="5"/>
      <c r="P44" s="5"/>
      <c r="Q44" s="5"/>
      <c r="R44" s="5"/>
      <c r="S44" s="5"/>
      <c r="T44" s="5"/>
      <c r="U44" s="5"/>
    </row>
    <row r="45" spans="1:21" ht="12.75" customHeight="1" x14ac:dyDescent="0.2">
      <c r="A45" s="5"/>
      <c r="B45" s="6"/>
      <c r="C45" s="5"/>
      <c r="D45" s="5"/>
      <c r="E45" s="5"/>
      <c r="F45" s="5"/>
      <c r="G45" s="5"/>
      <c r="H45" s="5"/>
      <c r="I45" s="5"/>
      <c r="J45" s="5"/>
      <c r="K45" s="5"/>
      <c r="L45" s="5"/>
      <c r="M45" s="5"/>
      <c r="N45" s="5"/>
      <c r="O45" s="5"/>
      <c r="P45" s="5"/>
      <c r="Q45" s="5"/>
      <c r="R45" s="5"/>
      <c r="S45" s="5"/>
      <c r="T45" s="5"/>
      <c r="U45" s="5"/>
    </row>
    <row r="46" spans="1:21" ht="12.75" customHeight="1" x14ac:dyDescent="0.2">
      <c r="A46" s="5"/>
      <c r="B46" s="6"/>
      <c r="C46" s="5"/>
      <c r="D46" s="5"/>
      <c r="E46" s="5"/>
      <c r="F46" s="5"/>
      <c r="G46" s="5"/>
      <c r="H46" s="5"/>
      <c r="I46" s="5"/>
      <c r="J46" s="5"/>
      <c r="K46" s="5"/>
      <c r="L46" s="5"/>
      <c r="M46" s="5"/>
      <c r="N46" s="5"/>
      <c r="O46" s="5"/>
      <c r="P46" s="5"/>
      <c r="Q46" s="5"/>
      <c r="R46" s="5"/>
      <c r="S46" s="5"/>
      <c r="T46" s="5"/>
      <c r="U46" s="5"/>
    </row>
    <row r="47" spans="1:21" ht="12.75" customHeight="1" x14ac:dyDescent="0.2">
      <c r="A47" s="5"/>
      <c r="B47" s="6"/>
      <c r="C47" s="5"/>
      <c r="D47" s="5"/>
      <c r="E47" s="5"/>
      <c r="F47" s="5"/>
      <c r="G47" s="5"/>
      <c r="H47" s="5"/>
      <c r="I47" s="5"/>
      <c r="J47" s="5"/>
      <c r="K47" s="5"/>
      <c r="L47" s="5"/>
      <c r="M47" s="5"/>
      <c r="N47" s="5"/>
      <c r="O47" s="5"/>
      <c r="P47" s="5"/>
      <c r="Q47" s="5"/>
      <c r="R47" s="5"/>
      <c r="S47" s="5"/>
      <c r="T47" s="5"/>
      <c r="U47" s="5"/>
    </row>
    <row r="48" spans="1:21" ht="12.75" customHeight="1" x14ac:dyDescent="0.2">
      <c r="A48" s="5"/>
      <c r="B48" s="6"/>
      <c r="C48" s="5"/>
      <c r="D48" s="5"/>
      <c r="E48" s="5"/>
      <c r="F48" s="5"/>
      <c r="G48" s="5"/>
      <c r="H48" s="5"/>
      <c r="I48" s="5"/>
      <c r="J48" s="5"/>
      <c r="K48" s="5"/>
      <c r="L48" s="5"/>
      <c r="M48" s="5"/>
      <c r="N48" s="5"/>
      <c r="O48" s="5"/>
      <c r="P48" s="5"/>
      <c r="Q48" s="5"/>
      <c r="R48" s="5"/>
      <c r="S48" s="5"/>
      <c r="T48" s="5"/>
      <c r="U48" s="5"/>
    </row>
    <row r="49" spans="1:21" ht="12.75" customHeight="1" x14ac:dyDescent="0.2">
      <c r="A49" s="5"/>
      <c r="B49" s="6"/>
      <c r="C49" s="5"/>
      <c r="D49" s="5"/>
      <c r="E49" s="5"/>
      <c r="F49" s="5"/>
      <c r="G49" s="5"/>
      <c r="H49" s="5"/>
      <c r="I49" s="5"/>
      <c r="J49" s="5"/>
      <c r="K49" s="5"/>
      <c r="L49" s="5"/>
      <c r="M49" s="5"/>
      <c r="N49" s="5"/>
      <c r="O49" s="5"/>
      <c r="P49" s="5"/>
      <c r="Q49" s="5"/>
      <c r="R49" s="5"/>
      <c r="S49" s="5"/>
      <c r="T49" s="5"/>
      <c r="U49" s="5"/>
    </row>
    <row r="50" spans="1:21" ht="12.75" customHeight="1" x14ac:dyDescent="0.2">
      <c r="A50" s="5"/>
      <c r="B50" s="6"/>
      <c r="C50" s="5"/>
      <c r="D50" s="5"/>
      <c r="E50" s="5"/>
      <c r="F50" s="5"/>
      <c r="G50" s="5"/>
      <c r="H50" s="5"/>
      <c r="I50" s="5"/>
      <c r="J50" s="5"/>
      <c r="K50" s="5"/>
      <c r="L50" s="5"/>
      <c r="M50" s="5"/>
      <c r="N50" s="5"/>
      <c r="O50" s="5"/>
      <c r="P50" s="5"/>
      <c r="Q50" s="5"/>
      <c r="R50" s="5"/>
      <c r="S50" s="5"/>
      <c r="T50" s="5"/>
      <c r="U50" s="5"/>
    </row>
    <row r="51" spans="1:21" ht="12.75" customHeight="1" x14ac:dyDescent="0.2">
      <c r="A51" s="5"/>
      <c r="B51" s="6"/>
      <c r="C51" s="5"/>
      <c r="D51" s="5"/>
      <c r="E51" s="5"/>
      <c r="F51" s="5"/>
      <c r="G51" s="5"/>
      <c r="H51" s="5"/>
      <c r="I51" s="5"/>
      <c r="J51" s="5"/>
      <c r="K51" s="5"/>
      <c r="L51" s="5"/>
      <c r="M51" s="5"/>
      <c r="N51" s="5"/>
      <c r="O51" s="5"/>
      <c r="P51" s="5"/>
      <c r="Q51" s="5"/>
      <c r="R51" s="5"/>
      <c r="S51" s="5"/>
      <c r="T51" s="5"/>
      <c r="U51" s="5"/>
    </row>
    <row r="52" spans="1:21" ht="12.75" customHeight="1" x14ac:dyDescent="0.2">
      <c r="A52" s="5"/>
      <c r="B52" s="6"/>
      <c r="C52" s="5"/>
      <c r="D52" s="5"/>
      <c r="E52" s="5"/>
      <c r="F52" s="5"/>
      <c r="G52" s="5"/>
      <c r="H52" s="5"/>
      <c r="I52" s="5"/>
      <c r="J52" s="5"/>
      <c r="K52" s="5"/>
      <c r="L52" s="5"/>
      <c r="M52" s="5"/>
      <c r="N52" s="5"/>
      <c r="O52" s="5"/>
      <c r="P52" s="5"/>
      <c r="Q52" s="5"/>
      <c r="R52" s="5"/>
      <c r="S52" s="5"/>
      <c r="T52" s="5"/>
      <c r="U52" s="5"/>
    </row>
    <row r="53" spans="1:21" ht="12.75" customHeight="1" x14ac:dyDescent="0.2">
      <c r="A53" s="5"/>
      <c r="B53" s="6"/>
      <c r="C53" s="5"/>
      <c r="D53" s="5"/>
      <c r="E53" s="5"/>
      <c r="F53" s="5"/>
      <c r="G53" s="5"/>
      <c r="H53" s="5"/>
      <c r="I53" s="5"/>
      <c r="J53" s="5"/>
      <c r="K53" s="5"/>
      <c r="L53" s="5"/>
      <c r="M53" s="5"/>
      <c r="N53" s="5"/>
      <c r="O53" s="5"/>
      <c r="P53" s="5"/>
      <c r="Q53" s="5"/>
      <c r="R53" s="5"/>
      <c r="S53" s="5"/>
      <c r="T53" s="5"/>
      <c r="U53" s="5"/>
    </row>
    <row r="54" spans="1:21" ht="12.75" customHeight="1" x14ac:dyDescent="0.2">
      <c r="A54" s="5"/>
      <c r="B54" s="6"/>
      <c r="C54" s="5"/>
      <c r="D54" s="5"/>
      <c r="E54" s="5"/>
      <c r="F54" s="5"/>
      <c r="G54" s="5"/>
      <c r="H54" s="5"/>
      <c r="I54" s="5"/>
      <c r="J54" s="5"/>
      <c r="K54" s="5"/>
      <c r="L54" s="5"/>
      <c r="M54" s="5"/>
      <c r="N54" s="5"/>
      <c r="O54" s="5"/>
      <c r="P54" s="5"/>
      <c r="Q54" s="5"/>
      <c r="R54" s="5"/>
      <c r="S54" s="5"/>
      <c r="T54" s="5"/>
      <c r="U54" s="5"/>
    </row>
    <row r="55" spans="1:21" ht="12.75" customHeight="1" x14ac:dyDescent="0.2">
      <c r="A55" s="5"/>
      <c r="B55" s="6"/>
      <c r="C55" s="5"/>
      <c r="D55" s="5"/>
      <c r="E55" s="5"/>
      <c r="F55" s="5"/>
      <c r="G55" s="5"/>
      <c r="H55" s="5"/>
      <c r="I55" s="5"/>
      <c r="J55" s="5"/>
      <c r="K55" s="5"/>
      <c r="L55" s="5"/>
      <c r="M55" s="5"/>
      <c r="N55" s="5"/>
      <c r="O55" s="5"/>
      <c r="P55" s="5"/>
      <c r="Q55" s="5"/>
      <c r="R55" s="5"/>
      <c r="S55" s="5"/>
      <c r="T55" s="5"/>
      <c r="U55" s="5"/>
    </row>
    <row r="56" spans="1:21" ht="12.75" customHeight="1" x14ac:dyDescent="0.2">
      <c r="A56" s="5"/>
      <c r="B56" s="6"/>
      <c r="C56" s="5"/>
      <c r="D56" s="5"/>
      <c r="E56" s="5"/>
      <c r="F56" s="5"/>
      <c r="G56" s="5"/>
      <c r="H56" s="5"/>
      <c r="I56" s="5"/>
      <c r="J56" s="5"/>
      <c r="K56" s="5"/>
      <c r="L56" s="5"/>
      <c r="M56" s="5"/>
      <c r="N56" s="5"/>
      <c r="O56" s="5"/>
      <c r="P56" s="5"/>
      <c r="Q56" s="5"/>
      <c r="R56" s="5"/>
      <c r="S56" s="5"/>
      <c r="T56" s="5"/>
      <c r="U56" s="5"/>
    </row>
    <row r="57" spans="1:21" ht="12.75" customHeight="1" x14ac:dyDescent="0.2">
      <c r="A57" s="5"/>
      <c r="B57" s="6"/>
      <c r="C57" s="5"/>
      <c r="D57" s="5"/>
      <c r="E57" s="5"/>
      <c r="F57" s="5"/>
      <c r="G57" s="5"/>
      <c r="H57" s="5"/>
      <c r="I57" s="5"/>
      <c r="J57" s="5"/>
      <c r="K57" s="5"/>
      <c r="L57" s="5"/>
      <c r="M57" s="5"/>
      <c r="N57" s="5"/>
      <c r="O57" s="5"/>
      <c r="P57" s="5"/>
      <c r="Q57" s="5"/>
      <c r="R57" s="5"/>
      <c r="S57" s="5"/>
      <c r="T57" s="5"/>
      <c r="U57" s="5"/>
    </row>
    <row r="58" spans="1:21" ht="12.75" customHeight="1" x14ac:dyDescent="0.2">
      <c r="A58" s="5"/>
      <c r="B58" s="6"/>
      <c r="C58" s="5"/>
      <c r="D58" s="5"/>
      <c r="E58" s="5"/>
      <c r="F58" s="5"/>
      <c r="G58" s="5"/>
      <c r="H58" s="5"/>
      <c r="I58" s="5"/>
      <c r="J58" s="5"/>
      <c r="K58" s="5"/>
      <c r="L58" s="5"/>
      <c r="M58" s="5"/>
      <c r="N58" s="5"/>
      <c r="O58" s="5"/>
      <c r="P58" s="5"/>
      <c r="Q58" s="5"/>
      <c r="R58" s="5"/>
      <c r="S58" s="5"/>
      <c r="T58" s="5"/>
      <c r="U58" s="5"/>
    </row>
    <row r="59" spans="1:21" ht="12.75" customHeight="1" x14ac:dyDescent="0.2">
      <c r="A59" s="5"/>
      <c r="B59" s="6"/>
      <c r="C59" s="5"/>
      <c r="D59" s="5"/>
      <c r="E59" s="5"/>
      <c r="F59" s="5"/>
      <c r="G59" s="5"/>
      <c r="H59" s="5"/>
      <c r="I59" s="5"/>
      <c r="J59" s="5"/>
      <c r="K59" s="5"/>
      <c r="L59" s="5"/>
      <c r="M59" s="5"/>
      <c r="N59" s="5"/>
      <c r="O59" s="5"/>
      <c r="P59" s="5"/>
      <c r="Q59" s="5"/>
      <c r="R59" s="5"/>
      <c r="S59" s="5"/>
      <c r="T59" s="5"/>
      <c r="U59" s="5"/>
    </row>
    <row r="60" spans="1:21" ht="12.75" customHeight="1" x14ac:dyDescent="0.2">
      <c r="A60" s="5"/>
      <c r="B60" s="6"/>
      <c r="C60" s="5"/>
      <c r="D60" s="5"/>
      <c r="E60" s="5"/>
      <c r="F60" s="5"/>
      <c r="G60" s="5"/>
      <c r="H60" s="5"/>
      <c r="I60" s="5"/>
      <c r="J60" s="5"/>
      <c r="K60" s="5"/>
      <c r="L60" s="5"/>
      <c r="M60" s="5"/>
      <c r="N60" s="5"/>
      <c r="O60" s="5"/>
      <c r="P60" s="5"/>
      <c r="Q60" s="5"/>
      <c r="R60" s="5"/>
      <c r="S60" s="5"/>
      <c r="T60" s="5"/>
      <c r="U60" s="5"/>
    </row>
    <row r="61" spans="1:21" ht="12.75" customHeight="1" x14ac:dyDescent="0.2">
      <c r="A61" s="5"/>
      <c r="B61" s="6"/>
      <c r="C61" s="5"/>
      <c r="D61" s="5"/>
      <c r="E61" s="5"/>
      <c r="F61" s="5"/>
      <c r="G61" s="5"/>
      <c r="H61" s="5"/>
      <c r="I61" s="5"/>
      <c r="J61" s="5"/>
      <c r="K61" s="5"/>
      <c r="L61" s="5"/>
      <c r="M61" s="5"/>
      <c r="N61" s="5"/>
      <c r="O61" s="5"/>
      <c r="P61" s="5"/>
      <c r="Q61" s="5"/>
      <c r="R61" s="5"/>
      <c r="S61" s="5"/>
      <c r="T61" s="5"/>
      <c r="U61" s="5"/>
    </row>
    <row r="62" spans="1:21" ht="12.75" customHeight="1" x14ac:dyDescent="0.2">
      <c r="A62" s="5"/>
      <c r="B62" s="6"/>
      <c r="C62" s="5"/>
      <c r="D62" s="5"/>
      <c r="E62" s="5"/>
      <c r="F62" s="5"/>
      <c r="G62" s="5"/>
      <c r="H62" s="5"/>
      <c r="I62" s="5"/>
      <c r="J62" s="5"/>
      <c r="K62" s="5"/>
      <c r="L62" s="5"/>
      <c r="M62" s="5"/>
      <c r="N62" s="5"/>
      <c r="O62" s="5"/>
      <c r="P62" s="5"/>
      <c r="Q62" s="5"/>
      <c r="R62" s="5"/>
      <c r="S62" s="5"/>
      <c r="T62" s="5"/>
      <c r="U62" s="5"/>
    </row>
    <row r="63" spans="1:21" ht="12.75" customHeight="1" x14ac:dyDescent="0.2">
      <c r="A63" s="5"/>
      <c r="B63" s="6"/>
      <c r="C63" s="5"/>
      <c r="D63" s="5"/>
      <c r="E63" s="5"/>
      <c r="F63" s="5"/>
      <c r="G63" s="5"/>
      <c r="H63" s="5"/>
      <c r="I63" s="5"/>
      <c r="J63" s="5"/>
      <c r="K63" s="5"/>
      <c r="L63" s="5"/>
      <c r="M63" s="5"/>
      <c r="N63" s="5"/>
      <c r="O63" s="5"/>
      <c r="P63" s="5"/>
      <c r="Q63" s="5"/>
      <c r="R63" s="5"/>
      <c r="S63" s="5"/>
      <c r="T63" s="5"/>
      <c r="U63" s="5"/>
    </row>
    <row r="64" spans="1:21" ht="12.75" customHeight="1" x14ac:dyDescent="0.2">
      <c r="A64" s="5"/>
      <c r="B64" s="6"/>
      <c r="C64" s="5"/>
      <c r="D64" s="5"/>
      <c r="E64" s="5"/>
      <c r="F64" s="5"/>
      <c r="G64" s="5"/>
      <c r="H64" s="5"/>
      <c r="I64" s="5"/>
      <c r="J64" s="5"/>
      <c r="K64" s="5"/>
      <c r="L64" s="5"/>
      <c r="M64" s="5"/>
      <c r="N64" s="5"/>
      <c r="O64" s="5"/>
      <c r="P64" s="5"/>
      <c r="Q64" s="5"/>
      <c r="R64" s="5"/>
      <c r="S64" s="5"/>
      <c r="T64" s="5"/>
      <c r="U64" s="5"/>
    </row>
    <row r="65" spans="1:21" ht="12.75" customHeight="1" x14ac:dyDescent="0.2">
      <c r="A65" s="5"/>
      <c r="B65" s="6"/>
      <c r="C65" s="5"/>
      <c r="D65" s="5"/>
      <c r="E65" s="5"/>
      <c r="F65" s="5"/>
      <c r="G65" s="5"/>
      <c r="H65" s="5"/>
      <c r="I65" s="5"/>
      <c r="J65" s="5"/>
      <c r="K65" s="5"/>
      <c r="L65" s="5"/>
      <c r="M65" s="5"/>
      <c r="N65" s="5"/>
      <c r="O65" s="5"/>
      <c r="P65" s="5"/>
      <c r="Q65" s="5"/>
      <c r="R65" s="5"/>
      <c r="S65" s="5"/>
      <c r="T65" s="5"/>
      <c r="U65" s="5"/>
    </row>
    <row r="66" spans="1:21" ht="12.75" customHeight="1" x14ac:dyDescent="0.2">
      <c r="A66" s="5"/>
      <c r="B66" s="6"/>
      <c r="C66" s="5"/>
      <c r="D66" s="5"/>
      <c r="E66" s="5"/>
      <c r="F66" s="5"/>
      <c r="G66" s="5"/>
      <c r="H66" s="5"/>
      <c r="I66" s="5"/>
      <c r="J66" s="5"/>
      <c r="K66" s="5"/>
      <c r="L66" s="5"/>
      <c r="M66" s="5"/>
      <c r="N66" s="5"/>
      <c r="O66" s="5"/>
      <c r="P66" s="5"/>
      <c r="Q66" s="5"/>
      <c r="R66" s="5"/>
      <c r="S66" s="5"/>
      <c r="T66" s="5"/>
      <c r="U66" s="5"/>
    </row>
    <row r="67" spans="1:21" ht="12.75" customHeight="1" x14ac:dyDescent="0.2">
      <c r="A67" s="5"/>
      <c r="B67" s="6"/>
      <c r="C67" s="5"/>
      <c r="D67" s="5"/>
      <c r="E67" s="5"/>
      <c r="F67" s="5"/>
      <c r="G67" s="5"/>
      <c r="H67" s="5"/>
      <c r="I67" s="5"/>
      <c r="J67" s="5"/>
      <c r="K67" s="5"/>
      <c r="L67" s="5"/>
      <c r="M67" s="5"/>
      <c r="N67" s="5"/>
      <c r="O67" s="5"/>
      <c r="P67" s="5"/>
      <c r="Q67" s="5"/>
      <c r="R67" s="5"/>
      <c r="S67" s="5"/>
      <c r="T67" s="5"/>
      <c r="U67" s="5"/>
    </row>
    <row r="68" spans="1:21" ht="12.75" customHeight="1" x14ac:dyDescent="0.2">
      <c r="A68" s="5"/>
      <c r="B68" s="6"/>
      <c r="C68" s="5"/>
      <c r="D68" s="5"/>
      <c r="E68" s="5"/>
      <c r="F68" s="5"/>
      <c r="G68" s="5"/>
      <c r="H68" s="5"/>
      <c r="I68" s="5"/>
      <c r="J68" s="5"/>
      <c r="K68" s="5"/>
      <c r="L68" s="5"/>
      <c r="M68" s="5"/>
      <c r="N68" s="5"/>
      <c r="O68" s="5"/>
      <c r="P68" s="5"/>
      <c r="Q68" s="5"/>
      <c r="R68" s="5"/>
      <c r="S68" s="5"/>
      <c r="T68" s="5"/>
      <c r="U68" s="5"/>
    </row>
    <row r="69" spans="1:21" ht="12.75" customHeight="1" x14ac:dyDescent="0.2">
      <c r="A69" s="5"/>
      <c r="B69" s="6"/>
      <c r="C69" s="5"/>
      <c r="D69" s="5"/>
      <c r="E69" s="5"/>
      <c r="F69" s="5"/>
      <c r="G69" s="5"/>
      <c r="H69" s="5"/>
      <c r="I69" s="5"/>
      <c r="J69" s="5"/>
      <c r="K69" s="5"/>
      <c r="L69" s="5"/>
      <c r="M69" s="5"/>
      <c r="N69" s="5"/>
      <c r="O69" s="5"/>
      <c r="P69" s="5"/>
      <c r="Q69" s="5"/>
      <c r="R69" s="5"/>
      <c r="S69" s="5"/>
      <c r="T69" s="5"/>
      <c r="U69" s="5"/>
    </row>
    <row r="70" spans="1:21" ht="12.75" customHeight="1" x14ac:dyDescent="0.2">
      <c r="A70" s="5"/>
      <c r="B70" s="6"/>
      <c r="C70" s="5"/>
      <c r="D70" s="5"/>
      <c r="E70" s="5"/>
      <c r="F70" s="5"/>
      <c r="G70" s="5"/>
      <c r="H70" s="5"/>
      <c r="I70" s="5"/>
      <c r="J70" s="5"/>
      <c r="K70" s="5"/>
      <c r="L70" s="5"/>
      <c r="M70" s="5"/>
      <c r="N70" s="5"/>
      <c r="O70" s="5"/>
      <c r="P70" s="5"/>
      <c r="Q70" s="5"/>
      <c r="R70" s="5"/>
      <c r="S70" s="5"/>
      <c r="T70" s="5"/>
      <c r="U70" s="5"/>
    </row>
    <row r="71" spans="1:21" ht="12.75" customHeight="1" x14ac:dyDescent="0.2">
      <c r="A71" s="5"/>
      <c r="B71" s="6"/>
      <c r="C71" s="5"/>
      <c r="D71" s="5"/>
      <c r="E71" s="5"/>
      <c r="F71" s="5"/>
      <c r="G71" s="5"/>
      <c r="H71" s="5"/>
      <c r="I71" s="5"/>
      <c r="J71" s="5"/>
      <c r="K71" s="5"/>
      <c r="L71" s="5"/>
      <c r="M71" s="5"/>
      <c r="N71" s="5"/>
      <c r="O71" s="5"/>
      <c r="P71" s="5"/>
      <c r="Q71" s="5"/>
      <c r="R71" s="5"/>
      <c r="S71" s="5"/>
      <c r="T71" s="5"/>
      <c r="U71" s="5"/>
    </row>
    <row r="72" spans="1:21" ht="12.75" customHeight="1" x14ac:dyDescent="0.2">
      <c r="A72" s="5"/>
      <c r="B72" s="6"/>
      <c r="C72" s="5"/>
      <c r="D72" s="5"/>
      <c r="E72" s="5"/>
      <c r="F72" s="5"/>
      <c r="G72" s="5"/>
      <c r="H72" s="5"/>
      <c r="I72" s="5"/>
      <c r="J72" s="5"/>
      <c r="K72" s="5"/>
      <c r="L72" s="5"/>
      <c r="M72" s="5"/>
      <c r="N72" s="5"/>
      <c r="O72" s="5"/>
      <c r="P72" s="5"/>
      <c r="Q72" s="5"/>
      <c r="R72" s="5"/>
      <c r="S72" s="5"/>
      <c r="T72" s="5"/>
      <c r="U72" s="5"/>
    </row>
    <row r="73" spans="1:21" ht="12.75" customHeight="1" x14ac:dyDescent="0.2">
      <c r="A73" s="5"/>
      <c r="B73" s="6"/>
      <c r="C73" s="5"/>
      <c r="D73" s="5"/>
      <c r="E73" s="5"/>
      <c r="F73" s="5"/>
      <c r="G73" s="5"/>
      <c r="H73" s="5"/>
      <c r="I73" s="5"/>
      <c r="J73" s="5"/>
      <c r="K73" s="5"/>
      <c r="L73" s="5"/>
      <c r="M73" s="5"/>
      <c r="N73" s="5"/>
      <c r="O73" s="5"/>
      <c r="P73" s="5"/>
      <c r="Q73" s="5"/>
      <c r="R73" s="5"/>
      <c r="S73" s="5"/>
      <c r="T73" s="5"/>
      <c r="U73" s="5"/>
    </row>
    <row r="74" spans="1:21" ht="12.75" customHeight="1" x14ac:dyDescent="0.2">
      <c r="A74" s="5"/>
      <c r="B74" s="6"/>
      <c r="C74" s="5"/>
      <c r="D74" s="5"/>
      <c r="E74" s="5"/>
      <c r="F74" s="5"/>
      <c r="G74" s="5"/>
      <c r="H74" s="5"/>
      <c r="I74" s="5"/>
      <c r="J74" s="5"/>
      <c r="K74" s="5"/>
      <c r="L74" s="5"/>
      <c r="M74" s="5"/>
      <c r="N74" s="5"/>
      <c r="O74" s="5"/>
      <c r="P74" s="5"/>
      <c r="Q74" s="5"/>
      <c r="R74" s="5"/>
      <c r="S74" s="5"/>
      <c r="T74" s="5"/>
      <c r="U74" s="5"/>
    </row>
    <row r="75" spans="1:21" ht="12.75" customHeight="1" x14ac:dyDescent="0.2">
      <c r="A75" s="5"/>
      <c r="B75" s="6"/>
      <c r="C75" s="5"/>
      <c r="D75" s="5"/>
      <c r="E75" s="5"/>
      <c r="F75" s="5"/>
      <c r="G75" s="5"/>
      <c r="H75" s="5"/>
      <c r="I75" s="5"/>
      <c r="J75" s="5"/>
      <c r="K75" s="5"/>
      <c r="L75" s="5"/>
      <c r="M75" s="5"/>
      <c r="N75" s="5"/>
      <c r="O75" s="5"/>
      <c r="P75" s="5"/>
      <c r="Q75" s="5"/>
      <c r="R75" s="5"/>
      <c r="S75" s="5"/>
      <c r="T75" s="5"/>
      <c r="U75" s="5"/>
    </row>
    <row r="76" spans="1:21" ht="12.75" customHeight="1" x14ac:dyDescent="0.2">
      <c r="A76" s="5"/>
      <c r="B76" s="6"/>
      <c r="C76" s="5"/>
      <c r="D76" s="5"/>
      <c r="E76" s="5"/>
      <c r="F76" s="5"/>
      <c r="G76" s="5"/>
      <c r="H76" s="5"/>
      <c r="I76" s="5"/>
      <c r="J76" s="5"/>
      <c r="K76" s="5"/>
      <c r="L76" s="5"/>
      <c r="M76" s="5"/>
      <c r="N76" s="5"/>
      <c r="O76" s="5"/>
      <c r="P76" s="5"/>
      <c r="Q76" s="5"/>
      <c r="R76" s="5"/>
      <c r="S76" s="5"/>
      <c r="T76" s="5"/>
      <c r="U76" s="5"/>
    </row>
    <row r="77" spans="1:21" ht="12.75" customHeight="1" x14ac:dyDescent="0.2">
      <c r="A77" s="5"/>
      <c r="B77" s="6"/>
      <c r="C77" s="5"/>
      <c r="D77" s="5"/>
      <c r="E77" s="5"/>
      <c r="F77" s="5"/>
      <c r="G77" s="5"/>
      <c r="H77" s="5"/>
      <c r="I77" s="5"/>
      <c r="J77" s="5"/>
      <c r="K77" s="5"/>
      <c r="L77" s="5"/>
      <c r="M77" s="5"/>
      <c r="N77" s="5"/>
      <c r="O77" s="5"/>
      <c r="P77" s="5"/>
      <c r="Q77" s="5"/>
      <c r="R77" s="5"/>
      <c r="S77" s="5"/>
      <c r="T77" s="5"/>
      <c r="U77" s="5"/>
    </row>
    <row r="78" spans="1:21" ht="12.75" customHeight="1" x14ac:dyDescent="0.2">
      <c r="A78" s="5"/>
      <c r="B78" s="6"/>
      <c r="C78" s="5"/>
      <c r="D78" s="5"/>
      <c r="E78" s="5"/>
      <c r="F78" s="5"/>
      <c r="G78" s="5"/>
      <c r="H78" s="5"/>
      <c r="I78" s="5"/>
      <c r="J78" s="5"/>
      <c r="K78" s="5"/>
      <c r="L78" s="5"/>
      <c r="M78" s="5"/>
      <c r="N78" s="5"/>
      <c r="O78" s="5"/>
      <c r="P78" s="5"/>
      <c r="Q78" s="5"/>
      <c r="R78" s="5"/>
      <c r="S78" s="5"/>
      <c r="T78" s="5"/>
      <c r="U78" s="5"/>
    </row>
    <row r="79" spans="1:21" ht="12.75" customHeight="1" x14ac:dyDescent="0.2">
      <c r="A79" s="5"/>
      <c r="B79" s="6"/>
      <c r="C79" s="5"/>
      <c r="D79" s="5"/>
      <c r="E79" s="5"/>
      <c r="F79" s="5"/>
      <c r="G79" s="5"/>
      <c r="H79" s="5"/>
      <c r="I79" s="5"/>
      <c r="J79" s="5"/>
      <c r="K79" s="5"/>
      <c r="L79" s="5"/>
      <c r="M79" s="5"/>
      <c r="N79" s="5"/>
      <c r="O79" s="5"/>
      <c r="P79" s="5"/>
      <c r="Q79" s="5"/>
      <c r="R79" s="5"/>
      <c r="S79" s="5"/>
      <c r="T79" s="5"/>
      <c r="U79" s="5"/>
    </row>
    <row r="80" spans="1:21" ht="12.75" customHeight="1" x14ac:dyDescent="0.2">
      <c r="A80" s="5"/>
      <c r="B80" s="6"/>
      <c r="C80" s="5"/>
      <c r="D80" s="5"/>
      <c r="E80" s="5"/>
      <c r="F80" s="5"/>
      <c r="G80" s="5"/>
      <c r="H80" s="5"/>
      <c r="I80" s="5"/>
      <c r="J80" s="5"/>
      <c r="K80" s="5"/>
      <c r="L80" s="5"/>
      <c r="M80" s="5"/>
      <c r="N80" s="5"/>
      <c r="O80" s="5"/>
      <c r="P80" s="5"/>
      <c r="Q80" s="5"/>
      <c r="R80" s="5"/>
      <c r="S80" s="5"/>
      <c r="T80" s="5"/>
      <c r="U80" s="5"/>
    </row>
    <row r="81" spans="1:21" ht="12.75" customHeight="1" x14ac:dyDescent="0.2">
      <c r="A81" s="5"/>
      <c r="B81" s="6"/>
      <c r="C81" s="5"/>
      <c r="D81" s="5"/>
      <c r="E81" s="5"/>
      <c r="F81" s="5"/>
      <c r="G81" s="5"/>
      <c r="H81" s="5"/>
      <c r="I81" s="5"/>
      <c r="J81" s="5"/>
      <c r="K81" s="5"/>
      <c r="L81" s="5"/>
      <c r="M81" s="5"/>
      <c r="N81" s="5"/>
      <c r="O81" s="5"/>
      <c r="P81" s="5"/>
      <c r="Q81" s="5"/>
      <c r="R81" s="5"/>
      <c r="S81" s="5"/>
      <c r="T81" s="5"/>
      <c r="U81" s="5"/>
    </row>
    <row r="82" spans="1:21" ht="12.75" customHeight="1" x14ac:dyDescent="0.2">
      <c r="A82" s="5"/>
      <c r="B82" s="6"/>
      <c r="C82" s="5"/>
      <c r="D82" s="5"/>
      <c r="E82" s="5"/>
      <c r="F82" s="5"/>
      <c r="G82" s="5"/>
      <c r="H82" s="5"/>
      <c r="I82" s="5"/>
      <c r="J82" s="5"/>
      <c r="K82" s="5"/>
      <c r="L82" s="5"/>
      <c r="M82" s="5"/>
      <c r="N82" s="5"/>
      <c r="O82" s="5"/>
      <c r="P82" s="5"/>
      <c r="Q82" s="5"/>
      <c r="R82" s="5"/>
      <c r="S82" s="5"/>
      <c r="T82" s="5"/>
      <c r="U82" s="5"/>
    </row>
    <row r="83" spans="1:21" ht="12.75" customHeight="1" x14ac:dyDescent="0.2">
      <c r="A83" s="5"/>
      <c r="B83" s="6"/>
      <c r="C83" s="5"/>
      <c r="D83" s="5"/>
      <c r="E83" s="5"/>
      <c r="F83" s="5"/>
      <c r="G83" s="5"/>
      <c r="H83" s="5"/>
      <c r="I83" s="5"/>
      <c r="J83" s="5"/>
      <c r="K83" s="5"/>
      <c r="L83" s="5"/>
      <c r="M83" s="5"/>
      <c r="N83" s="5"/>
      <c r="O83" s="5"/>
      <c r="P83" s="5"/>
      <c r="Q83" s="5"/>
      <c r="R83" s="5"/>
      <c r="S83" s="5"/>
      <c r="T83" s="5"/>
      <c r="U83" s="5"/>
    </row>
    <row r="84" spans="1:21" ht="12.75" customHeight="1" x14ac:dyDescent="0.2">
      <c r="A84" s="5"/>
      <c r="B84" s="6"/>
      <c r="C84" s="5"/>
      <c r="D84" s="5"/>
      <c r="E84" s="5"/>
      <c r="F84" s="5"/>
      <c r="G84" s="5"/>
      <c r="H84" s="5"/>
      <c r="I84" s="5"/>
      <c r="J84" s="5"/>
      <c r="K84" s="5"/>
      <c r="L84" s="5"/>
      <c r="M84" s="5"/>
      <c r="N84" s="5"/>
      <c r="O84" s="5"/>
      <c r="P84" s="5"/>
      <c r="Q84" s="5"/>
      <c r="R84" s="5"/>
      <c r="S84" s="5"/>
      <c r="T84" s="5"/>
      <c r="U84" s="5"/>
    </row>
    <row r="85" spans="1:21" ht="12.75" customHeight="1" x14ac:dyDescent="0.2">
      <c r="A85" s="5"/>
      <c r="B85" s="6"/>
      <c r="C85" s="5"/>
      <c r="D85" s="5"/>
      <c r="E85" s="5"/>
      <c r="F85" s="5"/>
      <c r="G85" s="5"/>
      <c r="H85" s="5"/>
      <c r="I85" s="5"/>
      <c r="J85" s="5"/>
      <c r="K85" s="5"/>
      <c r="L85" s="5"/>
      <c r="M85" s="5"/>
      <c r="N85" s="5"/>
      <c r="O85" s="5"/>
      <c r="P85" s="5"/>
      <c r="Q85" s="5"/>
      <c r="R85" s="5"/>
      <c r="S85" s="5"/>
      <c r="T85" s="5"/>
      <c r="U85" s="5"/>
    </row>
    <row r="86" spans="1:21" ht="12.75" customHeight="1" x14ac:dyDescent="0.2">
      <c r="A86" s="5"/>
      <c r="B86" s="6"/>
      <c r="C86" s="5"/>
      <c r="D86" s="5"/>
      <c r="E86" s="5"/>
      <c r="F86" s="5"/>
      <c r="G86" s="5"/>
      <c r="H86" s="5"/>
      <c r="I86" s="5"/>
      <c r="J86" s="5"/>
      <c r="K86" s="5"/>
      <c r="L86" s="5"/>
      <c r="M86" s="5"/>
      <c r="N86" s="5"/>
      <c r="O86" s="5"/>
      <c r="P86" s="5"/>
      <c r="Q86" s="5"/>
      <c r="R86" s="5"/>
      <c r="S86" s="5"/>
      <c r="T86" s="5"/>
      <c r="U86" s="5"/>
    </row>
    <row r="87" spans="1:21" ht="12.75" customHeight="1" x14ac:dyDescent="0.2">
      <c r="A87" s="5"/>
      <c r="B87" s="6"/>
      <c r="C87" s="5"/>
      <c r="D87" s="5"/>
      <c r="E87" s="5"/>
      <c r="F87" s="5"/>
      <c r="G87" s="5"/>
      <c r="H87" s="5"/>
      <c r="I87" s="5"/>
      <c r="J87" s="5"/>
      <c r="K87" s="5"/>
      <c r="L87" s="5"/>
      <c r="M87" s="5"/>
      <c r="N87" s="5"/>
      <c r="O87" s="5"/>
      <c r="P87" s="5"/>
      <c r="Q87" s="5"/>
      <c r="R87" s="5"/>
      <c r="S87" s="5"/>
      <c r="T87" s="5"/>
      <c r="U87" s="5"/>
    </row>
    <row r="88" spans="1:21" ht="12.75" customHeight="1" x14ac:dyDescent="0.2">
      <c r="A88" s="5"/>
      <c r="B88" s="6"/>
      <c r="C88" s="5"/>
      <c r="D88" s="5"/>
      <c r="E88" s="5"/>
      <c r="F88" s="5"/>
      <c r="G88" s="5"/>
      <c r="H88" s="5"/>
      <c r="I88" s="5"/>
      <c r="J88" s="5"/>
      <c r="K88" s="5"/>
      <c r="L88" s="5"/>
      <c r="M88" s="5"/>
      <c r="N88" s="5"/>
      <c r="O88" s="5"/>
      <c r="P88" s="5"/>
      <c r="Q88" s="5"/>
      <c r="R88" s="5"/>
      <c r="S88" s="5"/>
      <c r="T88" s="5"/>
      <c r="U88" s="5"/>
    </row>
    <row r="89" spans="1:21" ht="12.75" customHeight="1" x14ac:dyDescent="0.2">
      <c r="A89" s="5"/>
      <c r="B89" s="6"/>
      <c r="C89" s="5"/>
      <c r="D89" s="5"/>
      <c r="E89" s="5"/>
      <c r="F89" s="5"/>
      <c r="G89" s="5"/>
      <c r="H89" s="5"/>
      <c r="I89" s="5"/>
      <c r="J89" s="5"/>
      <c r="K89" s="5"/>
      <c r="L89" s="5"/>
      <c r="M89" s="5"/>
      <c r="N89" s="5"/>
      <c r="O89" s="5"/>
      <c r="P89" s="5"/>
      <c r="Q89" s="5"/>
      <c r="R89" s="5"/>
      <c r="S89" s="5"/>
      <c r="T89" s="5"/>
      <c r="U89" s="5"/>
    </row>
    <row r="90" spans="1:21" ht="12.75" customHeight="1" x14ac:dyDescent="0.2">
      <c r="A90" s="5"/>
      <c r="B90" s="6"/>
      <c r="C90" s="5"/>
      <c r="D90" s="5"/>
      <c r="E90" s="5"/>
      <c r="F90" s="5"/>
      <c r="G90" s="5"/>
      <c r="H90" s="5"/>
      <c r="I90" s="5"/>
      <c r="J90" s="5"/>
      <c r="K90" s="5"/>
      <c r="L90" s="5"/>
      <c r="M90" s="5"/>
      <c r="N90" s="5"/>
      <c r="O90" s="5"/>
      <c r="P90" s="5"/>
      <c r="Q90" s="5"/>
      <c r="R90" s="5"/>
      <c r="S90" s="5"/>
      <c r="T90" s="5"/>
      <c r="U90" s="5"/>
    </row>
    <row r="91" spans="1:21" ht="12.75" customHeight="1" x14ac:dyDescent="0.2">
      <c r="A91" s="5"/>
      <c r="B91" s="6"/>
      <c r="C91" s="5"/>
      <c r="D91" s="5"/>
      <c r="E91" s="5"/>
      <c r="F91" s="5"/>
      <c r="G91" s="5"/>
      <c r="H91" s="5"/>
      <c r="I91" s="5"/>
      <c r="J91" s="5"/>
      <c r="K91" s="5"/>
      <c r="L91" s="5"/>
      <c r="M91" s="5"/>
      <c r="N91" s="5"/>
      <c r="O91" s="5"/>
      <c r="P91" s="5"/>
      <c r="Q91" s="5"/>
      <c r="R91" s="5"/>
      <c r="S91" s="5"/>
      <c r="T91" s="5"/>
      <c r="U91" s="5"/>
    </row>
    <row r="92" spans="1:21" ht="12.75" customHeight="1" x14ac:dyDescent="0.2">
      <c r="A92" s="5"/>
      <c r="B92" s="6"/>
      <c r="C92" s="5"/>
      <c r="D92" s="5"/>
      <c r="E92" s="5"/>
      <c r="F92" s="5"/>
      <c r="G92" s="5"/>
      <c r="H92" s="5"/>
      <c r="I92" s="5"/>
      <c r="J92" s="5"/>
      <c r="K92" s="5"/>
      <c r="L92" s="5"/>
      <c r="M92" s="5"/>
      <c r="N92" s="5"/>
      <c r="O92" s="5"/>
      <c r="P92" s="5"/>
      <c r="Q92" s="5"/>
      <c r="R92" s="5"/>
      <c r="S92" s="5"/>
      <c r="T92" s="5"/>
      <c r="U92" s="5"/>
    </row>
    <row r="93" spans="1:21" ht="12.75" customHeight="1" x14ac:dyDescent="0.2">
      <c r="A93" s="5"/>
      <c r="B93" s="6"/>
      <c r="C93" s="5"/>
      <c r="D93" s="5"/>
      <c r="E93" s="5"/>
      <c r="F93" s="5"/>
      <c r="G93" s="5"/>
      <c r="H93" s="5"/>
      <c r="I93" s="5"/>
      <c r="J93" s="5"/>
      <c r="K93" s="5"/>
      <c r="L93" s="5"/>
      <c r="M93" s="5"/>
      <c r="N93" s="5"/>
      <c r="O93" s="5"/>
      <c r="P93" s="5"/>
      <c r="Q93" s="5"/>
      <c r="R93" s="5"/>
      <c r="S93" s="5"/>
      <c r="T93" s="5"/>
      <c r="U93" s="5"/>
    </row>
    <row r="94" spans="1:21" ht="12.75" customHeight="1" x14ac:dyDescent="0.2">
      <c r="A94" s="5"/>
      <c r="B94" s="6"/>
      <c r="C94" s="5"/>
      <c r="D94" s="5"/>
      <c r="E94" s="5"/>
      <c r="F94" s="5"/>
      <c r="G94" s="5"/>
      <c r="H94" s="5"/>
      <c r="I94" s="5"/>
      <c r="J94" s="5"/>
      <c r="K94" s="5"/>
      <c r="L94" s="5"/>
      <c r="M94" s="5"/>
      <c r="N94" s="5"/>
      <c r="O94" s="5"/>
      <c r="P94" s="5"/>
      <c r="Q94" s="5"/>
      <c r="R94" s="5"/>
      <c r="S94" s="5"/>
      <c r="T94" s="5"/>
      <c r="U94" s="5"/>
    </row>
    <row r="95" spans="1:21" ht="12.75" customHeight="1" x14ac:dyDescent="0.2">
      <c r="A95" s="5"/>
      <c r="B95" s="6"/>
      <c r="C95" s="5"/>
      <c r="D95" s="5"/>
      <c r="E95" s="5"/>
      <c r="F95" s="5"/>
      <c r="G95" s="5"/>
      <c r="H95" s="5"/>
      <c r="I95" s="5"/>
      <c r="J95" s="5"/>
      <c r="K95" s="5"/>
      <c r="L95" s="5"/>
      <c r="M95" s="5"/>
      <c r="N95" s="5"/>
      <c r="O95" s="5"/>
      <c r="P95" s="5"/>
      <c r="Q95" s="5"/>
      <c r="R95" s="5"/>
      <c r="S95" s="5"/>
      <c r="T95" s="5"/>
      <c r="U95" s="5"/>
    </row>
    <row r="96" spans="1:21" ht="12.75" customHeight="1" x14ac:dyDescent="0.2">
      <c r="A96" s="5"/>
      <c r="B96" s="6"/>
      <c r="C96" s="5"/>
      <c r="D96" s="5"/>
      <c r="E96" s="5"/>
      <c r="F96" s="5"/>
      <c r="G96" s="5"/>
      <c r="H96" s="5"/>
      <c r="I96" s="5"/>
      <c r="J96" s="5"/>
      <c r="K96" s="5"/>
      <c r="L96" s="5"/>
      <c r="M96" s="5"/>
      <c r="N96" s="5"/>
      <c r="O96" s="5"/>
      <c r="P96" s="5"/>
      <c r="Q96" s="5"/>
      <c r="R96" s="5"/>
      <c r="S96" s="5"/>
      <c r="T96" s="5"/>
      <c r="U96" s="5"/>
    </row>
    <row r="97" spans="1:21" ht="12.75" customHeight="1" x14ac:dyDescent="0.2">
      <c r="A97" s="5"/>
      <c r="B97" s="6"/>
      <c r="C97" s="5"/>
      <c r="D97" s="5"/>
      <c r="E97" s="5"/>
      <c r="F97" s="5"/>
      <c r="G97" s="5"/>
      <c r="H97" s="5"/>
      <c r="I97" s="5"/>
      <c r="J97" s="5"/>
      <c r="K97" s="5"/>
      <c r="L97" s="5"/>
      <c r="M97" s="5"/>
      <c r="N97" s="5"/>
      <c r="O97" s="5"/>
      <c r="P97" s="5"/>
      <c r="Q97" s="5"/>
      <c r="R97" s="5"/>
      <c r="S97" s="5"/>
      <c r="T97" s="5"/>
      <c r="U97" s="5"/>
    </row>
    <row r="98" spans="1:21" ht="12.75" customHeight="1" x14ac:dyDescent="0.2">
      <c r="A98" s="5"/>
      <c r="B98" s="6"/>
      <c r="C98" s="5"/>
      <c r="D98" s="5"/>
      <c r="E98" s="5"/>
      <c r="F98" s="5"/>
      <c r="G98" s="5"/>
      <c r="H98" s="5"/>
      <c r="I98" s="5"/>
      <c r="J98" s="5"/>
      <c r="K98" s="5"/>
      <c r="L98" s="5"/>
      <c r="M98" s="5"/>
      <c r="N98" s="5"/>
      <c r="O98" s="5"/>
      <c r="P98" s="5"/>
      <c r="Q98" s="5"/>
      <c r="R98" s="5"/>
      <c r="S98" s="5"/>
      <c r="T98" s="5"/>
      <c r="U98" s="5"/>
    </row>
    <row r="99" spans="1:21" ht="12.75" customHeight="1" x14ac:dyDescent="0.2">
      <c r="A99" s="5"/>
      <c r="B99" s="6"/>
      <c r="C99" s="5"/>
      <c r="D99" s="5"/>
      <c r="E99" s="5"/>
      <c r="F99" s="5"/>
      <c r="G99" s="5"/>
      <c r="H99" s="5"/>
      <c r="I99" s="5"/>
      <c r="J99" s="5"/>
      <c r="K99" s="5"/>
      <c r="L99" s="5"/>
      <c r="M99" s="5"/>
      <c r="N99" s="5"/>
      <c r="O99" s="5"/>
      <c r="P99" s="5"/>
      <c r="Q99" s="5"/>
      <c r="R99" s="5"/>
      <c r="S99" s="5"/>
      <c r="T99" s="5"/>
      <c r="U99" s="5"/>
    </row>
    <row r="100" spans="1:21" ht="12.75" customHeight="1" x14ac:dyDescent="0.2">
      <c r="A100" s="5"/>
      <c r="B100" s="6"/>
      <c r="C100" s="5"/>
      <c r="D100" s="5"/>
      <c r="E100" s="5"/>
      <c r="F100" s="5"/>
      <c r="G100" s="5"/>
      <c r="H100" s="5"/>
      <c r="I100" s="5"/>
      <c r="J100" s="5"/>
      <c r="K100" s="5"/>
      <c r="L100" s="5"/>
      <c r="M100" s="5"/>
      <c r="N100" s="5"/>
      <c r="O100" s="5"/>
      <c r="P100" s="5"/>
      <c r="Q100" s="5"/>
      <c r="R100" s="5"/>
      <c r="S100" s="5"/>
      <c r="T100" s="5"/>
      <c r="U100" s="5"/>
    </row>
  </sheetData>
  <mergeCells count="18">
    <mergeCell ref="B28:E28"/>
    <mergeCell ref="B21:E21"/>
    <mergeCell ref="B5:E5"/>
    <mergeCell ref="B19:E19"/>
    <mergeCell ref="B33:E33"/>
    <mergeCell ref="B34:E34"/>
    <mergeCell ref="B9:E9"/>
    <mergeCell ref="B10:E10"/>
    <mergeCell ref="B15:E15"/>
    <mergeCell ref="B29:E29"/>
    <mergeCell ref="B20:E20"/>
    <mergeCell ref="B11:E11"/>
    <mergeCell ref="B12:E12"/>
    <mergeCell ref="B13:E13"/>
    <mergeCell ref="B14:E14"/>
    <mergeCell ref="B25:E25"/>
    <mergeCell ref="B26:E26"/>
    <mergeCell ref="B27:E27"/>
  </mergeCells>
  <pageMargins left="0.8203125" right="0.70866141732283472" top="0.74803149606299213" bottom="0.74803149606299213" header="0" footer="0"/>
  <pageSetup paperSize="9" scale="75" orientation="portrait"/>
  <headerFooter>
    <oddHeader>&amp;CFORMATOS DEL PROYECTO DE PRESUPUESTO 2021</oddHeader>
    <oddFooter>&amp;LPROYECTO DE PRESUPUESTO PARA EL AÑO FISCAL 2020 INFORMACIÓN PARA LA COMISIÓN DE PRESUPUESTO Y CUENTA GENERAL DE LA REPÚBLICA DEL CONGRESO DE LA REPÚBLICA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A1:Z153"/>
  <sheetViews>
    <sheetView showGridLines="0" workbookViewId="0"/>
  </sheetViews>
  <sheetFormatPr baseColWidth="10" defaultColWidth="14.42578125" defaultRowHeight="15" customHeight="1" x14ac:dyDescent="0.2"/>
  <cols>
    <col min="1" max="1" width="41.85546875" customWidth="1"/>
    <col min="2" max="2" width="8.28515625" customWidth="1"/>
    <col min="3" max="3" width="8.140625" customWidth="1"/>
    <col min="4" max="11" width="7" customWidth="1"/>
    <col min="12" max="12" width="14.28515625" customWidth="1"/>
    <col min="13" max="22" width="7" customWidth="1"/>
    <col min="23" max="23" width="14.140625" customWidth="1"/>
    <col min="24" max="26" width="11.42578125" customWidth="1"/>
  </cols>
  <sheetData>
    <row r="1" spans="1:26" ht="12" customHeight="1" x14ac:dyDescent="0.2">
      <c r="A1" s="16" t="s">
        <v>421</v>
      </c>
      <c r="B1" s="48"/>
      <c r="C1" s="48"/>
      <c r="D1" s="48"/>
      <c r="E1" s="48"/>
      <c r="F1" s="48"/>
      <c r="G1" s="48"/>
      <c r="H1" s="48"/>
      <c r="I1" s="48"/>
      <c r="J1" s="48"/>
      <c r="K1" s="48"/>
      <c r="L1" s="48"/>
      <c r="M1" s="48"/>
      <c r="N1" s="48"/>
      <c r="O1" s="48"/>
      <c r="P1" s="48"/>
      <c r="Q1" s="48"/>
      <c r="R1" s="48"/>
      <c r="S1" s="48"/>
      <c r="T1" s="48"/>
      <c r="U1" s="48"/>
      <c r="V1" s="48"/>
      <c r="W1" s="48"/>
      <c r="X1" s="214"/>
      <c r="Y1" s="214"/>
      <c r="Z1" s="214"/>
    </row>
    <row r="2" spans="1:26" ht="12" customHeight="1" x14ac:dyDescent="0.2">
      <c r="A2" s="16" t="s">
        <v>422</v>
      </c>
      <c r="B2" s="48"/>
      <c r="C2" s="48"/>
      <c r="D2" s="48"/>
      <c r="E2" s="48"/>
      <c r="F2" s="48"/>
      <c r="G2" s="48"/>
      <c r="H2" s="48"/>
      <c r="I2" s="48"/>
      <c r="J2" s="48"/>
      <c r="K2" s="48"/>
      <c r="L2" s="48"/>
      <c r="M2" s="48"/>
      <c r="N2" s="48"/>
      <c r="O2" s="48"/>
      <c r="P2" s="48"/>
      <c r="Q2" s="48"/>
      <c r="R2" s="48"/>
      <c r="S2" s="48"/>
      <c r="T2" s="48"/>
      <c r="U2" s="48"/>
      <c r="V2" s="48"/>
      <c r="W2" s="48"/>
      <c r="X2" s="214"/>
      <c r="Y2" s="214"/>
      <c r="Z2" s="214"/>
    </row>
    <row r="3" spans="1:26" ht="12" customHeight="1" x14ac:dyDescent="0.2">
      <c r="A3" s="250" t="s">
        <v>423</v>
      </c>
      <c r="B3" s="251"/>
      <c r="C3" s="251"/>
      <c r="D3" s="251"/>
      <c r="E3" s="251"/>
      <c r="F3" s="251"/>
      <c r="G3" s="251"/>
      <c r="H3" s="251"/>
      <c r="I3" s="251"/>
      <c r="J3" s="251"/>
      <c r="K3" s="251"/>
      <c r="L3" s="251"/>
      <c r="M3" s="251"/>
      <c r="N3" s="251"/>
      <c r="O3" s="251"/>
      <c r="P3" s="251"/>
      <c r="Q3" s="251"/>
      <c r="R3" s="251"/>
      <c r="S3" s="251"/>
      <c r="T3" s="251"/>
      <c r="U3" s="251"/>
      <c r="V3" s="251"/>
      <c r="W3" s="251"/>
      <c r="X3" s="251"/>
      <c r="Y3" s="251"/>
      <c r="Z3" s="251"/>
    </row>
    <row r="4" spans="1:26" ht="6.75" customHeight="1" x14ac:dyDescent="0.2">
      <c r="A4" s="214"/>
      <c r="B4" s="214"/>
      <c r="C4" s="214"/>
      <c r="D4" s="214"/>
      <c r="E4" s="214"/>
      <c r="F4" s="214"/>
      <c r="G4" s="214"/>
      <c r="H4" s="214"/>
      <c r="I4" s="214"/>
      <c r="J4" s="214"/>
      <c r="K4" s="214"/>
      <c r="L4" s="213"/>
      <c r="M4" s="214"/>
      <c r="N4" s="214"/>
      <c r="O4" s="214"/>
      <c r="P4" s="214"/>
      <c r="Q4" s="214"/>
      <c r="R4" s="214"/>
      <c r="S4" s="214"/>
      <c r="T4" s="214"/>
      <c r="U4" s="214"/>
      <c r="V4" s="214"/>
      <c r="W4" s="213"/>
      <c r="X4" s="214"/>
      <c r="Y4" s="214"/>
      <c r="Z4" s="214"/>
    </row>
    <row r="5" spans="1:26" ht="26.25" customHeight="1" x14ac:dyDescent="0.2">
      <c r="A5" s="252" t="s">
        <v>424</v>
      </c>
      <c r="B5" s="837" t="s">
        <v>425</v>
      </c>
      <c r="C5" s="833"/>
      <c r="D5" s="833"/>
      <c r="E5" s="833"/>
      <c r="F5" s="833"/>
      <c r="G5" s="833"/>
      <c r="H5" s="833"/>
      <c r="I5" s="833"/>
      <c r="J5" s="833"/>
      <c r="K5" s="833"/>
      <c r="L5" s="829"/>
      <c r="M5" s="837" t="s">
        <v>426</v>
      </c>
      <c r="N5" s="833"/>
      <c r="O5" s="833"/>
      <c r="P5" s="833"/>
      <c r="Q5" s="833"/>
      <c r="R5" s="833"/>
      <c r="S5" s="833"/>
      <c r="T5" s="833"/>
      <c r="U5" s="833"/>
      <c r="V5" s="833"/>
      <c r="W5" s="829"/>
      <c r="X5" s="214"/>
      <c r="Y5" s="214"/>
      <c r="Z5" s="214"/>
    </row>
    <row r="6" spans="1:26" ht="99.75" customHeight="1" x14ac:dyDescent="0.2">
      <c r="A6" s="253" t="s">
        <v>427</v>
      </c>
      <c r="B6" s="254" t="s">
        <v>428</v>
      </c>
      <c r="C6" s="254" t="s">
        <v>429</v>
      </c>
      <c r="D6" s="255" t="s">
        <v>430</v>
      </c>
      <c r="E6" s="255" t="s">
        <v>431</v>
      </c>
      <c r="F6" s="255" t="s">
        <v>432</v>
      </c>
      <c r="G6" s="255" t="s">
        <v>433</v>
      </c>
      <c r="H6" s="255" t="s">
        <v>434</v>
      </c>
      <c r="I6" s="255" t="s">
        <v>435</v>
      </c>
      <c r="J6" s="256" t="s">
        <v>436</v>
      </c>
      <c r="K6" s="257" t="s">
        <v>437</v>
      </c>
      <c r="L6" s="258" t="s">
        <v>438</v>
      </c>
      <c r="M6" s="254" t="s">
        <v>428</v>
      </c>
      <c r="N6" s="254" t="s">
        <v>429</v>
      </c>
      <c r="O6" s="255" t="s">
        <v>430</v>
      </c>
      <c r="P6" s="255" t="s">
        <v>431</v>
      </c>
      <c r="Q6" s="255" t="s">
        <v>432</v>
      </c>
      <c r="R6" s="255" t="s">
        <v>433</v>
      </c>
      <c r="S6" s="255" t="s">
        <v>434</v>
      </c>
      <c r="T6" s="255" t="s">
        <v>435</v>
      </c>
      <c r="U6" s="256" t="s">
        <v>436</v>
      </c>
      <c r="V6" s="257" t="s">
        <v>437</v>
      </c>
      <c r="W6" s="258" t="s">
        <v>439</v>
      </c>
      <c r="X6" s="259"/>
      <c r="Y6" s="259"/>
      <c r="Z6" s="259"/>
    </row>
    <row r="7" spans="1:26" ht="6.75" customHeight="1" x14ac:dyDescent="0.2">
      <c r="A7" s="260"/>
      <c r="B7" s="261"/>
      <c r="C7" s="261"/>
      <c r="D7" s="261"/>
      <c r="E7" s="261"/>
      <c r="F7" s="261"/>
      <c r="G7" s="261"/>
      <c r="H7" s="261"/>
      <c r="I7" s="261"/>
      <c r="J7" s="261"/>
      <c r="K7" s="261"/>
      <c r="L7" s="261"/>
      <c r="M7" s="262"/>
      <c r="N7" s="262"/>
      <c r="O7" s="262"/>
      <c r="P7" s="262"/>
      <c r="Q7" s="262"/>
      <c r="R7" s="262"/>
      <c r="S7" s="262"/>
      <c r="T7" s="262"/>
      <c r="U7" s="262"/>
      <c r="V7" s="262"/>
      <c r="W7" s="262"/>
      <c r="X7" s="214"/>
      <c r="Y7" s="214"/>
      <c r="Z7" s="214"/>
    </row>
    <row r="8" spans="1:26" ht="23.25" customHeight="1" x14ac:dyDescent="0.2">
      <c r="A8" s="263" t="s">
        <v>440</v>
      </c>
      <c r="B8" s="264"/>
      <c r="C8" s="264"/>
      <c r="D8" s="264"/>
      <c r="E8" s="264"/>
      <c r="F8" s="264"/>
      <c r="G8" s="264"/>
      <c r="H8" s="264"/>
      <c r="I8" s="264"/>
      <c r="J8" s="264"/>
      <c r="K8" s="264"/>
      <c r="L8" s="264"/>
      <c r="M8" s="264"/>
      <c r="N8" s="264"/>
      <c r="O8" s="264"/>
      <c r="P8" s="264"/>
      <c r="Q8" s="264"/>
      <c r="R8" s="264"/>
      <c r="S8" s="264"/>
      <c r="T8" s="264"/>
      <c r="U8" s="264"/>
      <c r="V8" s="264"/>
      <c r="W8" s="265"/>
      <c r="X8" s="214"/>
      <c r="Y8" s="214"/>
      <c r="Z8" s="214"/>
    </row>
    <row r="9" spans="1:26" ht="12" customHeight="1" x14ac:dyDescent="0.2">
      <c r="A9" s="266" t="s">
        <v>441</v>
      </c>
      <c r="B9" s="267">
        <f t="shared" ref="B9:W9" si="0">SUM(B10:B19)</f>
        <v>40</v>
      </c>
      <c r="C9" s="268">
        <f t="shared" si="0"/>
        <v>2</v>
      </c>
      <c r="D9" s="268">
        <f t="shared" si="0"/>
        <v>73</v>
      </c>
      <c r="E9" s="268">
        <f t="shared" si="0"/>
        <v>4</v>
      </c>
      <c r="F9" s="268">
        <f t="shared" si="0"/>
        <v>0</v>
      </c>
      <c r="G9" s="268">
        <f t="shared" si="0"/>
        <v>0</v>
      </c>
      <c r="H9" s="268">
        <f t="shared" si="0"/>
        <v>0</v>
      </c>
      <c r="I9" s="268">
        <f t="shared" si="0"/>
        <v>0</v>
      </c>
      <c r="J9" s="268">
        <f t="shared" si="0"/>
        <v>0</v>
      </c>
      <c r="K9" s="268">
        <f t="shared" si="0"/>
        <v>119</v>
      </c>
      <c r="L9" s="269">
        <f t="shared" si="0"/>
        <v>18091785.48</v>
      </c>
      <c r="M9" s="267">
        <f t="shared" si="0"/>
        <v>40</v>
      </c>
      <c r="N9" s="268">
        <f t="shared" si="0"/>
        <v>2</v>
      </c>
      <c r="O9" s="268">
        <f t="shared" si="0"/>
        <v>79</v>
      </c>
      <c r="P9" s="268">
        <f t="shared" si="0"/>
        <v>4</v>
      </c>
      <c r="Q9" s="268">
        <f t="shared" si="0"/>
        <v>0</v>
      </c>
      <c r="R9" s="268">
        <f t="shared" si="0"/>
        <v>0</v>
      </c>
      <c r="S9" s="268">
        <f t="shared" si="0"/>
        <v>0</v>
      </c>
      <c r="T9" s="268">
        <f t="shared" si="0"/>
        <v>0</v>
      </c>
      <c r="U9" s="268">
        <f t="shared" si="0"/>
        <v>0</v>
      </c>
      <c r="V9" s="268">
        <f t="shared" si="0"/>
        <v>125</v>
      </c>
      <c r="W9" s="269">
        <f t="shared" si="0"/>
        <v>19235762.52</v>
      </c>
      <c r="X9" s="214"/>
      <c r="Y9" s="214"/>
      <c r="Z9" s="214"/>
    </row>
    <row r="10" spans="1:26" ht="12" customHeight="1" x14ac:dyDescent="0.2">
      <c r="A10" s="270" t="s">
        <v>442</v>
      </c>
      <c r="B10" s="248"/>
      <c r="C10" s="271"/>
      <c r="D10" s="271"/>
      <c r="E10" s="271">
        <v>1</v>
      </c>
      <c r="F10" s="271"/>
      <c r="G10" s="271"/>
      <c r="H10" s="271"/>
      <c r="I10" s="271"/>
      <c r="J10" s="271"/>
      <c r="K10" s="271">
        <f t="shared" ref="K10:K19" si="1">SUM(B10:J10)</f>
        <v>1</v>
      </c>
      <c r="L10" s="272">
        <v>420000</v>
      </c>
      <c r="M10" s="248"/>
      <c r="N10" s="271"/>
      <c r="O10" s="271"/>
      <c r="P10" s="271">
        <v>1</v>
      </c>
      <c r="Q10" s="271"/>
      <c r="R10" s="271"/>
      <c r="S10" s="271"/>
      <c r="T10" s="271"/>
      <c r="U10" s="271"/>
      <c r="V10" s="271">
        <f t="shared" ref="V10:V19" si="2">SUM(M10:U10)</f>
        <v>1</v>
      </c>
      <c r="W10" s="272">
        <v>420000</v>
      </c>
      <c r="X10" s="214"/>
      <c r="Y10" s="214"/>
      <c r="Z10" s="214"/>
    </row>
    <row r="11" spans="1:26" ht="12" customHeight="1" x14ac:dyDescent="0.2">
      <c r="A11" s="270" t="s">
        <v>443</v>
      </c>
      <c r="B11" s="248"/>
      <c r="C11" s="271"/>
      <c r="D11" s="271"/>
      <c r="E11" s="271">
        <v>2</v>
      </c>
      <c r="F11" s="271"/>
      <c r="G11" s="271"/>
      <c r="H11" s="271"/>
      <c r="I11" s="271"/>
      <c r="J11" s="271"/>
      <c r="K11" s="271">
        <f t="shared" si="1"/>
        <v>2</v>
      </c>
      <c r="L11" s="272">
        <v>784000</v>
      </c>
      <c r="M11" s="248"/>
      <c r="N11" s="271"/>
      <c r="O11" s="271"/>
      <c r="P11" s="271">
        <v>2</v>
      </c>
      <c r="Q11" s="271"/>
      <c r="R11" s="271"/>
      <c r="S11" s="271"/>
      <c r="T11" s="271"/>
      <c r="U11" s="271"/>
      <c r="V11" s="271">
        <f t="shared" si="2"/>
        <v>2</v>
      </c>
      <c r="W11" s="272">
        <v>784000</v>
      </c>
      <c r="X11" s="214"/>
      <c r="Y11" s="214"/>
      <c r="Z11" s="214"/>
    </row>
    <row r="12" spans="1:26" ht="12" customHeight="1" x14ac:dyDescent="0.2">
      <c r="A12" s="270" t="s">
        <v>444</v>
      </c>
      <c r="B12" s="248"/>
      <c r="C12" s="271"/>
      <c r="D12" s="271"/>
      <c r="E12" s="271">
        <v>1</v>
      </c>
      <c r="F12" s="271"/>
      <c r="G12" s="271"/>
      <c r="H12" s="271"/>
      <c r="I12" s="271"/>
      <c r="J12" s="271"/>
      <c r="K12" s="271">
        <f t="shared" si="1"/>
        <v>1</v>
      </c>
      <c r="L12" s="272">
        <v>350000</v>
      </c>
      <c r="M12" s="248"/>
      <c r="N12" s="271"/>
      <c r="O12" s="271"/>
      <c r="P12" s="271">
        <v>1</v>
      </c>
      <c r="Q12" s="271"/>
      <c r="R12" s="271"/>
      <c r="S12" s="271"/>
      <c r="T12" s="271"/>
      <c r="U12" s="271"/>
      <c r="V12" s="271">
        <f t="shared" si="2"/>
        <v>1</v>
      </c>
      <c r="W12" s="272">
        <v>350000</v>
      </c>
      <c r="X12" s="214"/>
      <c r="Y12" s="214"/>
      <c r="Z12" s="214"/>
    </row>
    <row r="13" spans="1:26" ht="12" customHeight="1" x14ac:dyDescent="0.2">
      <c r="A13" s="270" t="s">
        <v>445</v>
      </c>
      <c r="B13" s="273">
        <v>6</v>
      </c>
      <c r="C13" s="271"/>
      <c r="D13" s="271"/>
      <c r="E13" s="271"/>
      <c r="F13" s="271"/>
      <c r="G13" s="271"/>
      <c r="H13" s="271"/>
      <c r="I13" s="271"/>
      <c r="J13" s="271"/>
      <c r="K13" s="274">
        <f t="shared" si="1"/>
        <v>6</v>
      </c>
      <c r="L13" s="272">
        <v>521409.96</v>
      </c>
      <c r="M13" s="273">
        <v>6</v>
      </c>
      <c r="N13" s="271"/>
      <c r="O13" s="271"/>
      <c r="P13" s="271"/>
      <c r="Q13" s="271"/>
      <c r="R13" s="271"/>
      <c r="S13" s="271"/>
      <c r="T13" s="271"/>
      <c r="U13" s="271"/>
      <c r="V13" s="274">
        <f t="shared" si="2"/>
        <v>6</v>
      </c>
      <c r="W13" s="272">
        <v>514196.46</v>
      </c>
      <c r="X13" s="214"/>
      <c r="Y13" s="214"/>
      <c r="Z13" s="214"/>
    </row>
    <row r="14" spans="1:26" ht="12" customHeight="1" x14ac:dyDescent="0.2">
      <c r="A14" s="270" t="s">
        <v>446</v>
      </c>
      <c r="B14" s="273">
        <v>2</v>
      </c>
      <c r="C14" s="271"/>
      <c r="D14" s="271"/>
      <c r="E14" s="271"/>
      <c r="F14" s="271"/>
      <c r="G14" s="271"/>
      <c r="H14" s="271"/>
      <c r="I14" s="271"/>
      <c r="J14" s="271"/>
      <c r="K14" s="274">
        <f t="shared" si="1"/>
        <v>2</v>
      </c>
      <c r="L14" s="272">
        <v>174068.24</v>
      </c>
      <c r="M14" s="273">
        <v>2</v>
      </c>
      <c r="N14" s="271"/>
      <c r="O14" s="271"/>
      <c r="P14" s="271"/>
      <c r="Q14" s="271"/>
      <c r="R14" s="271"/>
      <c r="S14" s="271"/>
      <c r="T14" s="271"/>
      <c r="U14" s="271"/>
      <c r="V14" s="274">
        <f t="shared" si="2"/>
        <v>2</v>
      </c>
      <c r="W14" s="272">
        <v>171663.74</v>
      </c>
      <c r="X14" s="214"/>
      <c r="Y14" s="214"/>
      <c r="Z14" s="214"/>
    </row>
    <row r="15" spans="1:26" ht="12" customHeight="1" x14ac:dyDescent="0.2">
      <c r="A15" s="270" t="s">
        <v>447</v>
      </c>
      <c r="B15" s="273">
        <v>14</v>
      </c>
      <c r="C15" s="271"/>
      <c r="D15" s="271"/>
      <c r="E15" s="271"/>
      <c r="F15" s="271"/>
      <c r="G15" s="271"/>
      <c r="H15" s="271"/>
      <c r="I15" s="271"/>
      <c r="J15" s="271"/>
      <c r="K15" s="274">
        <f t="shared" si="1"/>
        <v>14</v>
      </c>
      <c r="L15" s="272">
        <v>1184279.3600000001</v>
      </c>
      <c r="M15" s="273">
        <v>14</v>
      </c>
      <c r="N15" s="271"/>
      <c r="O15" s="271"/>
      <c r="P15" s="271"/>
      <c r="Q15" s="271"/>
      <c r="R15" s="271"/>
      <c r="S15" s="271"/>
      <c r="T15" s="271"/>
      <c r="U15" s="271"/>
      <c r="V15" s="274">
        <f t="shared" si="2"/>
        <v>14</v>
      </c>
      <c r="W15" s="272">
        <v>1167447.8599999999</v>
      </c>
      <c r="X15" s="214"/>
      <c r="Y15" s="214"/>
      <c r="Z15" s="214"/>
    </row>
    <row r="16" spans="1:26" ht="12" customHeight="1" x14ac:dyDescent="0.2">
      <c r="A16" s="270" t="s">
        <v>448</v>
      </c>
      <c r="B16" s="273">
        <v>12</v>
      </c>
      <c r="C16" s="271"/>
      <c r="D16" s="271"/>
      <c r="E16" s="271"/>
      <c r="F16" s="271"/>
      <c r="G16" s="271"/>
      <c r="H16" s="271"/>
      <c r="I16" s="271"/>
      <c r="J16" s="271"/>
      <c r="K16" s="274">
        <f t="shared" si="1"/>
        <v>12</v>
      </c>
      <c r="L16" s="272">
        <v>901297.20000000007</v>
      </c>
      <c r="M16" s="273">
        <v>12</v>
      </c>
      <c r="N16" s="271"/>
      <c r="O16" s="271"/>
      <c r="P16" s="271"/>
      <c r="Q16" s="271"/>
      <c r="R16" s="271"/>
      <c r="S16" s="271"/>
      <c r="T16" s="271"/>
      <c r="U16" s="271"/>
      <c r="V16" s="274">
        <f t="shared" si="2"/>
        <v>12</v>
      </c>
      <c r="W16" s="272">
        <v>886870.2</v>
      </c>
      <c r="X16" s="214"/>
      <c r="Y16" s="214"/>
      <c r="Z16" s="214"/>
    </row>
    <row r="17" spans="1:26" ht="12" customHeight="1" x14ac:dyDescent="0.2">
      <c r="A17" s="270" t="s">
        <v>449</v>
      </c>
      <c r="B17" s="273">
        <v>6</v>
      </c>
      <c r="C17" s="271"/>
      <c r="D17" s="271"/>
      <c r="E17" s="271"/>
      <c r="F17" s="271"/>
      <c r="G17" s="271"/>
      <c r="H17" s="271"/>
      <c r="I17" s="271"/>
      <c r="J17" s="271"/>
      <c r="K17" s="274">
        <f t="shared" si="1"/>
        <v>6</v>
      </c>
      <c r="L17" s="272">
        <v>364957.07999999996</v>
      </c>
      <c r="M17" s="273">
        <v>6</v>
      </c>
      <c r="N17" s="271"/>
      <c r="O17" s="271"/>
      <c r="P17" s="271"/>
      <c r="Q17" s="271"/>
      <c r="R17" s="271"/>
      <c r="S17" s="271"/>
      <c r="T17" s="271"/>
      <c r="U17" s="271"/>
      <c r="V17" s="274">
        <f t="shared" si="2"/>
        <v>6</v>
      </c>
      <c r="W17" s="272">
        <v>357743.58</v>
      </c>
      <c r="X17" s="214"/>
      <c r="Y17" s="214"/>
      <c r="Z17" s="214"/>
    </row>
    <row r="18" spans="1:26" ht="12" customHeight="1" x14ac:dyDescent="0.2">
      <c r="A18" s="275" t="s">
        <v>450</v>
      </c>
      <c r="B18" s="270"/>
      <c r="C18" s="276">
        <v>2</v>
      </c>
      <c r="D18" s="276"/>
      <c r="E18" s="276"/>
      <c r="F18" s="276"/>
      <c r="G18" s="276"/>
      <c r="H18" s="276"/>
      <c r="I18" s="276"/>
      <c r="J18" s="276"/>
      <c r="K18" s="271">
        <f t="shared" si="1"/>
        <v>2</v>
      </c>
      <c r="L18" s="272">
        <v>273709.12</v>
      </c>
      <c r="M18" s="270"/>
      <c r="N18" s="276">
        <v>2</v>
      </c>
      <c r="O18" s="276"/>
      <c r="P18" s="276"/>
      <c r="Q18" s="276"/>
      <c r="R18" s="276"/>
      <c r="S18" s="276"/>
      <c r="T18" s="276"/>
      <c r="U18" s="276"/>
      <c r="V18" s="276">
        <f t="shared" si="2"/>
        <v>2</v>
      </c>
      <c r="W18" s="272">
        <v>273709.12</v>
      </c>
      <c r="X18" s="214"/>
      <c r="Y18" s="214"/>
      <c r="Z18" s="214"/>
    </row>
    <row r="19" spans="1:26" ht="12" customHeight="1" x14ac:dyDescent="0.2">
      <c r="A19" s="277" t="s">
        <v>451</v>
      </c>
      <c r="B19" s="248"/>
      <c r="C19" s="271"/>
      <c r="D19" s="271">
        <v>73</v>
      </c>
      <c r="E19" s="271"/>
      <c r="F19" s="271"/>
      <c r="G19" s="271"/>
      <c r="H19" s="271"/>
      <c r="I19" s="271"/>
      <c r="J19" s="271"/>
      <c r="K19" s="271">
        <f t="shared" si="1"/>
        <v>73</v>
      </c>
      <c r="L19" s="278">
        <v>13118064.52</v>
      </c>
      <c r="M19" s="248"/>
      <c r="N19" s="271"/>
      <c r="O19" s="271">
        <v>79</v>
      </c>
      <c r="P19" s="271"/>
      <c r="Q19" s="271"/>
      <c r="R19" s="271"/>
      <c r="S19" s="271"/>
      <c r="T19" s="271"/>
      <c r="U19" s="271"/>
      <c r="V19" s="271">
        <f t="shared" si="2"/>
        <v>79</v>
      </c>
      <c r="W19" s="272">
        <v>14310131.560000001</v>
      </c>
      <c r="X19" s="214"/>
      <c r="Y19" s="214"/>
      <c r="Z19" s="279"/>
    </row>
    <row r="20" spans="1:26" ht="12" customHeight="1" x14ac:dyDescent="0.2">
      <c r="A20" s="280" t="s">
        <v>452</v>
      </c>
      <c r="B20" s="247">
        <f t="shared" ref="B20:W20" si="3">SUM(B21:B27)</f>
        <v>10</v>
      </c>
      <c r="C20" s="213">
        <f t="shared" si="3"/>
        <v>5</v>
      </c>
      <c r="D20" s="213">
        <f t="shared" si="3"/>
        <v>1048</v>
      </c>
      <c r="E20" s="213">
        <f t="shared" si="3"/>
        <v>0</v>
      </c>
      <c r="F20" s="213">
        <f t="shared" si="3"/>
        <v>0</v>
      </c>
      <c r="G20" s="213">
        <f t="shared" si="3"/>
        <v>0</v>
      </c>
      <c r="H20" s="213">
        <f t="shared" si="3"/>
        <v>0</v>
      </c>
      <c r="I20" s="213">
        <f t="shared" si="3"/>
        <v>0</v>
      </c>
      <c r="J20" s="213">
        <f t="shared" si="3"/>
        <v>0</v>
      </c>
      <c r="K20" s="213">
        <f t="shared" si="3"/>
        <v>1063</v>
      </c>
      <c r="L20" s="281">
        <f t="shared" si="3"/>
        <v>89334441.479999721</v>
      </c>
      <c r="M20" s="247">
        <f t="shared" si="3"/>
        <v>10</v>
      </c>
      <c r="N20" s="213">
        <f t="shared" si="3"/>
        <v>5</v>
      </c>
      <c r="O20" s="213">
        <f t="shared" si="3"/>
        <v>1068</v>
      </c>
      <c r="P20" s="213">
        <f t="shared" si="3"/>
        <v>0</v>
      </c>
      <c r="Q20" s="213">
        <f t="shared" si="3"/>
        <v>0</v>
      </c>
      <c r="R20" s="213">
        <f t="shared" si="3"/>
        <v>0</v>
      </c>
      <c r="S20" s="213">
        <f t="shared" si="3"/>
        <v>0</v>
      </c>
      <c r="T20" s="213">
        <f t="shared" si="3"/>
        <v>0</v>
      </c>
      <c r="U20" s="213">
        <f t="shared" si="3"/>
        <v>0</v>
      </c>
      <c r="V20" s="213">
        <f t="shared" si="3"/>
        <v>1083</v>
      </c>
      <c r="W20" s="281">
        <f t="shared" si="3"/>
        <v>103311931.73998988</v>
      </c>
      <c r="X20" s="214"/>
      <c r="Y20" s="214"/>
      <c r="Z20" s="214"/>
    </row>
    <row r="21" spans="1:26" ht="12" customHeight="1" x14ac:dyDescent="0.2">
      <c r="A21" s="275" t="s">
        <v>453</v>
      </c>
      <c r="B21" s="248">
        <v>2</v>
      </c>
      <c r="C21" s="271"/>
      <c r="D21" s="271">
        <v>42</v>
      </c>
      <c r="E21" s="271"/>
      <c r="F21" s="271"/>
      <c r="G21" s="271"/>
      <c r="H21" s="271"/>
      <c r="I21" s="271"/>
      <c r="J21" s="271"/>
      <c r="K21" s="271">
        <f t="shared" ref="K21:K26" si="4">SUM(B21:J21)</f>
        <v>44</v>
      </c>
      <c r="L21" s="272">
        <f>165947.48+4786351</f>
        <v>4952298.4800000004</v>
      </c>
      <c r="M21" s="248">
        <v>2</v>
      </c>
      <c r="N21" s="271"/>
      <c r="O21" s="271">
        <v>45</v>
      </c>
      <c r="P21" s="271"/>
      <c r="Q21" s="271"/>
      <c r="R21" s="271"/>
      <c r="S21" s="271"/>
      <c r="T21" s="271"/>
      <c r="U21" s="271"/>
      <c r="V21" s="271">
        <f t="shared" ref="V21:V26" si="5">SUM(M21:U21)</f>
        <v>47</v>
      </c>
      <c r="W21" s="272">
        <f>163542.98+5125321</f>
        <v>5288863.9800000004</v>
      </c>
      <c r="X21" s="214"/>
      <c r="Y21" s="214"/>
      <c r="Z21" s="214"/>
    </row>
    <row r="22" spans="1:26" ht="12" customHeight="1" x14ac:dyDescent="0.2">
      <c r="A22" s="275" t="s">
        <v>454</v>
      </c>
      <c r="B22" s="248">
        <v>2</v>
      </c>
      <c r="C22" s="271"/>
      <c r="D22" s="271"/>
      <c r="E22" s="271"/>
      <c r="F22" s="271"/>
      <c r="G22" s="271"/>
      <c r="H22" s="271"/>
      <c r="I22" s="271"/>
      <c r="J22" s="271"/>
      <c r="K22" s="271">
        <f t="shared" si="4"/>
        <v>2</v>
      </c>
      <c r="L22" s="272">
        <v>145205.36000000002</v>
      </c>
      <c r="M22" s="248">
        <v>2</v>
      </c>
      <c r="N22" s="271"/>
      <c r="O22" s="271"/>
      <c r="P22" s="271"/>
      <c r="Q22" s="271"/>
      <c r="R22" s="271"/>
      <c r="S22" s="271"/>
      <c r="T22" s="271"/>
      <c r="U22" s="271"/>
      <c r="V22" s="271">
        <f t="shared" si="5"/>
        <v>2</v>
      </c>
      <c r="W22" s="272">
        <v>142800.85999999999</v>
      </c>
      <c r="X22" s="214"/>
      <c r="Y22" s="214"/>
      <c r="Z22" s="214"/>
    </row>
    <row r="23" spans="1:26" ht="12" customHeight="1" x14ac:dyDescent="0.2">
      <c r="A23" s="275" t="s">
        <v>455</v>
      </c>
      <c r="B23" s="248">
        <v>2</v>
      </c>
      <c r="C23" s="271"/>
      <c r="D23" s="271"/>
      <c r="E23" s="271"/>
      <c r="F23" s="271"/>
      <c r="G23" s="271"/>
      <c r="H23" s="271"/>
      <c r="I23" s="271"/>
      <c r="J23" s="271"/>
      <c r="K23" s="271">
        <f t="shared" si="4"/>
        <v>2</v>
      </c>
      <c r="L23" s="272">
        <v>116386.40000000001</v>
      </c>
      <c r="M23" s="248">
        <v>2</v>
      </c>
      <c r="N23" s="271"/>
      <c r="O23" s="271"/>
      <c r="P23" s="271"/>
      <c r="Q23" s="271"/>
      <c r="R23" s="271"/>
      <c r="S23" s="271"/>
      <c r="T23" s="271"/>
      <c r="U23" s="271"/>
      <c r="V23" s="271">
        <f t="shared" si="5"/>
        <v>2</v>
      </c>
      <c r="W23" s="272">
        <v>113981.9</v>
      </c>
      <c r="X23" s="214"/>
      <c r="Y23" s="214"/>
      <c r="Z23" s="214"/>
    </row>
    <row r="24" spans="1:26" ht="12" customHeight="1" x14ac:dyDescent="0.2">
      <c r="A24" s="275" t="s">
        <v>456</v>
      </c>
      <c r="B24" s="248">
        <v>2</v>
      </c>
      <c r="C24" s="271"/>
      <c r="D24" s="271"/>
      <c r="E24" s="271"/>
      <c r="F24" s="271"/>
      <c r="G24" s="271"/>
      <c r="H24" s="271"/>
      <c r="I24" s="271"/>
      <c r="J24" s="271"/>
      <c r="K24" s="271">
        <f t="shared" si="4"/>
        <v>2</v>
      </c>
      <c r="L24" s="272">
        <v>116059.40000000001</v>
      </c>
      <c r="M24" s="248">
        <v>2</v>
      </c>
      <c r="N24" s="271"/>
      <c r="O24" s="271"/>
      <c r="P24" s="271"/>
      <c r="Q24" s="271"/>
      <c r="R24" s="271"/>
      <c r="S24" s="271"/>
      <c r="T24" s="271"/>
      <c r="U24" s="271"/>
      <c r="V24" s="271">
        <f t="shared" si="5"/>
        <v>2</v>
      </c>
      <c r="W24" s="272">
        <v>113654.9</v>
      </c>
      <c r="X24" s="214"/>
      <c r="Y24" s="214"/>
      <c r="Z24" s="214"/>
    </row>
    <row r="25" spans="1:26" ht="12" customHeight="1" x14ac:dyDescent="0.2">
      <c r="A25" s="275" t="s">
        <v>457</v>
      </c>
      <c r="B25" s="248">
        <v>2</v>
      </c>
      <c r="C25" s="271"/>
      <c r="D25" s="271"/>
      <c r="E25" s="271"/>
      <c r="F25" s="271"/>
      <c r="G25" s="271"/>
      <c r="H25" s="271"/>
      <c r="I25" s="271"/>
      <c r="J25" s="271"/>
      <c r="K25" s="271">
        <f t="shared" si="4"/>
        <v>2</v>
      </c>
      <c r="L25" s="272">
        <v>120174.32</v>
      </c>
      <c r="M25" s="248">
        <v>2</v>
      </c>
      <c r="N25" s="271"/>
      <c r="O25" s="271"/>
      <c r="P25" s="271"/>
      <c r="Q25" s="271"/>
      <c r="R25" s="271"/>
      <c r="S25" s="271"/>
      <c r="T25" s="271"/>
      <c r="U25" s="271"/>
      <c r="V25" s="271">
        <f t="shared" si="5"/>
        <v>2</v>
      </c>
      <c r="W25" s="272">
        <v>117769.81999999999</v>
      </c>
      <c r="X25" s="214"/>
      <c r="Y25" s="214"/>
      <c r="Z25" s="214"/>
    </row>
    <row r="26" spans="1:26" ht="12" customHeight="1" x14ac:dyDescent="0.2">
      <c r="A26" s="275" t="s">
        <v>452</v>
      </c>
      <c r="B26" s="270"/>
      <c r="C26" s="276">
        <v>5</v>
      </c>
      <c r="D26" s="276"/>
      <c r="E26" s="276"/>
      <c r="F26" s="276"/>
      <c r="G26" s="276"/>
      <c r="H26" s="276"/>
      <c r="I26" s="276"/>
      <c r="J26" s="276"/>
      <c r="K26" s="276">
        <f t="shared" si="4"/>
        <v>5</v>
      </c>
      <c r="L26" s="272">
        <v>555453.12</v>
      </c>
      <c r="M26" s="270"/>
      <c r="N26" s="276">
        <v>5</v>
      </c>
      <c r="O26" s="276"/>
      <c r="P26" s="276"/>
      <c r="Q26" s="276"/>
      <c r="R26" s="276"/>
      <c r="S26" s="276"/>
      <c r="T26" s="276"/>
      <c r="U26" s="276"/>
      <c r="V26" s="276">
        <f t="shared" si="5"/>
        <v>5</v>
      </c>
      <c r="W26" s="272">
        <v>555453.12</v>
      </c>
      <c r="X26" s="214"/>
      <c r="Y26" s="214"/>
      <c r="Z26" s="214"/>
    </row>
    <row r="27" spans="1:26" ht="12" customHeight="1" x14ac:dyDescent="0.2">
      <c r="A27" s="277" t="s">
        <v>451</v>
      </c>
      <c r="B27" s="248"/>
      <c r="C27" s="271"/>
      <c r="D27" s="271">
        <v>1006</v>
      </c>
      <c r="E27" s="271"/>
      <c r="F27" s="271"/>
      <c r="G27" s="271"/>
      <c r="H27" s="271"/>
      <c r="I27" s="271"/>
      <c r="J27" s="271"/>
      <c r="K27" s="271">
        <v>1006</v>
      </c>
      <c r="L27" s="278">
        <v>83328864.399999723</v>
      </c>
      <c r="M27" s="248"/>
      <c r="N27" s="271"/>
      <c r="O27" s="271">
        <v>1023</v>
      </c>
      <c r="P27" s="271"/>
      <c r="Q27" s="271"/>
      <c r="R27" s="271"/>
      <c r="S27" s="271"/>
      <c r="T27" s="271"/>
      <c r="U27" s="271"/>
      <c r="V27" s="271">
        <v>1023</v>
      </c>
      <c r="W27" s="278">
        <v>96979407.159989879</v>
      </c>
      <c r="X27" s="214"/>
      <c r="Y27" s="279"/>
      <c r="Z27" s="214"/>
    </row>
    <row r="28" spans="1:26" ht="12" customHeight="1" x14ac:dyDescent="0.2">
      <c r="A28" s="280" t="s">
        <v>458</v>
      </c>
      <c r="B28" s="247">
        <f t="shared" ref="B28:W28" si="6">SUM(B29:B35)</f>
        <v>43</v>
      </c>
      <c r="C28" s="213">
        <f t="shared" si="6"/>
        <v>3</v>
      </c>
      <c r="D28" s="213">
        <f t="shared" si="6"/>
        <v>240</v>
      </c>
      <c r="E28" s="213">
        <f t="shared" si="6"/>
        <v>0</v>
      </c>
      <c r="F28" s="213">
        <f t="shared" si="6"/>
        <v>0</v>
      </c>
      <c r="G28" s="213">
        <f t="shared" si="6"/>
        <v>0</v>
      </c>
      <c r="H28" s="213">
        <f t="shared" si="6"/>
        <v>0</v>
      </c>
      <c r="I28" s="213">
        <f t="shared" si="6"/>
        <v>0</v>
      </c>
      <c r="J28" s="213">
        <f t="shared" si="6"/>
        <v>0</v>
      </c>
      <c r="K28" s="213">
        <f t="shared" si="6"/>
        <v>286</v>
      </c>
      <c r="L28" s="281">
        <f t="shared" si="6"/>
        <v>11807721.569999821</v>
      </c>
      <c r="M28" s="247">
        <f t="shared" si="6"/>
        <v>43</v>
      </c>
      <c r="N28" s="213">
        <f t="shared" si="6"/>
        <v>3</v>
      </c>
      <c r="O28" s="213">
        <f t="shared" si="6"/>
        <v>243</v>
      </c>
      <c r="P28" s="213">
        <f t="shared" si="6"/>
        <v>0</v>
      </c>
      <c r="Q28" s="213">
        <f t="shared" si="6"/>
        <v>0</v>
      </c>
      <c r="R28" s="213">
        <f t="shared" si="6"/>
        <v>0</v>
      </c>
      <c r="S28" s="213">
        <f t="shared" si="6"/>
        <v>0</v>
      </c>
      <c r="T28" s="213">
        <f t="shared" si="6"/>
        <v>0</v>
      </c>
      <c r="U28" s="213">
        <f t="shared" si="6"/>
        <v>0</v>
      </c>
      <c r="V28" s="213">
        <f t="shared" si="6"/>
        <v>289</v>
      </c>
      <c r="W28" s="281">
        <f t="shared" si="6"/>
        <v>13292236.469999999</v>
      </c>
      <c r="X28" s="214"/>
      <c r="Y28" s="214"/>
      <c r="Z28" s="214"/>
    </row>
    <row r="29" spans="1:26" ht="12" customHeight="1" x14ac:dyDescent="0.2">
      <c r="A29" s="275" t="s">
        <v>459</v>
      </c>
      <c r="B29" s="248">
        <v>24</v>
      </c>
      <c r="C29" s="271"/>
      <c r="D29" s="271">
        <v>3</v>
      </c>
      <c r="E29" s="271"/>
      <c r="F29" s="271"/>
      <c r="G29" s="271"/>
      <c r="H29" s="271"/>
      <c r="I29" s="271"/>
      <c r="J29" s="271"/>
      <c r="K29" s="271">
        <f t="shared" ref="K29:K32" si="7">SUM(B29:J29)</f>
        <v>27</v>
      </c>
      <c r="L29" s="272">
        <f>1210016.99999984+170689.8</f>
        <v>1380706.7999998401</v>
      </c>
      <c r="M29" s="248">
        <v>24</v>
      </c>
      <c r="N29" s="271"/>
      <c r="O29" s="271">
        <v>3</v>
      </c>
      <c r="P29" s="271"/>
      <c r="Q29" s="271"/>
      <c r="R29" s="271"/>
      <c r="S29" s="271"/>
      <c r="T29" s="271"/>
      <c r="U29" s="271"/>
      <c r="V29" s="271">
        <f t="shared" ref="V29:V32" si="8">SUM(M29:U29)</f>
        <v>27</v>
      </c>
      <c r="W29" s="272">
        <f>1181156.25+170689.8</f>
        <v>1351846.05</v>
      </c>
      <c r="X29" s="214"/>
      <c r="Y29" s="214"/>
      <c r="Z29" s="214"/>
    </row>
    <row r="30" spans="1:26" ht="12" customHeight="1" x14ac:dyDescent="0.2">
      <c r="A30" s="275" t="s">
        <v>460</v>
      </c>
      <c r="B30" s="248">
        <v>13</v>
      </c>
      <c r="C30" s="271"/>
      <c r="D30" s="271"/>
      <c r="E30" s="271"/>
      <c r="F30" s="271"/>
      <c r="G30" s="271"/>
      <c r="H30" s="271"/>
      <c r="I30" s="271"/>
      <c r="J30" s="271"/>
      <c r="K30" s="271">
        <f t="shared" si="7"/>
        <v>13</v>
      </c>
      <c r="L30" s="272">
        <v>649202.19999999995</v>
      </c>
      <c r="M30" s="248">
        <v>13</v>
      </c>
      <c r="N30" s="271"/>
      <c r="O30" s="271"/>
      <c r="P30" s="271"/>
      <c r="Q30" s="271"/>
      <c r="R30" s="271"/>
      <c r="S30" s="271"/>
      <c r="T30" s="271"/>
      <c r="U30" s="271"/>
      <c r="V30" s="271">
        <f t="shared" si="8"/>
        <v>13</v>
      </c>
      <c r="W30" s="272">
        <v>633572.94999999995</v>
      </c>
      <c r="X30" s="214"/>
      <c r="Y30" s="214"/>
      <c r="Z30" s="214"/>
    </row>
    <row r="31" spans="1:26" ht="12" customHeight="1" x14ac:dyDescent="0.2">
      <c r="A31" s="275" t="s">
        <v>461</v>
      </c>
      <c r="B31" s="248">
        <v>5</v>
      </c>
      <c r="C31" s="271"/>
      <c r="D31" s="271"/>
      <c r="E31" s="271"/>
      <c r="F31" s="271"/>
      <c r="G31" s="271"/>
      <c r="H31" s="271"/>
      <c r="I31" s="271"/>
      <c r="J31" s="271"/>
      <c r="K31" s="271">
        <f t="shared" si="7"/>
        <v>5</v>
      </c>
      <c r="L31" s="272">
        <v>254505.80000000002</v>
      </c>
      <c r="M31" s="248">
        <v>5</v>
      </c>
      <c r="N31" s="271"/>
      <c r="O31" s="271"/>
      <c r="P31" s="271"/>
      <c r="Q31" s="271"/>
      <c r="R31" s="271"/>
      <c r="S31" s="271"/>
      <c r="T31" s="271"/>
      <c r="U31" s="271"/>
      <c r="V31" s="271">
        <f t="shared" si="8"/>
        <v>5</v>
      </c>
      <c r="W31" s="272">
        <v>248494.55</v>
      </c>
      <c r="X31" s="214"/>
      <c r="Y31" s="214"/>
      <c r="Z31" s="214"/>
    </row>
    <row r="32" spans="1:26" ht="12" customHeight="1" x14ac:dyDescent="0.2">
      <c r="A32" s="275" t="s">
        <v>462</v>
      </c>
      <c r="B32" s="248">
        <v>1</v>
      </c>
      <c r="C32" s="271"/>
      <c r="D32" s="271"/>
      <c r="E32" s="271"/>
      <c r="F32" s="271"/>
      <c r="G32" s="271"/>
      <c r="H32" s="271"/>
      <c r="I32" s="271"/>
      <c r="J32" s="271"/>
      <c r="K32" s="271">
        <f t="shared" si="7"/>
        <v>1</v>
      </c>
      <c r="L32" s="272">
        <v>49624.119999999995</v>
      </c>
      <c r="M32" s="248">
        <v>1</v>
      </c>
      <c r="N32" s="271"/>
      <c r="O32" s="271"/>
      <c r="P32" s="271"/>
      <c r="Q32" s="271"/>
      <c r="R32" s="271"/>
      <c r="S32" s="271"/>
      <c r="T32" s="271"/>
      <c r="U32" s="271"/>
      <c r="V32" s="271">
        <f t="shared" si="8"/>
        <v>1</v>
      </c>
      <c r="W32" s="272">
        <v>48421.869999999995</v>
      </c>
      <c r="X32" s="214"/>
      <c r="Y32" s="214"/>
      <c r="Z32" s="214"/>
    </row>
    <row r="33" spans="1:26" ht="12" customHeight="1" x14ac:dyDescent="0.2">
      <c r="A33" s="275" t="s">
        <v>463</v>
      </c>
      <c r="B33" s="248"/>
      <c r="C33" s="271"/>
      <c r="D33" s="271"/>
      <c r="E33" s="271"/>
      <c r="F33" s="271"/>
      <c r="G33" s="271"/>
      <c r="H33" s="271"/>
      <c r="I33" s="271"/>
      <c r="J33" s="271"/>
      <c r="K33" s="271"/>
      <c r="L33" s="278"/>
      <c r="M33" s="248"/>
      <c r="N33" s="271"/>
      <c r="O33" s="271"/>
      <c r="P33" s="271"/>
      <c r="Q33" s="271"/>
      <c r="R33" s="271"/>
      <c r="S33" s="271"/>
      <c r="T33" s="271"/>
      <c r="U33" s="271"/>
      <c r="V33" s="271"/>
      <c r="W33" s="278"/>
      <c r="X33" s="214"/>
      <c r="Y33" s="214"/>
      <c r="Z33" s="214"/>
    </row>
    <row r="34" spans="1:26" ht="12" customHeight="1" x14ac:dyDescent="0.2">
      <c r="A34" s="275" t="s">
        <v>458</v>
      </c>
      <c r="B34" s="270"/>
      <c r="C34" s="276">
        <v>3</v>
      </c>
      <c r="D34" s="276"/>
      <c r="E34" s="276"/>
      <c r="F34" s="276"/>
      <c r="G34" s="276"/>
      <c r="H34" s="276"/>
      <c r="I34" s="276"/>
      <c r="J34" s="276"/>
      <c r="K34" s="276">
        <f>SUM(B34:J34)</f>
        <v>3</v>
      </c>
      <c r="L34" s="272">
        <v>163291.45000000001</v>
      </c>
      <c r="M34" s="270"/>
      <c r="N34" s="276">
        <v>3</v>
      </c>
      <c r="O34" s="276"/>
      <c r="P34" s="276"/>
      <c r="Q34" s="276"/>
      <c r="R34" s="276"/>
      <c r="S34" s="276"/>
      <c r="T34" s="276"/>
      <c r="U34" s="276"/>
      <c r="V34" s="276">
        <f>SUM(M34:U34)</f>
        <v>3</v>
      </c>
      <c r="W34" s="272">
        <v>163291.45000000001</v>
      </c>
      <c r="X34" s="214"/>
      <c r="Y34" s="214"/>
      <c r="Z34" s="214"/>
    </row>
    <row r="35" spans="1:26" ht="12" customHeight="1" x14ac:dyDescent="0.2">
      <c r="A35" s="277" t="s">
        <v>451</v>
      </c>
      <c r="B35" s="248"/>
      <c r="C35" s="271"/>
      <c r="D35" s="271">
        <v>237</v>
      </c>
      <c r="E35" s="282"/>
      <c r="F35" s="282"/>
      <c r="G35" s="282"/>
      <c r="H35" s="282"/>
      <c r="I35" s="282"/>
      <c r="J35" s="282"/>
      <c r="K35" s="271">
        <v>237</v>
      </c>
      <c r="L35" s="278">
        <v>9310391.1999999806</v>
      </c>
      <c r="M35" s="283"/>
      <c r="N35" s="282"/>
      <c r="O35" s="271">
        <v>240</v>
      </c>
      <c r="P35" s="282"/>
      <c r="Q35" s="282"/>
      <c r="R35" s="282"/>
      <c r="S35" s="282"/>
      <c r="T35" s="282"/>
      <c r="U35" s="282"/>
      <c r="V35" s="271">
        <v>240</v>
      </c>
      <c r="W35" s="278">
        <v>10846609.6</v>
      </c>
      <c r="X35" s="214"/>
      <c r="Y35" s="214"/>
      <c r="Z35" s="214"/>
    </row>
    <row r="36" spans="1:26" ht="12" customHeight="1" x14ac:dyDescent="0.2">
      <c r="A36" s="280" t="s">
        <v>464</v>
      </c>
      <c r="B36" s="247">
        <f t="shared" ref="B36:W36" si="9">SUM(B37:B43)</f>
        <v>8</v>
      </c>
      <c r="C36" s="213">
        <f t="shared" si="9"/>
        <v>1</v>
      </c>
      <c r="D36" s="213">
        <f t="shared" si="9"/>
        <v>181</v>
      </c>
      <c r="E36" s="213">
        <f t="shared" si="9"/>
        <v>0</v>
      </c>
      <c r="F36" s="213">
        <f t="shared" si="9"/>
        <v>0</v>
      </c>
      <c r="G36" s="213">
        <f t="shared" si="9"/>
        <v>0</v>
      </c>
      <c r="H36" s="213">
        <f t="shared" si="9"/>
        <v>0</v>
      </c>
      <c r="I36" s="213">
        <f t="shared" si="9"/>
        <v>0</v>
      </c>
      <c r="J36" s="213">
        <f t="shared" si="9"/>
        <v>0</v>
      </c>
      <c r="K36" s="213">
        <f t="shared" si="9"/>
        <v>190</v>
      </c>
      <c r="L36" s="281">
        <f t="shared" si="9"/>
        <v>7343188.3099999838</v>
      </c>
      <c r="M36" s="247">
        <f t="shared" si="9"/>
        <v>8</v>
      </c>
      <c r="N36" s="213">
        <f t="shared" si="9"/>
        <v>1</v>
      </c>
      <c r="O36" s="213">
        <f t="shared" si="9"/>
        <v>180</v>
      </c>
      <c r="P36" s="213">
        <f t="shared" si="9"/>
        <v>0</v>
      </c>
      <c r="Q36" s="213">
        <f t="shared" si="9"/>
        <v>0</v>
      </c>
      <c r="R36" s="213">
        <f t="shared" si="9"/>
        <v>0</v>
      </c>
      <c r="S36" s="213">
        <f t="shared" si="9"/>
        <v>0</v>
      </c>
      <c r="T36" s="213">
        <f t="shared" si="9"/>
        <v>0</v>
      </c>
      <c r="U36" s="213">
        <f t="shared" si="9"/>
        <v>0</v>
      </c>
      <c r="V36" s="213">
        <f t="shared" si="9"/>
        <v>189</v>
      </c>
      <c r="W36" s="281">
        <f t="shared" si="9"/>
        <v>7782729.8100000005</v>
      </c>
      <c r="X36" s="214"/>
      <c r="Y36" s="214"/>
      <c r="Z36" s="214"/>
    </row>
    <row r="37" spans="1:26" ht="12" customHeight="1" x14ac:dyDescent="0.2">
      <c r="A37" s="277" t="s">
        <v>465</v>
      </c>
      <c r="B37" s="248">
        <v>1</v>
      </c>
      <c r="C37" s="271"/>
      <c r="D37" s="271"/>
      <c r="E37" s="271"/>
      <c r="F37" s="271"/>
      <c r="G37" s="271"/>
      <c r="H37" s="271"/>
      <c r="I37" s="271"/>
      <c r="J37" s="271"/>
      <c r="K37" s="271">
        <f t="shared" ref="K37:K42" si="10">SUM(B37:J37)</f>
        <v>1</v>
      </c>
      <c r="L37" s="272">
        <v>48748.119999999995</v>
      </c>
      <c r="M37" s="248">
        <v>1</v>
      </c>
      <c r="N37" s="271"/>
      <c r="O37" s="271"/>
      <c r="P37" s="271"/>
      <c r="Q37" s="271"/>
      <c r="R37" s="271"/>
      <c r="S37" s="271"/>
      <c r="T37" s="271"/>
      <c r="U37" s="271"/>
      <c r="V37" s="271">
        <f t="shared" ref="V37:V42" si="11">SUM(M37:U37)</f>
        <v>1</v>
      </c>
      <c r="W37" s="272">
        <v>47545.869999999995</v>
      </c>
      <c r="X37" s="214"/>
      <c r="Y37" s="214"/>
      <c r="Z37" s="214"/>
    </row>
    <row r="38" spans="1:26" ht="12" customHeight="1" x14ac:dyDescent="0.2">
      <c r="A38" s="277" t="s">
        <v>466</v>
      </c>
      <c r="B38" s="248">
        <v>1</v>
      </c>
      <c r="C38" s="271"/>
      <c r="D38" s="271"/>
      <c r="E38" s="271"/>
      <c r="F38" s="271"/>
      <c r="G38" s="271"/>
      <c r="H38" s="271"/>
      <c r="I38" s="271"/>
      <c r="J38" s="271"/>
      <c r="K38" s="271">
        <f t="shared" si="10"/>
        <v>1</v>
      </c>
      <c r="L38" s="272">
        <v>48857.2</v>
      </c>
      <c r="M38" s="248">
        <v>1</v>
      </c>
      <c r="N38" s="271"/>
      <c r="O38" s="271"/>
      <c r="P38" s="271"/>
      <c r="Q38" s="271"/>
      <c r="R38" s="271"/>
      <c r="S38" s="271"/>
      <c r="T38" s="271"/>
      <c r="U38" s="271"/>
      <c r="V38" s="271">
        <f t="shared" si="11"/>
        <v>1</v>
      </c>
      <c r="W38" s="272">
        <v>47654.95</v>
      </c>
      <c r="X38" s="214"/>
      <c r="Y38" s="214"/>
      <c r="Z38" s="214"/>
    </row>
    <row r="39" spans="1:26" ht="12" customHeight="1" x14ac:dyDescent="0.2">
      <c r="A39" s="277" t="s">
        <v>467</v>
      </c>
      <c r="B39" s="248">
        <v>5</v>
      </c>
      <c r="C39" s="271"/>
      <c r="D39" s="271"/>
      <c r="E39" s="271"/>
      <c r="F39" s="271"/>
      <c r="G39" s="271"/>
      <c r="H39" s="271"/>
      <c r="I39" s="271"/>
      <c r="J39" s="271"/>
      <c r="K39" s="271">
        <f t="shared" si="10"/>
        <v>5</v>
      </c>
      <c r="L39" s="272">
        <v>249464.71999999997</v>
      </c>
      <c r="M39" s="248">
        <v>5</v>
      </c>
      <c r="N39" s="271"/>
      <c r="O39" s="271"/>
      <c r="P39" s="271"/>
      <c r="Q39" s="271"/>
      <c r="R39" s="271"/>
      <c r="S39" s="271"/>
      <c r="T39" s="271"/>
      <c r="U39" s="271"/>
      <c r="V39" s="271">
        <f t="shared" si="11"/>
        <v>5</v>
      </c>
      <c r="W39" s="272">
        <v>243453.46999999997</v>
      </c>
      <c r="X39" s="214"/>
      <c r="Y39" s="214"/>
      <c r="Z39" s="214"/>
    </row>
    <row r="40" spans="1:26" ht="12" customHeight="1" x14ac:dyDescent="0.2">
      <c r="A40" s="277" t="s">
        <v>468</v>
      </c>
      <c r="B40" s="248"/>
      <c r="C40" s="271"/>
      <c r="D40" s="271"/>
      <c r="E40" s="271"/>
      <c r="F40" s="271"/>
      <c r="G40" s="271"/>
      <c r="H40" s="271"/>
      <c r="I40" s="271"/>
      <c r="J40" s="271"/>
      <c r="K40" s="271">
        <f t="shared" si="10"/>
        <v>0</v>
      </c>
      <c r="L40" s="278">
        <v>0</v>
      </c>
      <c r="M40" s="248">
        <v>0</v>
      </c>
      <c r="N40" s="271"/>
      <c r="O40" s="271"/>
      <c r="P40" s="271"/>
      <c r="Q40" s="271"/>
      <c r="R40" s="271"/>
      <c r="S40" s="271"/>
      <c r="T40" s="271"/>
      <c r="U40" s="271"/>
      <c r="V40" s="271">
        <f t="shared" si="11"/>
        <v>0</v>
      </c>
      <c r="W40" s="272">
        <v>0</v>
      </c>
      <c r="X40" s="214"/>
      <c r="Y40" s="214"/>
      <c r="Z40" s="214"/>
    </row>
    <row r="41" spans="1:26" ht="12" customHeight="1" x14ac:dyDescent="0.2">
      <c r="A41" s="277" t="s">
        <v>469</v>
      </c>
      <c r="B41" s="248">
        <v>1</v>
      </c>
      <c r="C41" s="271"/>
      <c r="D41" s="271"/>
      <c r="E41" s="271"/>
      <c r="F41" s="271"/>
      <c r="G41" s="271"/>
      <c r="H41" s="271"/>
      <c r="I41" s="271"/>
      <c r="J41" s="271"/>
      <c r="K41" s="271">
        <f t="shared" si="10"/>
        <v>1</v>
      </c>
      <c r="L41" s="272">
        <v>48374.68</v>
      </c>
      <c r="M41" s="248">
        <v>1</v>
      </c>
      <c r="N41" s="271"/>
      <c r="O41" s="271"/>
      <c r="P41" s="271"/>
      <c r="Q41" s="271"/>
      <c r="R41" s="271"/>
      <c r="S41" s="271"/>
      <c r="T41" s="271"/>
      <c r="U41" s="271"/>
      <c r="V41" s="271">
        <f t="shared" si="11"/>
        <v>1</v>
      </c>
      <c r="W41" s="272">
        <v>47172.43</v>
      </c>
      <c r="X41" s="214"/>
      <c r="Y41" s="214"/>
      <c r="Z41" s="214"/>
    </row>
    <row r="42" spans="1:26" ht="12" customHeight="1" x14ac:dyDescent="0.2">
      <c r="A42" s="275" t="s">
        <v>464</v>
      </c>
      <c r="B42" s="270"/>
      <c r="C42" s="276">
        <v>1</v>
      </c>
      <c r="D42" s="276"/>
      <c r="E42" s="276"/>
      <c r="F42" s="276"/>
      <c r="G42" s="276"/>
      <c r="H42" s="276"/>
      <c r="I42" s="276"/>
      <c r="J42" s="276"/>
      <c r="K42" s="276">
        <f t="shared" si="10"/>
        <v>1</v>
      </c>
      <c r="L42" s="272">
        <v>33479.89</v>
      </c>
      <c r="M42" s="270"/>
      <c r="N42" s="276">
        <v>1</v>
      </c>
      <c r="O42" s="276"/>
      <c r="P42" s="276"/>
      <c r="Q42" s="276"/>
      <c r="R42" s="276"/>
      <c r="S42" s="276"/>
      <c r="T42" s="276"/>
      <c r="U42" s="276"/>
      <c r="V42" s="276">
        <f t="shared" si="11"/>
        <v>1</v>
      </c>
      <c r="W42" s="272">
        <v>33479.89</v>
      </c>
      <c r="X42" s="214"/>
      <c r="Y42" s="214"/>
      <c r="Z42" s="214"/>
    </row>
    <row r="43" spans="1:26" ht="12" customHeight="1" x14ac:dyDescent="0.2">
      <c r="A43" s="277" t="s">
        <v>451</v>
      </c>
      <c r="B43" s="248"/>
      <c r="C43" s="271"/>
      <c r="D43" s="271">
        <v>181</v>
      </c>
      <c r="E43" s="271"/>
      <c r="F43" s="271"/>
      <c r="G43" s="271"/>
      <c r="H43" s="271"/>
      <c r="I43" s="271"/>
      <c r="J43" s="271"/>
      <c r="K43" s="271">
        <v>181</v>
      </c>
      <c r="L43" s="278">
        <v>6914263.6999999834</v>
      </c>
      <c r="M43" s="248"/>
      <c r="N43" s="271"/>
      <c r="O43" s="271">
        <v>180</v>
      </c>
      <c r="P43" s="271"/>
      <c r="Q43" s="271"/>
      <c r="R43" s="271"/>
      <c r="S43" s="271"/>
      <c r="T43" s="271"/>
      <c r="U43" s="271"/>
      <c r="V43" s="271">
        <v>180</v>
      </c>
      <c r="W43" s="278">
        <v>7363423.2000000002</v>
      </c>
      <c r="X43" s="214"/>
      <c r="Y43" s="214"/>
      <c r="Z43" s="214"/>
    </row>
    <row r="44" spans="1:26" ht="12" customHeight="1" x14ac:dyDescent="0.2">
      <c r="A44" s="284" t="s">
        <v>470</v>
      </c>
      <c r="B44" s="247">
        <f t="shared" ref="B44:W44" si="12">SUM(B45:B49)</f>
        <v>24</v>
      </c>
      <c r="C44" s="213">
        <f t="shared" si="12"/>
        <v>0</v>
      </c>
      <c r="D44" s="213">
        <f t="shared" si="12"/>
        <v>0</v>
      </c>
      <c r="E44" s="213">
        <f t="shared" si="12"/>
        <v>0</v>
      </c>
      <c r="F44" s="213">
        <f t="shared" si="12"/>
        <v>0</v>
      </c>
      <c r="G44" s="213">
        <f t="shared" si="12"/>
        <v>0</v>
      </c>
      <c r="H44" s="213">
        <f t="shared" si="12"/>
        <v>0</v>
      </c>
      <c r="I44" s="213">
        <f t="shared" si="12"/>
        <v>14</v>
      </c>
      <c r="J44" s="213">
        <f t="shared" si="12"/>
        <v>0</v>
      </c>
      <c r="K44" s="213">
        <f t="shared" si="12"/>
        <v>38</v>
      </c>
      <c r="L44" s="285">
        <f t="shared" si="12"/>
        <v>1428549.3599999999</v>
      </c>
      <c r="M44" s="247">
        <f t="shared" si="12"/>
        <v>24</v>
      </c>
      <c r="N44" s="213">
        <f t="shared" si="12"/>
        <v>0</v>
      </c>
      <c r="O44" s="213">
        <f t="shared" si="12"/>
        <v>0</v>
      </c>
      <c r="P44" s="213">
        <f t="shared" si="12"/>
        <v>0</v>
      </c>
      <c r="Q44" s="213">
        <f t="shared" si="12"/>
        <v>0</v>
      </c>
      <c r="R44" s="213">
        <f t="shared" si="12"/>
        <v>0</v>
      </c>
      <c r="S44" s="213">
        <f t="shared" si="12"/>
        <v>0</v>
      </c>
      <c r="T44" s="213">
        <f t="shared" si="12"/>
        <v>14</v>
      </c>
      <c r="U44" s="213">
        <f t="shared" si="12"/>
        <v>0</v>
      </c>
      <c r="V44" s="213">
        <f t="shared" si="12"/>
        <v>38</v>
      </c>
      <c r="W44" s="285">
        <f t="shared" si="12"/>
        <v>1401876.3599999999</v>
      </c>
      <c r="X44" s="214"/>
      <c r="Y44" s="214"/>
      <c r="Z44" s="214"/>
    </row>
    <row r="45" spans="1:26" ht="12" customHeight="1" x14ac:dyDescent="0.2">
      <c r="A45" s="275" t="s">
        <v>459</v>
      </c>
      <c r="B45" s="248">
        <v>1</v>
      </c>
      <c r="C45" s="271"/>
      <c r="D45" s="271"/>
      <c r="E45" s="271"/>
      <c r="F45" s="271"/>
      <c r="G45" s="271"/>
      <c r="H45" s="271"/>
      <c r="I45" s="271"/>
      <c r="J45" s="271"/>
      <c r="K45" s="271">
        <f t="shared" ref="K45:K49" si="13">SUM(B45:J45)</f>
        <v>1</v>
      </c>
      <c r="L45" s="272">
        <v>49970.2</v>
      </c>
      <c r="M45" s="248">
        <v>1</v>
      </c>
      <c r="N45" s="271"/>
      <c r="O45" s="271"/>
      <c r="P45" s="271"/>
      <c r="Q45" s="271"/>
      <c r="R45" s="271"/>
      <c r="S45" s="271"/>
      <c r="T45" s="271"/>
      <c r="U45" s="271"/>
      <c r="V45" s="271">
        <f t="shared" ref="V45:V49" si="14">SUM(M45:U45)</f>
        <v>1</v>
      </c>
      <c r="W45" s="272">
        <v>48767.95</v>
      </c>
      <c r="X45" s="214"/>
      <c r="Y45" s="214"/>
      <c r="Z45" s="214"/>
    </row>
    <row r="46" spans="1:26" ht="12" customHeight="1" x14ac:dyDescent="0.2">
      <c r="A46" s="275" t="s">
        <v>460</v>
      </c>
      <c r="B46" s="248">
        <v>11</v>
      </c>
      <c r="C46" s="271"/>
      <c r="D46" s="271"/>
      <c r="E46" s="271"/>
      <c r="F46" s="271"/>
      <c r="G46" s="271"/>
      <c r="H46" s="271"/>
      <c r="I46" s="271"/>
      <c r="J46" s="271"/>
      <c r="K46" s="271">
        <f t="shared" si="13"/>
        <v>11</v>
      </c>
      <c r="L46" s="272">
        <v>547616.48</v>
      </c>
      <c r="M46" s="248">
        <v>11</v>
      </c>
      <c r="N46" s="271"/>
      <c r="O46" s="271"/>
      <c r="P46" s="271"/>
      <c r="Q46" s="271"/>
      <c r="R46" s="271"/>
      <c r="S46" s="271"/>
      <c r="T46" s="271"/>
      <c r="U46" s="271"/>
      <c r="V46" s="271">
        <f t="shared" si="14"/>
        <v>11</v>
      </c>
      <c r="W46" s="272">
        <v>534391.73</v>
      </c>
      <c r="X46" s="214"/>
      <c r="Y46" s="214"/>
      <c r="Z46" s="214"/>
    </row>
    <row r="47" spans="1:26" ht="12" customHeight="1" x14ac:dyDescent="0.2">
      <c r="A47" s="275" t="s">
        <v>462</v>
      </c>
      <c r="B47" s="248">
        <v>5</v>
      </c>
      <c r="C47" s="271"/>
      <c r="D47" s="271"/>
      <c r="E47" s="271"/>
      <c r="F47" s="271"/>
      <c r="G47" s="271"/>
      <c r="H47" s="271"/>
      <c r="I47" s="271"/>
      <c r="J47" s="271"/>
      <c r="K47" s="271">
        <f t="shared" si="13"/>
        <v>5</v>
      </c>
      <c r="L47" s="272">
        <v>248185.76</v>
      </c>
      <c r="M47" s="248">
        <v>5</v>
      </c>
      <c r="N47" s="271"/>
      <c r="O47" s="271"/>
      <c r="P47" s="271"/>
      <c r="Q47" s="271"/>
      <c r="R47" s="271"/>
      <c r="S47" s="271"/>
      <c r="T47" s="271"/>
      <c r="U47" s="271"/>
      <c r="V47" s="271">
        <f t="shared" si="14"/>
        <v>5</v>
      </c>
      <c r="W47" s="272">
        <v>242174.51</v>
      </c>
      <c r="X47" s="214"/>
      <c r="Y47" s="214"/>
      <c r="Z47" s="214"/>
    </row>
    <row r="48" spans="1:26" ht="12" customHeight="1" x14ac:dyDescent="0.2">
      <c r="A48" s="275" t="s">
        <v>467</v>
      </c>
      <c r="B48" s="248">
        <v>7</v>
      </c>
      <c r="C48" s="271"/>
      <c r="D48" s="271"/>
      <c r="E48" s="271"/>
      <c r="F48" s="271"/>
      <c r="G48" s="271"/>
      <c r="H48" s="271"/>
      <c r="I48" s="271"/>
      <c r="J48" s="271"/>
      <c r="K48" s="271">
        <f t="shared" si="13"/>
        <v>7</v>
      </c>
      <c r="L48" s="272">
        <v>339977.92000000004</v>
      </c>
      <c r="M48" s="248">
        <v>7</v>
      </c>
      <c r="N48" s="271"/>
      <c r="O48" s="271"/>
      <c r="P48" s="271"/>
      <c r="Q48" s="271"/>
      <c r="R48" s="271"/>
      <c r="S48" s="271"/>
      <c r="T48" s="271"/>
      <c r="U48" s="271"/>
      <c r="V48" s="271">
        <f t="shared" si="14"/>
        <v>7</v>
      </c>
      <c r="W48" s="272">
        <v>331562.16999999993</v>
      </c>
      <c r="X48" s="214"/>
      <c r="Y48" s="214"/>
      <c r="Z48" s="214"/>
    </row>
    <row r="49" spans="1:26" ht="12" customHeight="1" x14ac:dyDescent="0.2">
      <c r="A49" s="286" t="s">
        <v>471</v>
      </c>
      <c r="B49" s="287"/>
      <c r="C49" s="288"/>
      <c r="D49" s="288"/>
      <c r="E49" s="288"/>
      <c r="F49" s="288"/>
      <c r="G49" s="288"/>
      <c r="H49" s="288"/>
      <c r="I49" s="288">
        <f>12+2</f>
        <v>14</v>
      </c>
      <c r="J49" s="288"/>
      <c r="K49" s="288">
        <f t="shared" si="13"/>
        <v>14</v>
      </c>
      <c r="L49" s="289">
        <f>224664+18135</f>
        <v>242799</v>
      </c>
      <c r="M49" s="287"/>
      <c r="N49" s="288"/>
      <c r="O49" s="288"/>
      <c r="P49" s="288"/>
      <c r="Q49" s="288"/>
      <c r="R49" s="288"/>
      <c r="S49" s="288"/>
      <c r="T49" s="288">
        <f>12+2</f>
        <v>14</v>
      </c>
      <c r="U49" s="288"/>
      <c r="V49" s="288">
        <f t="shared" si="14"/>
        <v>14</v>
      </c>
      <c r="W49" s="289">
        <f>208185+36795</f>
        <v>244980</v>
      </c>
      <c r="X49" s="214"/>
      <c r="Y49" s="214"/>
      <c r="Z49" s="214"/>
    </row>
    <row r="50" spans="1:26" ht="23.25" customHeight="1" x14ac:dyDescent="0.2">
      <c r="A50" s="290" t="s">
        <v>472</v>
      </c>
      <c r="B50" s="291">
        <f t="shared" ref="B50:W50" si="15">B44+B36+B28+B20+B9</f>
        <v>125</v>
      </c>
      <c r="C50" s="291">
        <f t="shared" si="15"/>
        <v>11</v>
      </c>
      <c r="D50" s="291">
        <f t="shared" si="15"/>
        <v>1542</v>
      </c>
      <c r="E50" s="291">
        <f t="shared" si="15"/>
        <v>4</v>
      </c>
      <c r="F50" s="291">
        <f t="shared" si="15"/>
        <v>0</v>
      </c>
      <c r="G50" s="291">
        <f t="shared" si="15"/>
        <v>0</v>
      </c>
      <c r="H50" s="291">
        <f t="shared" si="15"/>
        <v>0</v>
      </c>
      <c r="I50" s="291">
        <f t="shared" si="15"/>
        <v>14</v>
      </c>
      <c r="J50" s="291">
        <f t="shared" si="15"/>
        <v>0</v>
      </c>
      <c r="K50" s="291">
        <f t="shared" si="15"/>
        <v>1696</v>
      </c>
      <c r="L50" s="292">
        <f t="shared" si="15"/>
        <v>128005686.19999953</v>
      </c>
      <c r="M50" s="291">
        <f t="shared" si="15"/>
        <v>125</v>
      </c>
      <c r="N50" s="291">
        <f t="shared" si="15"/>
        <v>11</v>
      </c>
      <c r="O50" s="291">
        <f t="shared" si="15"/>
        <v>1570</v>
      </c>
      <c r="P50" s="291">
        <f t="shared" si="15"/>
        <v>4</v>
      </c>
      <c r="Q50" s="291">
        <f t="shared" si="15"/>
        <v>0</v>
      </c>
      <c r="R50" s="291">
        <f t="shared" si="15"/>
        <v>0</v>
      </c>
      <c r="S50" s="291">
        <f t="shared" si="15"/>
        <v>0</v>
      </c>
      <c r="T50" s="291">
        <f t="shared" si="15"/>
        <v>14</v>
      </c>
      <c r="U50" s="291">
        <f t="shared" si="15"/>
        <v>0</v>
      </c>
      <c r="V50" s="291">
        <f t="shared" si="15"/>
        <v>1724</v>
      </c>
      <c r="W50" s="293">
        <f t="shared" si="15"/>
        <v>145024536.89998987</v>
      </c>
      <c r="X50" s="214"/>
      <c r="Y50" s="214"/>
      <c r="Z50" s="214"/>
    </row>
    <row r="51" spans="1:26" ht="12.75" customHeight="1" x14ac:dyDescent="0.2">
      <c r="A51" s="294"/>
      <c r="B51" s="294"/>
      <c r="C51" s="294"/>
      <c r="D51" s="294"/>
      <c r="E51" s="294"/>
      <c r="F51" s="294"/>
      <c r="G51" s="294"/>
      <c r="H51" s="294"/>
      <c r="I51" s="294"/>
      <c r="J51" s="294"/>
      <c r="K51" s="294"/>
      <c r="L51" s="295"/>
      <c r="M51" s="294"/>
      <c r="N51" s="294"/>
      <c r="O51" s="294"/>
      <c r="P51" s="294"/>
      <c r="Q51" s="294"/>
      <c r="R51" s="294"/>
      <c r="S51" s="294"/>
      <c r="T51" s="294"/>
      <c r="U51" s="294"/>
      <c r="V51" s="294"/>
      <c r="W51" s="295"/>
      <c r="X51" s="214"/>
      <c r="Y51" s="214"/>
      <c r="Z51" s="214"/>
    </row>
    <row r="52" spans="1:26" ht="23.25" customHeight="1" x14ac:dyDescent="0.2">
      <c r="A52" s="296" t="s">
        <v>473</v>
      </c>
      <c r="B52" s="291"/>
      <c r="C52" s="291"/>
      <c r="D52" s="291"/>
      <c r="E52" s="291"/>
      <c r="F52" s="291"/>
      <c r="G52" s="291"/>
      <c r="H52" s="291"/>
      <c r="I52" s="291"/>
      <c r="J52" s="291"/>
      <c r="K52" s="291"/>
      <c r="L52" s="292"/>
      <c r="M52" s="291"/>
      <c r="N52" s="291"/>
      <c r="O52" s="291"/>
      <c r="P52" s="291"/>
      <c r="Q52" s="291"/>
      <c r="R52" s="291"/>
      <c r="S52" s="291"/>
      <c r="T52" s="291"/>
      <c r="U52" s="291"/>
      <c r="V52" s="291"/>
      <c r="W52" s="293"/>
      <c r="X52" s="214"/>
      <c r="Y52" s="214"/>
      <c r="Z52" s="214"/>
    </row>
    <row r="53" spans="1:26" ht="12" customHeight="1" x14ac:dyDescent="0.2">
      <c r="A53" s="297" t="s">
        <v>441</v>
      </c>
      <c r="B53" s="298">
        <f t="shared" ref="B53:W53" si="16">SUM(B54:B63)</f>
        <v>0</v>
      </c>
      <c r="C53" s="298">
        <f t="shared" si="16"/>
        <v>45</v>
      </c>
      <c r="D53" s="298">
        <f t="shared" si="16"/>
        <v>12</v>
      </c>
      <c r="E53" s="298">
        <f t="shared" si="16"/>
        <v>0</v>
      </c>
      <c r="F53" s="298">
        <f t="shared" si="16"/>
        <v>0</v>
      </c>
      <c r="G53" s="298">
        <f t="shared" si="16"/>
        <v>0</v>
      </c>
      <c r="H53" s="298">
        <f t="shared" si="16"/>
        <v>0</v>
      </c>
      <c r="I53" s="298">
        <f t="shared" si="16"/>
        <v>0</v>
      </c>
      <c r="J53" s="298">
        <f t="shared" si="16"/>
        <v>7</v>
      </c>
      <c r="K53" s="298">
        <f t="shared" si="16"/>
        <v>64</v>
      </c>
      <c r="L53" s="299">
        <f t="shared" si="16"/>
        <v>7032285.7799999993</v>
      </c>
      <c r="M53" s="300">
        <f t="shared" si="16"/>
        <v>0</v>
      </c>
      <c r="N53" s="298">
        <f t="shared" si="16"/>
        <v>45</v>
      </c>
      <c r="O53" s="298">
        <f t="shared" si="16"/>
        <v>8</v>
      </c>
      <c r="P53" s="298">
        <f t="shared" si="16"/>
        <v>0</v>
      </c>
      <c r="Q53" s="298">
        <f t="shared" si="16"/>
        <v>0</v>
      </c>
      <c r="R53" s="298">
        <f t="shared" si="16"/>
        <v>0</v>
      </c>
      <c r="S53" s="298">
        <f t="shared" si="16"/>
        <v>0</v>
      </c>
      <c r="T53" s="298">
        <f t="shared" si="16"/>
        <v>0</v>
      </c>
      <c r="U53" s="298">
        <f t="shared" si="16"/>
        <v>7</v>
      </c>
      <c r="V53" s="298">
        <f t="shared" si="16"/>
        <v>60</v>
      </c>
      <c r="W53" s="301">
        <f t="shared" si="16"/>
        <v>5437324.46</v>
      </c>
      <c r="X53" s="214"/>
      <c r="Y53" s="214"/>
      <c r="Z53" s="214"/>
    </row>
    <row r="54" spans="1:26" ht="12" customHeight="1" x14ac:dyDescent="0.2">
      <c r="A54" s="275" t="s">
        <v>474</v>
      </c>
      <c r="B54" s="276"/>
      <c r="C54" s="276">
        <v>1</v>
      </c>
      <c r="D54" s="276"/>
      <c r="E54" s="276"/>
      <c r="F54" s="276"/>
      <c r="G54" s="276"/>
      <c r="H54" s="276"/>
      <c r="I54" s="276"/>
      <c r="J54" s="276"/>
      <c r="K54" s="276">
        <f t="shared" ref="K54:K63" si="17">SUM(C54:J54)</f>
        <v>1</v>
      </c>
      <c r="L54" s="302">
        <v>180430</v>
      </c>
      <c r="M54" s="270"/>
      <c r="N54" s="276">
        <v>1</v>
      </c>
      <c r="O54" s="276"/>
      <c r="P54" s="276"/>
      <c r="Q54" s="276"/>
      <c r="R54" s="276"/>
      <c r="S54" s="276"/>
      <c r="T54" s="276"/>
      <c r="U54" s="276"/>
      <c r="V54" s="276">
        <f t="shared" ref="V54:V63" si="18">SUM(N54:U54)</f>
        <v>1</v>
      </c>
      <c r="W54" s="272">
        <v>180430</v>
      </c>
      <c r="X54" s="214"/>
      <c r="Y54" s="214"/>
      <c r="Z54" s="214"/>
    </row>
    <row r="55" spans="1:26" ht="12" customHeight="1" x14ac:dyDescent="0.2">
      <c r="A55" s="275" t="s">
        <v>475</v>
      </c>
      <c r="B55" s="276"/>
      <c r="C55" s="276">
        <v>1</v>
      </c>
      <c r="D55" s="276"/>
      <c r="E55" s="276"/>
      <c r="F55" s="276"/>
      <c r="G55" s="276"/>
      <c r="H55" s="276"/>
      <c r="I55" s="276"/>
      <c r="J55" s="276"/>
      <c r="K55" s="276">
        <f t="shared" si="17"/>
        <v>1</v>
      </c>
      <c r="L55" s="302">
        <v>154699</v>
      </c>
      <c r="M55" s="270"/>
      <c r="N55" s="276">
        <v>1</v>
      </c>
      <c r="O55" s="276"/>
      <c r="P55" s="276"/>
      <c r="Q55" s="276"/>
      <c r="R55" s="276"/>
      <c r="S55" s="276"/>
      <c r="T55" s="276"/>
      <c r="U55" s="276"/>
      <c r="V55" s="276">
        <f t="shared" si="18"/>
        <v>1</v>
      </c>
      <c r="W55" s="272">
        <v>154699</v>
      </c>
      <c r="X55" s="214"/>
      <c r="Y55" s="214"/>
      <c r="Z55" s="214"/>
    </row>
    <row r="56" spans="1:26" ht="12" customHeight="1" x14ac:dyDescent="0.2">
      <c r="A56" s="275" t="s">
        <v>476</v>
      </c>
      <c r="B56" s="276"/>
      <c r="C56" s="276">
        <v>18</v>
      </c>
      <c r="D56" s="276"/>
      <c r="E56" s="276"/>
      <c r="F56" s="276"/>
      <c r="G56" s="276"/>
      <c r="H56" s="276"/>
      <c r="I56" s="276"/>
      <c r="J56" s="276"/>
      <c r="K56" s="276">
        <f t="shared" si="17"/>
        <v>18</v>
      </c>
      <c r="L56" s="302">
        <v>2253809.79</v>
      </c>
      <c r="M56" s="270"/>
      <c r="N56" s="276">
        <v>18</v>
      </c>
      <c r="O56" s="276"/>
      <c r="P56" s="276"/>
      <c r="Q56" s="276"/>
      <c r="R56" s="276"/>
      <c r="S56" s="276"/>
      <c r="T56" s="276"/>
      <c r="U56" s="276"/>
      <c r="V56" s="276">
        <f t="shared" si="18"/>
        <v>18</v>
      </c>
      <c r="W56" s="272">
        <v>2253809.79</v>
      </c>
      <c r="X56" s="214"/>
      <c r="Y56" s="214"/>
      <c r="Z56" s="214"/>
    </row>
    <row r="57" spans="1:26" ht="12" customHeight="1" x14ac:dyDescent="0.2">
      <c r="A57" s="275" t="s">
        <v>477</v>
      </c>
      <c r="B57" s="276"/>
      <c r="C57" s="276">
        <v>6</v>
      </c>
      <c r="D57" s="276"/>
      <c r="E57" s="276"/>
      <c r="F57" s="276"/>
      <c r="G57" s="276"/>
      <c r="H57" s="276"/>
      <c r="I57" s="276"/>
      <c r="J57" s="276"/>
      <c r="K57" s="276">
        <f t="shared" si="17"/>
        <v>6</v>
      </c>
      <c r="L57" s="302">
        <v>616755</v>
      </c>
      <c r="M57" s="270"/>
      <c r="N57" s="276">
        <v>6</v>
      </c>
      <c r="O57" s="276"/>
      <c r="P57" s="276"/>
      <c r="Q57" s="276"/>
      <c r="R57" s="276"/>
      <c r="S57" s="276"/>
      <c r="T57" s="276"/>
      <c r="U57" s="276"/>
      <c r="V57" s="276">
        <f t="shared" si="18"/>
        <v>6</v>
      </c>
      <c r="W57" s="272">
        <v>616755</v>
      </c>
      <c r="X57" s="214"/>
      <c r="Y57" s="214"/>
      <c r="Z57" s="214"/>
    </row>
    <row r="58" spans="1:26" ht="12" customHeight="1" x14ac:dyDescent="0.2">
      <c r="A58" s="275" t="s">
        <v>478</v>
      </c>
      <c r="B58" s="276"/>
      <c r="C58" s="276">
        <v>3</v>
      </c>
      <c r="D58" s="276"/>
      <c r="E58" s="276"/>
      <c r="F58" s="276"/>
      <c r="G58" s="276"/>
      <c r="H58" s="276"/>
      <c r="I58" s="276"/>
      <c r="J58" s="276"/>
      <c r="K58" s="276">
        <f t="shared" si="17"/>
        <v>3</v>
      </c>
      <c r="L58" s="302">
        <v>254909.5</v>
      </c>
      <c r="M58" s="270"/>
      <c r="N58" s="276">
        <v>3</v>
      </c>
      <c r="O58" s="276"/>
      <c r="P58" s="276"/>
      <c r="Q58" s="276"/>
      <c r="R58" s="276"/>
      <c r="S58" s="276"/>
      <c r="T58" s="276"/>
      <c r="U58" s="276"/>
      <c r="V58" s="276">
        <f t="shared" si="18"/>
        <v>3</v>
      </c>
      <c r="W58" s="272">
        <v>254909.5</v>
      </c>
      <c r="X58" s="214"/>
      <c r="Y58" s="214"/>
      <c r="Z58" s="214"/>
    </row>
    <row r="59" spans="1:26" ht="12" customHeight="1" x14ac:dyDescent="0.2">
      <c r="A59" s="275" t="s">
        <v>479</v>
      </c>
      <c r="B59" s="276"/>
      <c r="C59" s="276">
        <v>8</v>
      </c>
      <c r="D59" s="276"/>
      <c r="E59" s="276"/>
      <c r="F59" s="276"/>
      <c r="G59" s="276"/>
      <c r="H59" s="276"/>
      <c r="I59" s="276"/>
      <c r="J59" s="276"/>
      <c r="K59" s="276">
        <f t="shared" si="17"/>
        <v>8</v>
      </c>
      <c r="L59" s="302">
        <v>817841.22</v>
      </c>
      <c r="M59" s="270"/>
      <c r="N59" s="276">
        <v>8</v>
      </c>
      <c r="O59" s="276"/>
      <c r="P59" s="276"/>
      <c r="Q59" s="276"/>
      <c r="R59" s="276"/>
      <c r="S59" s="276"/>
      <c r="T59" s="276"/>
      <c r="U59" s="276"/>
      <c r="V59" s="276">
        <f t="shared" si="18"/>
        <v>8</v>
      </c>
      <c r="W59" s="272">
        <v>817841.22</v>
      </c>
      <c r="X59" s="214"/>
      <c r="Y59" s="214"/>
      <c r="Z59" s="214"/>
    </row>
    <row r="60" spans="1:26" ht="12" customHeight="1" x14ac:dyDescent="0.2">
      <c r="A60" s="275" t="s">
        <v>480</v>
      </c>
      <c r="B60" s="276"/>
      <c r="C60" s="276">
        <v>5</v>
      </c>
      <c r="D60" s="276"/>
      <c r="E60" s="276"/>
      <c r="F60" s="276"/>
      <c r="G60" s="276"/>
      <c r="H60" s="276"/>
      <c r="I60" s="276"/>
      <c r="J60" s="276"/>
      <c r="K60" s="276">
        <f t="shared" si="17"/>
        <v>5</v>
      </c>
      <c r="L60" s="302">
        <v>516418.67</v>
      </c>
      <c r="M60" s="270"/>
      <c r="N60" s="276">
        <v>5</v>
      </c>
      <c r="O60" s="276"/>
      <c r="P60" s="276"/>
      <c r="Q60" s="276"/>
      <c r="R60" s="276"/>
      <c r="S60" s="276"/>
      <c r="T60" s="276"/>
      <c r="U60" s="276"/>
      <c r="V60" s="276">
        <f t="shared" si="18"/>
        <v>5</v>
      </c>
      <c r="W60" s="272">
        <v>516418.67</v>
      </c>
      <c r="X60" s="214"/>
      <c r="Y60" s="214"/>
      <c r="Z60" s="214"/>
    </row>
    <row r="61" spans="1:26" ht="12" customHeight="1" x14ac:dyDescent="0.2">
      <c r="A61" s="275" t="s">
        <v>481</v>
      </c>
      <c r="B61" s="276"/>
      <c r="C61" s="276">
        <v>3</v>
      </c>
      <c r="D61" s="276"/>
      <c r="E61" s="276"/>
      <c r="F61" s="276"/>
      <c r="G61" s="276"/>
      <c r="H61" s="276"/>
      <c r="I61" s="276"/>
      <c r="J61" s="276"/>
      <c r="K61" s="276">
        <f t="shared" si="17"/>
        <v>3</v>
      </c>
      <c r="L61" s="302">
        <v>276268.08</v>
      </c>
      <c r="M61" s="270"/>
      <c r="N61" s="276">
        <v>3</v>
      </c>
      <c r="O61" s="276"/>
      <c r="P61" s="276"/>
      <c r="Q61" s="276"/>
      <c r="R61" s="276"/>
      <c r="S61" s="276"/>
      <c r="T61" s="276"/>
      <c r="U61" s="276"/>
      <c r="V61" s="276">
        <f t="shared" si="18"/>
        <v>3</v>
      </c>
      <c r="W61" s="272">
        <v>276268.08</v>
      </c>
      <c r="X61" s="214"/>
      <c r="Y61" s="214"/>
      <c r="Z61" s="214"/>
    </row>
    <row r="62" spans="1:26" ht="12" customHeight="1" x14ac:dyDescent="0.2">
      <c r="A62" s="275" t="s">
        <v>482</v>
      </c>
      <c r="B62" s="276"/>
      <c r="C62" s="276"/>
      <c r="D62" s="276"/>
      <c r="E62" s="276"/>
      <c r="F62" s="276"/>
      <c r="G62" s="276"/>
      <c r="H62" s="276"/>
      <c r="I62" s="276"/>
      <c r="J62" s="276">
        <v>7</v>
      </c>
      <c r="K62" s="276">
        <f t="shared" si="17"/>
        <v>7</v>
      </c>
      <c r="L62" s="302">
        <v>260400</v>
      </c>
      <c r="M62" s="270"/>
      <c r="N62" s="276"/>
      <c r="O62" s="276"/>
      <c r="P62" s="276"/>
      <c r="Q62" s="276"/>
      <c r="R62" s="276"/>
      <c r="S62" s="276"/>
      <c r="T62" s="276"/>
      <c r="U62" s="276">
        <v>7</v>
      </c>
      <c r="V62" s="276">
        <f t="shared" si="18"/>
        <v>7</v>
      </c>
      <c r="W62" s="272">
        <v>260400</v>
      </c>
      <c r="X62" s="214"/>
      <c r="Y62" s="214"/>
      <c r="Z62" s="214"/>
    </row>
    <row r="63" spans="1:26" ht="12" customHeight="1" x14ac:dyDescent="0.2">
      <c r="A63" s="275" t="s">
        <v>451</v>
      </c>
      <c r="B63" s="276"/>
      <c r="C63" s="276"/>
      <c r="D63" s="276">
        <v>12</v>
      </c>
      <c r="E63" s="276"/>
      <c r="F63" s="276"/>
      <c r="G63" s="276"/>
      <c r="H63" s="276"/>
      <c r="I63" s="276"/>
      <c r="J63" s="276"/>
      <c r="K63" s="276">
        <f t="shared" si="17"/>
        <v>12</v>
      </c>
      <c r="L63" s="302">
        <v>1700754.52</v>
      </c>
      <c r="M63" s="270"/>
      <c r="N63" s="276"/>
      <c r="O63" s="276">
        <v>8</v>
      </c>
      <c r="P63" s="276"/>
      <c r="Q63" s="276"/>
      <c r="R63" s="276"/>
      <c r="S63" s="276"/>
      <c r="T63" s="276"/>
      <c r="U63" s="276"/>
      <c r="V63" s="276">
        <f t="shared" si="18"/>
        <v>8</v>
      </c>
      <c r="W63" s="272">
        <v>105793.2</v>
      </c>
      <c r="X63" s="214"/>
      <c r="Y63" s="214"/>
      <c r="Z63" s="214"/>
    </row>
    <row r="64" spans="1:26" ht="12" customHeight="1" x14ac:dyDescent="0.2">
      <c r="A64" s="284" t="s">
        <v>452</v>
      </c>
      <c r="B64" s="303">
        <f t="shared" ref="B64:W64" si="19">SUM(B65:B69)</f>
        <v>0</v>
      </c>
      <c r="C64" s="303">
        <f t="shared" si="19"/>
        <v>38</v>
      </c>
      <c r="D64" s="303">
        <f t="shared" si="19"/>
        <v>176</v>
      </c>
      <c r="E64" s="303">
        <f t="shared" si="19"/>
        <v>0</v>
      </c>
      <c r="F64" s="303">
        <f t="shared" si="19"/>
        <v>0</v>
      </c>
      <c r="G64" s="303">
        <f t="shared" si="19"/>
        <v>0</v>
      </c>
      <c r="H64" s="303">
        <f t="shared" si="19"/>
        <v>0</v>
      </c>
      <c r="I64" s="303">
        <f t="shared" si="19"/>
        <v>0</v>
      </c>
      <c r="J64" s="303">
        <f t="shared" si="19"/>
        <v>0</v>
      </c>
      <c r="K64" s="303">
        <f t="shared" si="19"/>
        <v>214</v>
      </c>
      <c r="L64" s="304">
        <f t="shared" si="19"/>
        <v>15376489.289999999</v>
      </c>
      <c r="M64" s="305">
        <f t="shared" si="19"/>
        <v>0</v>
      </c>
      <c r="N64" s="303">
        <f t="shared" si="19"/>
        <v>38</v>
      </c>
      <c r="O64" s="303">
        <f t="shared" si="19"/>
        <v>192</v>
      </c>
      <c r="P64" s="303">
        <f t="shared" si="19"/>
        <v>0</v>
      </c>
      <c r="Q64" s="303">
        <f t="shared" si="19"/>
        <v>0</v>
      </c>
      <c r="R64" s="303">
        <f t="shared" si="19"/>
        <v>0</v>
      </c>
      <c r="S64" s="303">
        <f t="shared" si="19"/>
        <v>0</v>
      </c>
      <c r="T64" s="303">
        <f t="shared" si="19"/>
        <v>0</v>
      </c>
      <c r="U64" s="303">
        <f t="shared" si="19"/>
        <v>0</v>
      </c>
      <c r="V64" s="303">
        <f t="shared" si="19"/>
        <v>230</v>
      </c>
      <c r="W64" s="306">
        <f t="shared" si="19"/>
        <v>4447115.9799999995</v>
      </c>
      <c r="X64" s="214"/>
      <c r="Y64" s="214"/>
      <c r="Z64" s="214"/>
    </row>
    <row r="65" spans="1:26" ht="12" customHeight="1" x14ac:dyDescent="0.2">
      <c r="A65" s="275" t="s">
        <v>483</v>
      </c>
      <c r="B65" s="276"/>
      <c r="C65" s="276">
        <v>6</v>
      </c>
      <c r="D65" s="276"/>
      <c r="E65" s="276"/>
      <c r="F65" s="276"/>
      <c r="G65" s="276"/>
      <c r="H65" s="276"/>
      <c r="I65" s="276"/>
      <c r="J65" s="276"/>
      <c r="K65" s="276">
        <f t="shared" ref="K65:K69" si="20">SUM(C65:J65)</f>
        <v>6</v>
      </c>
      <c r="L65" s="302">
        <v>504564.6</v>
      </c>
      <c r="M65" s="270"/>
      <c r="N65" s="276">
        <v>6</v>
      </c>
      <c r="O65" s="276"/>
      <c r="P65" s="276"/>
      <c r="Q65" s="276"/>
      <c r="R65" s="276"/>
      <c r="S65" s="276"/>
      <c r="T65" s="276"/>
      <c r="U65" s="276"/>
      <c r="V65" s="276">
        <f t="shared" ref="V65:V69" si="21">SUM(N65:U65)</f>
        <v>6</v>
      </c>
      <c r="W65" s="272">
        <v>504564.6</v>
      </c>
      <c r="X65" s="214"/>
      <c r="Y65" s="214"/>
      <c r="Z65" s="214"/>
    </row>
    <row r="66" spans="1:26" ht="12" customHeight="1" x14ac:dyDescent="0.2">
      <c r="A66" s="275" t="s">
        <v>484</v>
      </c>
      <c r="B66" s="276"/>
      <c r="C66" s="276">
        <v>2</v>
      </c>
      <c r="D66" s="276"/>
      <c r="E66" s="276"/>
      <c r="F66" s="276"/>
      <c r="G66" s="276"/>
      <c r="H66" s="276"/>
      <c r="I66" s="276"/>
      <c r="J66" s="276"/>
      <c r="K66" s="276">
        <f t="shared" si="20"/>
        <v>2</v>
      </c>
      <c r="L66" s="302">
        <v>144698.17000000001</v>
      </c>
      <c r="M66" s="270"/>
      <c r="N66" s="276">
        <v>2</v>
      </c>
      <c r="O66" s="276"/>
      <c r="P66" s="276"/>
      <c r="Q66" s="276"/>
      <c r="R66" s="276"/>
      <c r="S66" s="276"/>
      <c r="T66" s="276"/>
      <c r="U66" s="276"/>
      <c r="V66" s="276">
        <f t="shared" si="21"/>
        <v>2</v>
      </c>
      <c r="W66" s="272">
        <v>144698.17000000001</v>
      </c>
      <c r="X66" s="214"/>
      <c r="Y66" s="214"/>
      <c r="Z66" s="214"/>
    </row>
    <row r="67" spans="1:26" ht="12" customHeight="1" x14ac:dyDescent="0.2">
      <c r="A67" s="275" t="s">
        <v>485</v>
      </c>
      <c r="B67" s="276"/>
      <c r="C67" s="276">
        <v>23</v>
      </c>
      <c r="D67" s="276"/>
      <c r="E67" s="276"/>
      <c r="F67" s="276"/>
      <c r="G67" s="276"/>
      <c r="H67" s="276"/>
      <c r="I67" s="276"/>
      <c r="J67" s="276"/>
      <c r="K67" s="276">
        <f t="shared" si="20"/>
        <v>23</v>
      </c>
      <c r="L67" s="302">
        <v>1498493.2</v>
      </c>
      <c r="M67" s="270"/>
      <c r="N67" s="276">
        <v>23</v>
      </c>
      <c r="O67" s="276"/>
      <c r="P67" s="276"/>
      <c r="Q67" s="276"/>
      <c r="R67" s="276"/>
      <c r="S67" s="276"/>
      <c r="T67" s="276"/>
      <c r="U67" s="276"/>
      <c r="V67" s="276">
        <f t="shared" si="21"/>
        <v>23</v>
      </c>
      <c r="W67" s="272">
        <v>1498493.2</v>
      </c>
      <c r="X67" s="214"/>
      <c r="Y67" s="214"/>
      <c r="Z67" s="214"/>
    </row>
    <row r="68" spans="1:26" ht="12" customHeight="1" x14ac:dyDescent="0.2">
      <c r="A68" s="275" t="s">
        <v>486</v>
      </c>
      <c r="B68" s="276"/>
      <c r="C68" s="276">
        <v>7</v>
      </c>
      <c r="D68" s="276"/>
      <c r="E68" s="276"/>
      <c r="F68" s="276"/>
      <c r="G68" s="276"/>
      <c r="H68" s="276"/>
      <c r="I68" s="276"/>
      <c r="J68" s="276"/>
      <c r="K68" s="276">
        <f t="shared" si="20"/>
        <v>7</v>
      </c>
      <c r="L68" s="302">
        <v>1070380.1200000001</v>
      </c>
      <c r="M68" s="270"/>
      <c r="N68" s="276">
        <v>7</v>
      </c>
      <c r="O68" s="276"/>
      <c r="P68" s="276"/>
      <c r="Q68" s="276"/>
      <c r="R68" s="276"/>
      <c r="S68" s="276"/>
      <c r="T68" s="276"/>
      <c r="U68" s="276"/>
      <c r="V68" s="276">
        <f t="shared" si="21"/>
        <v>7</v>
      </c>
      <c r="W68" s="272">
        <v>1070380.1200000001</v>
      </c>
      <c r="X68" s="214"/>
      <c r="Y68" s="214"/>
      <c r="Z68" s="214"/>
    </row>
    <row r="69" spans="1:26" ht="12" customHeight="1" x14ac:dyDescent="0.2">
      <c r="A69" s="275" t="s">
        <v>451</v>
      </c>
      <c r="B69" s="276"/>
      <c r="C69" s="276"/>
      <c r="D69" s="276">
        <v>176</v>
      </c>
      <c r="E69" s="276"/>
      <c r="F69" s="276"/>
      <c r="G69" s="276"/>
      <c r="H69" s="276"/>
      <c r="I69" s="276"/>
      <c r="J69" s="276"/>
      <c r="K69" s="276">
        <f t="shared" si="20"/>
        <v>176</v>
      </c>
      <c r="L69" s="302">
        <v>12158353.199999999</v>
      </c>
      <c r="M69" s="270"/>
      <c r="N69" s="276"/>
      <c r="O69" s="276">
        <v>192</v>
      </c>
      <c r="P69" s="276"/>
      <c r="Q69" s="276"/>
      <c r="R69" s="276"/>
      <c r="S69" s="276"/>
      <c r="T69" s="276"/>
      <c r="U69" s="276"/>
      <c r="V69" s="276">
        <f t="shared" si="21"/>
        <v>192</v>
      </c>
      <c r="W69" s="272">
        <v>1228979.8899999999</v>
      </c>
      <c r="X69" s="214"/>
      <c r="Y69" s="214"/>
      <c r="Z69" s="214"/>
    </row>
    <row r="70" spans="1:26" ht="12" customHeight="1" x14ac:dyDescent="0.2">
      <c r="A70" s="284" t="s">
        <v>458</v>
      </c>
      <c r="B70" s="303">
        <f t="shared" ref="B70:W70" si="22">SUM(B71:B77)</f>
        <v>1</v>
      </c>
      <c r="C70" s="303">
        <f t="shared" si="22"/>
        <v>82</v>
      </c>
      <c r="D70" s="303">
        <f t="shared" si="22"/>
        <v>106</v>
      </c>
      <c r="E70" s="303">
        <f t="shared" si="22"/>
        <v>0</v>
      </c>
      <c r="F70" s="303">
        <f t="shared" si="22"/>
        <v>0</v>
      </c>
      <c r="G70" s="303">
        <f t="shared" si="22"/>
        <v>0</v>
      </c>
      <c r="H70" s="303">
        <f t="shared" si="22"/>
        <v>0</v>
      </c>
      <c r="I70" s="303">
        <f t="shared" si="22"/>
        <v>0</v>
      </c>
      <c r="J70" s="303">
        <f t="shared" si="22"/>
        <v>0</v>
      </c>
      <c r="K70" s="303">
        <f t="shared" si="22"/>
        <v>189</v>
      </c>
      <c r="L70" s="304">
        <f t="shared" si="22"/>
        <v>7072035.04</v>
      </c>
      <c r="M70" s="305">
        <f t="shared" si="22"/>
        <v>1</v>
      </c>
      <c r="N70" s="303">
        <f t="shared" si="22"/>
        <v>84</v>
      </c>
      <c r="O70" s="303">
        <f t="shared" si="22"/>
        <v>107</v>
      </c>
      <c r="P70" s="303">
        <f t="shared" si="22"/>
        <v>0</v>
      </c>
      <c r="Q70" s="303">
        <f t="shared" si="22"/>
        <v>0</v>
      </c>
      <c r="R70" s="303">
        <f t="shared" si="22"/>
        <v>0</v>
      </c>
      <c r="S70" s="303">
        <f t="shared" si="22"/>
        <v>0</v>
      </c>
      <c r="T70" s="303">
        <f t="shared" si="22"/>
        <v>0</v>
      </c>
      <c r="U70" s="303">
        <f t="shared" si="22"/>
        <v>0</v>
      </c>
      <c r="V70" s="303">
        <f t="shared" si="22"/>
        <v>192</v>
      </c>
      <c r="W70" s="306">
        <f t="shared" si="22"/>
        <v>4060925.73</v>
      </c>
      <c r="X70" s="214"/>
      <c r="Y70" s="214"/>
      <c r="Z70" s="214"/>
    </row>
    <row r="71" spans="1:26" ht="12" customHeight="1" x14ac:dyDescent="0.2">
      <c r="A71" s="275" t="s">
        <v>487</v>
      </c>
      <c r="B71" s="276"/>
      <c r="C71" s="276" t="s">
        <v>488</v>
      </c>
      <c r="D71" s="276"/>
      <c r="E71" s="276"/>
      <c r="F71" s="276"/>
      <c r="G71" s="276"/>
      <c r="H71" s="276"/>
      <c r="I71" s="276"/>
      <c r="J71" s="276"/>
      <c r="K71" s="276"/>
      <c r="L71" s="302">
        <v>124695.54</v>
      </c>
      <c r="M71" s="270"/>
      <c r="N71" s="276">
        <v>2</v>
      </c>
      <c r="O71" s="276"/>
      <c r="P71" s="276"/>
      <c r="Q71" s="276"/>
      <c r="R71" s="276"/>
      <c r="S71" s="276"/>
      <c r="T71" s="276"/>
      <c r="U71" s="276"/>
      <c r="V71" s="276">
        <f t="shared" ref="V71:V77" si="23">SUM(M71:U71)</f>
        <v>2</v>
      </c>
      <c r="W71" s="272">
        <v>124695.54</v>
      </c>
      <c r="X71" s="214"/>
      <c r="Y71" s="214"/>
      <c r="Z71" s="214"/>
    </row>
    <row r="72" spans="1:26" ht="12" customHeight="1" x14ac:dyDescent="0.2">
      <c r="A72" s="275" t="s">
        <v>489</v>
      </c>
      <c r="B72" s="276"/>
      <c r="C72" s="276">
        <v>20</v>
      </c>
      <c r="D72" s="276"/>
      <c r="E72" s="276"/>
      <c r="F72" s="276"/>
      <c r="G72" s="276"/>
      <c r="H72" s="276"/>
      <c r="I72" s="276"/>
      <c r="J72" s="276"/>
      <c r="K72" s="276">
        <f t="shared" ref="K72:K75" si="24">SUM(C72:J72)</f>
        <v>20</v>
      </c>
      <c r="L72" s="302">
        <v>1025738.77</v>
      </c>
      <c r="M72" s="270"/>
      <c r="N72" s="276">
        <v>20</v>
      </c>
      <c r="O72" s="276"/>
      <c r="P72" s="276"/>
      <c r="Q72" s="276"/>
      <c r="R72" s="276"/>
      <c r="S72" s="276"/>
      <c r="T72" s="276"/>
      <c r="U72" s="276"/>
      <c r="V72" s="276">
        <f t="shared" si="23"/>
        <v>20</v>
      </c>
      <c r="W72" s="272">
        <v>1025738.77</v>
      </c>
      <c r="X72" s="214"/>
      <c r="Y72" s="214"/>
      <c r="Z72" s="214"/>
    </row>
    <row r="73" spans="1:26" ht="12" customHeight="1" x14ac:dyDescent="0.2">
      <c r="A73" s="275" t="s">
        <v>490</v>
      </c>
      <c r="B73" s="276"/>
      <c r="C73" s="276">
        <v>32</v>
      </c>
      <c r="D73" s="276"/>
      <c r="E73" s="276"/>
      <c r="F73" s="276"/>
      <c r="G73" s="276"/>
      <c r="H73" s="276"/>
      <c r="I73" s="276"/>
      <c r="J73" s="276"/>
      <c r="K73" s="276">
        <f t="shared" si="24"/>
        <v>32</v>
      </c>
      <c r="L73" s="302">
        <v>1417384.12</v>
      </c>
      <c r="M73" s="270"/>
      <c r="N73" s="276">
        <v>32</v>
      </c>
      <c r="O73" s="276"/>
      <c r="P73" s="276"/>
      <c r="Q73" s="276"/>
      <c r="R73" s="276"/>
      <c r="S73" s="276"/>
      <c r="T73" s="276"/>
      <c r="U73" s="276"/>
      <c r="V73" s="276">
        <f t="shared" si="23"/>
        <v>32</v>
      </c>
      <c r="W73" s="272">
        <v>1417384.12</v>
      </c>
      <c r="X73" s="214"/>
      <c r="Y73" s="214"/>
      <c r="Z73" s="214"/>
    </row>
    <row r="74" spans="1:26" ht="12" customHeight="1" x14ac:dyDescent="0.2">
      <c r="A74" s="275" t="s">
        <v>491</v>
      </c>
      <c r="B74" s="276"/>
      <c r="C74" s="276">
        <v>26</v>
      </c>
      <c r="D74" s="276"/>
      <c r="E74" s="276"/>
      <c r="F74" s="276"/>
      <c r="G74" s="276"/>
      <c r="H74" s="276"/>
      <c r="I74" s="276"/>
      <c r="J74" s="276"/>
      <c r="K74" s="276">
        <f t="shared" si="24"/>
        <v>26</v>
      </c>
      <c r="L74" s="302">
        <v>1008362</v>
      </c>
      <c r="M74" s="270"/>
      <c r="N74" s="276">
        <v>26</v>
      </c>
      <c r="O74" s="276"/>
      <c r="P74" s="276"/>
      <c r="Q74" s="276"/>
      <c r="R74" s="276"/>
      <c r="S74" s="276"/>
      <c r="T74" s="276"/>
      <c r="U74" s="276"/>
      <c r="V74" s="276">
        <f t="shared" si="23"/>
        <v>26</v>
      </c>
      <c r="W74" s="272">
        <v>1008362</v>
      </c>
      <c r="X74" s="214"/>
      <c r="Y74" s="214"/>
      <c r="Z74" s="214"/>
    </row>
    <row r="75" spans="1:26" ht="12" customHeight="1" x14ac:dyDescent="0.2">
      <c r="A75" s="275" t="s">
        <v>492</v>
      </c>
      <c r="B75" s="276"/>
      <c r="C75" s="276">
        <v>4</v>
      </c>
      <c r="D75" s="276"/>
      <c r="E75" s="276"/>
      <c r="F75" s="276"/>
      <c r="G75" s="276"/>
      <c r="H75" s="276"/>
      <c r="I75" s="276"/>
      <c r="J75" s="276"/>
      <c r="K75" s="276">
        <f t="shared" si="24"/>
        <v>4</v>
      </c>
      <c r="L75" s="302">
        <v>129943.37</v>
      </c>
      <c r="M75" s="270"/>
      <c r="N75" s="276">
        <v>4</v>
      </c>
      <c r="O75" s="276"/>
      <c r="P75" s="276"/>
      <c r="Q75" s="276"/>
      <c r="R75" s="276"/>
      <c r="S75" s="276"/>
      <c r="T75" s="276"/>
      <c r="U75" s="276"/>
      <c r="V75" s="276">
        <f t="shared" si="23"/>
        <v>4</v>
      </c>
      <c r="W75" s="272">
        <v>129943.37</v>
      </c>
      <c r="X75" s="214"/>
      <c r="Y75" s="214"/>
      <c r="Z75" s="214"/>
    </row>
    <row r="76" spans="1:26" ht="12" customHeight="1" x14ac:dyDescent="0.2">
      <c r="A76" s="275" t="s">
        <v>493</v>
      </c>
      <c r="B76" s="276">
        <v>1</v>
      </c>
      <c r="C76" s="276"/>
      <c r="D76" s="276"/>
      <c r="E76" s="276"/>
      <c r="F76" s="276"/>
      <c r="G76" s="276"/>
      <c r="H76" s="276"/>
      <c r="I76" s="276"/>
      <c r="J76" s="276"/>
      <c r="K76" s="276">
        <f>SUM(B76:J76)</f>
        <v>1</v>
      </c>
      <c r="L76" s="302">
        <v>19017.88</v>
      </c>
      <c r="M76" s="270">
        <v>1</v>
      </c>
      <c r="N76" s="276"/>
      <c r="O76" s="276"/>
      <c r="P76" s="276"/>
      <c r="Q76" s="276"/>
      <c r="R76" s="276"/>
      <c r="S76" s="276"/>
      <c r="T76" s="276"/>
      <c r="U76" s="276"/>
      <c r="V76" s="276">
        <f t="shared" si="23"/>
        <v>1</v>
      </c>
      <c r="W76" s="272">
        <v>19017.88</v>
      </c>
      <c r="X76" s="214"/>
      <c r="Y76" s="214"/>
      <c r="Z76" s="214"/>
    </row>
    <row r="77" spans="1:26" ht="12" customHeight="1" x14ac:dyDescent="0.2">
      <c r="A77" s="275" t="s">
        <v>451</v>
      </c>
      <c r="B77" s="276"/>
      <c r="C77" s="276"/>
      <c r="D77" s="276">
        <v>106</v>
      </c>
      <c r="E77" s="276"/>
      <c r="F77" s="276"/>
      <c r="G77" s="276"/>
      <c r="H77" s="276"/>
      <c r="I77" s="276"/>
      <c r="J77" s="276"/>
      <c r="K77" s="276">
        <f>SUM(C77:J77)</f>
        <v>106</v>
      </c>
      <c r="L77" s="302">
        <v>3346893.36</v>
      </c>
      <c r="M77" s="270"/>
      <c r="N77" s="276"/>
      <c r="O77" s="276">
        <v>107</v>
      </c>
      <c r="P77" s="276"/>
      <c r="Q77" s="276"/>
      <c r="R77" s="276"/>
      <c r="S77" s="276"/>
      <c r="T77" s="276"/>
      <c r="U77" s="276"/>
      <c r="V77" s="276">
        <f t="shared" si="23"/>
        <v>107</v>
      </c>
      <c r="W77" s="272">
        <v>335784.05</v>
      </c>
      <c r="X77" s="214"/>
      <c r="Y77" s="214"/>
      <c r="Z77" s="214"/>
    </row>
    <row r="78" spans="1:26" ht="12" customHeight="1" x14ac:dyDescent="0.2">
      <c r="A78" s="284" t="s">
        <v>464</v>
      </c>
      <c r="B78" s="303">
        <f t="shared" ref="B78:W78" si="25">SUM(B79)</f>
        <v>0</v>
      </c>
      <c r="C78" s="303">
        <f t="shared" si="25"/>
        <v>0</v>
      </c>
      <c r="D78" s="303">
        <f t="shared" si="25"/>
        <v>15</v>
      </c>
      <c r="E78" s="303">
        <f t="shared" si="25"/>
        <v>0</v>
      </c>
      <c r="F78" s="303">
        <f t="shared" si="25"/>
        <v>0</v>
      </c>
      <c r="G78" s="303">
        <f t="shared" si="25"/>
        <v>0</v>
      </c>
      <c r="H78" s="303">
        <f t="shared" si="25"/>
        <v>0</v>
      </c>
      <c r="I78" s="303">
        <f t="shared" si="25"/>
        <v>0</v>
      </c>
      <c r="J78" s="303">
        <f t="shared" si="25"/>
        <v>0</v>
      </c>
      <c r="K78" s="303">
        <f t="shared" si="25"/>
        <v>15</v>
      </c>
      <c r="L78" s="304">
        <f t="shared" si="25"/>
        <v>404543.4</v>
      </c>
      <c r="M78" s="305">
        <f t="shared" si="25"/>
        <v>0</v>
      </c>
      <c r="N78" s="303">
        <f t="shared" si="25"/>
        <v>0</v>
      </c>
      <c r="O78" s="303">
        <f t="shared" si="25"/>
        <v>15</v>
      </c>
      <c r="P78" s="303">
        <f t="shared" si="25"/>
        <v>0</v>
      </c>
      <c r="Q78" s="303">
        <f t="shared" si="25"/>
        <v>0</v>
      </c>
      <c r="R78" s="303">
        <f t="shared" si="25"/>
        <v>0</v>
      </c>
      <c r="S78" s="303">
        <f t="shared" si="25"/>
        <v>0</v>
      </c>
      <c r="T78" s="303">
        <f t="shared" si="25"/>
        <v>0</v>
      </c>
      <c r="U78" s="303">
        <f t="shared" si="25"/>
        <v>0</v>
      </c>
      <c r="V78" s="303">
        <f t="shared" si="25"/>
        <v>15</v>
      </c>
      <c r="W78" s="306">
        <f t="shared" si="25"/>
        <v>41262.25</v>
      </c>
      <c r="X78" s="214"/>
      <c r="Y78" s="214"/>
      <c r="Z78" s="214"/>
    </row>
    <row r="79" spans="1:26" ht="12" customHeight="1" x14ac:dyDescent="0.2">
      <c r="A79" s="275" t="s">
        <v>451</v>
      </c>
      <c r="B79" s="276"/>
      <c r="C79" s="276"/>
      <c r="D79" s="276">
        <v>15</v>
      </c>
      <c r="E79" s="276"/>
      <c r="F79" s="276"/>
      <c r="G79" s="276"/>
      <c r="H79" s="276"/>
      <c r="I79" s="276"/>
      <c r="J79" s="276"/>
      <c r="K79" s="276">
        <f>SUM(B79:J79)</f>
        <v>15</v>
      </c>
      <c r="L79" s="302">
        <v>404543.4</v>
      </c>
      <c r="M79" s="270"/>
      <c r="N79" s="276"/>
      <c r="O79" s="276">
        <v>15</v>
      </c>
      <c r="P79" s="276"/>
      <c r="Q79" s="276"/>
      <c r="R79" s="276"/>
      <c r="S79" s="276"/>
      <c r="T79" s="276"/>
      <c r="U79" s="276"/>
      <c r="V79" s="276">
        <f>SUM(M79:U79)</f>
        <v>15</v>
      </c>
      <c r="W79" s="272">
        <v>41262.25</v>
      </c>
      <c r="X79" s="214"/>
      <c r="Y79" s="214"/>
      <c r="Z79" s="214"/>
    </row>
    <row r="80" spans="1:26" ht="12" customHeight="1" x14ac:dyDescent="0.2">
      <c r="A80" s="284" t="s">
        <v>471</v>
      </c>
      <c r="B80" s="303">
        <f t="shared" ref="B80:W80" si="26">SUM(B81)</f>
        <v>0</v>
      </c>
      <c r="C80" s="303">
        <f t="shared" si="26"/>
        <v>0</v>
      </c>
      <c r="D80" s="303">
        <f t="shared" si="26"/>
        <v>0</v>
      </c>
      <c r="E80" s="303">
        <f t="shared" si="26"/>
        <v>0</v>
      </c>
      <c r="F80" s="303">
        <f t="shared" si="26"/>
        <v>0</v>
      </c>
      <c r="G80" s="303">
        <f t="shared" si="26"/>
        <v>0</v>
      </c>
      <c r="H80" s="303">
        <f t="shared" si="26"/>
        <v>0</v>
      </c>
      <c r="I80" s="303">
        <f t="shared" si="26"/>
        <v>5</v>
      </c>
      <c r="J80" s="303">
        <f t="shared" si="26"/>
        <v>0</v>
      </c>
      <c r="K80" s="303">
        <f t="shared" si="26"/>
        <v>5</v>
      </c>
      <c r="L80" s="304">
        <f t="shared" si="26"/>
        <v>55800</v>
      </c>
      <c r="M80" s="305">
        <f t="shared" si="26"/>
        <v>0</v>
      </c>
      <c r="N80" s="303">
        <f t="shared" si="26"/>
        <v>0</v>
      </c>
      <c r="O80" s="303">
        <f t="shared" si="26"/>
        <v>0</v>
      </c>
      <c r="P80" s="303">
        <f t="shared" si="26"/>
        <v>0</v>
      </c>
      <c r="Q80" s="303">
        <f t="shared" si="26"/>
        <v>0</v>
      </c>
      <c r="R80" s="303">
        <f t="shared" si="26"/>
        <v>0</v>
      </c>
      <c r="S80" s="303">
        <f t="shared" si="26"/>
        <v>0</v>
      </c>
      <c r="T80" s="303">
        <f t="shared" si="26"/>
        <v>15</v>
      </c>
      <c r="U80" s="303">
        <f t="shared" si="26"/>
        <v>0</v>
      </c>
      <c r="V80" s="303">
        <f t="shared" si="26"/>
        <v>15</v>
      </c>
      <c r="W80" s="306">
        <f t="shared" si="26"/>
        <v>165940</v>
      </c>
      <c r="X80" s="214"/>
      <c r="Y80" s="214"/>
      <c r="Z80" s="214"/>
    </row>
    <row r="81" spans="1:26" ht="12" customHeight="1" x14ac:dyDescent="0.2">
      <c r="A81" s="286" t="s">
        <v>471</v>
      </c>
      <c r="B81" s="307"/>
      <c r="C81" s="307"/>
      <c r="D81" s="307"/>
      <c r="E81" s="307"/>
      <c r="F81" s="307"/>
      <c r="G81" s="307"/>
      <c r="H81" s="307"/>
      <c r="I81" s="307">
        <v>5</v>
      </c>
      <c r="J81" s="307"/>
      <c r="K81" s="307">
        <f>SUM(B81:J81)</f>
        <v>5</v>
      </c>
      <c r="L81" s="308">
        <v>55800</v>
      </c>
      <c r="M81" s="309"/>
      <c r="N81" s="307"/>
      <c r="O81" s="307"/>
      <c r="P81" s="307"/>
      <c r="Q81" s="307"/>
      <c r="R81" s="307"/>
      <c r="S81" s="307"/>
      <c r="T81" s="307">
        <v>15</v>
      </c>
      <c r="U81" s="307"/>
      <c r="V81" s="307">
        <f>SUM(M81:U81)</f>
        <v>15</v>
      </c>
      <c r="W81" s="289">
        <v>165940</v>
      </c>
      <c r="X81" s="214"/>
      <c r="Y81" s="214"/>
      <c r="Z81" s="214"/>
    </row>
    <row r="82" spans="1:26" ht="23.25" customHeight="1" x14ac:dyDescent="0.2">
      <c r="A82" s="290" t="s">
        <v>494</v>
      </c>
      <c r="B82" s="291">
        <f t="shared" ref="B82:W82" si="27">+B53+B64+B70+B78+B80</f>
        <v>1</v>
      </c>
      <c r="C82" s="291">
        <f t="shared" si="27"/>
        <v>165</v>
      </c>
      <c r="D82" s="291">
        <f t="shared" si="27"/>
        <v>309</v>
      </c>
      <c r="E82" s="291">
        <f t="shared" si="27"/>
        <v>0</v>
      </c>
      <c r="F82" s="291">
        <f t="shared" si="27"/>
        <v>0</v>
      </c>
      <c r="G82" s="291">
        <f t="shared" si="27"/>
        <v>0</v>
      </c>
      <c r="H82" s="291">
        <f t="shared" si="27"/>
        <v>0</v>
      </c>
      <c r="I82" s="291">
        <f t="shared" si="27"/>
        <v>5</v>
      </c>
      <c r="J82" s="291">
        <f t="shared" si="27"/>
        <v>7</v>
      </c>
      <c r="K82" s="291">
        <f t="shared" si="27"/>
        <v>487</v>
      </c>
      <c r="L82" s="292">
        <f t="shared" si="27"/>
        <v>29941153.509999998</v>
      </c>
      <c r="M82" s="291">
        <f t="shared" si="27"/>
        <v>1</v>
      </c>
      <c r="N82" s="291">
        <f t="shared" si="27"/>
        <v>167</v>
      </c>
      <c r="O82" s="291">
        <f t="shared" si="27"/>
        <v>322</v>
      </c>
      <c r="P82" s="291">
        <f t="shared" si="27"/>
        <v>0</v>
      </c>
      <c r="Q82" s="291">
        <f t="shared" si="27"/>
        <v>0</v>
      </c>
      <c r="R82" s="291">
        <f t="shared" si="27"/>
        <v>0</v>
      </c>
      <c r="S82" s="291">
        <f t="shared" si="27"/>
        <v>0</v>
      </c>
      <c r="T82" s="291">
        <f t="shared" si="27"/>
        <v>15</v>
      </c>
      <c r="U82" s="291">
        <f t="shared" si="27"/>
        <v>7</v>
      </c>
      <c r="V82" s="291">
        <f t="shared" si="27"/>
        <v>512</v>
      </c>
      <c r="W82" s="293">
        <f t="shared" si="27"/>
        <v>14152568.42</v>
      </c>
      <c r="X82" s="214"/>
      <c r="Y82" s="214"/>
      <c r="Z82" s="214"/>
    </row>
    <row r="83" spans="1:26" ht="24" customHeight="1" x14ac:dyDescent="0.2">
      <c r="A83" s="294"/>
      <c r="B83" s="294"/>
      <c r="C83" s="294"/>
      <c r="D83" s="294"/>
      <c r="E83" s="294"/>
      <c r="F83" s="294"/>
      <c r="G83" s="294"/>
      <c r="H83" s="294"/>
      <c r="I83" s="294"/>
      <c r="J83" s="294"/>
      <c r="K83" s="294"/>
      <c r="L83" s="295"/>
      <c r="M83" s="294"/>
      <c r="N83" s="294"/>
      <c r="O83" s="294"/>
      <c r="P83" s="294"/>
      <c r="Q83" s="294"/>
      <c r="R83" s="294"/>
      <c r="S83" s="294"/>
      <c r="T83" s="294"/>
      <c r="U83" s="294"/>
      <c r="V83" s="294"/>
      <c r="W83" s="295"/>
      <c r="X83" s="214"/>
      <c r="Y83" s="214"/>
      <c r="Z83" s="214"/>
    </row>
    <row r="84" spans="1:26" ht="23.25" customHeight="1" x14ac:dyDescent="0.2">
      <c r="A84" s="310" t="s">
        <v>495</v>
      </c>
      <c r="B84" s="291"/>
      <c r="C84" s="291"/>
      <c r="D84" s="291"/>
      <c r="E84" s="291"/>
      <c r="F84" s="291"/>
      <c r="G84" s="291"/>
      <c r="H84" s="291"/>
      <c r="I84" s="291"/>
      <c r="J84" s="291"/>
      <c r="K84" s="291"/>
      <c r="L84" s="292"/>
      <c r="M84" s="291"/>
      <c r="N84" s="291"/>
      <c r="O84" s="291"/>
      <c r="P84" s="291"/>
      <c r="Q84" s="291"/>
      <c r="R84" s="291"/>
      <c r="S84" s="291"/>
      <c r="T84" s="291"/>
      <c r="U84" s="291"/>
      <c r="V84" s="291"/>
      <c r="W84" s="293"/>
      <c r="X84" s="214"/>
      <c r="Y84" s="214"/>
      <c r="Z84" s="214"/>
    </row>
    <row r="85" spans="1:26" ht="12" customHeight="1" x14ac:dyDescent="0.2">
      <c r="A85" s="297" t="s">
        <v>496</v>
      </c>
      <c r="B85" s="311"/>
      <c r="C85" s="298">
        <f>+C86</f>
        <v>2</v>
      </c>
      <c r="D85" s="311"/>
      <c r="E85" s="311"/>
      <c r="F85" s="311"/>
      <c r="G85" s="311"/>
      <c r="H85" s="311"/>
      <c r="I85" s="311"/>
      <c r="J85" s="311"/>
      <c r="K85" s="311"/>
      <c r="L85" s="312">
        <f>+L86</f>
        <v>308716</v>
      </c>
      <c r="M85" s="311"/>
      <c r="N85" s="298">
        <f>+N86</f>
        <v>2</v>
      </c>
      <c r="O85" s="311"/>
      <c r="P85" s="311"/>
      <c r="Q85" s="311"/>
      <c r="R85" s="311"/>
      <c r="S85" s="311"/>
      <c r="T85" s="311"/>
      <c r="U85" s="311"/>
      <c r="V85" s="311"/>
      <c r="W85" s="312">
        <f>+W86</f>
        <v>353542</v>
      </c>
      <c r="X85" s="214"/>
      <c r="Y85" s="214"/>
      <c r="Z85" s="214"/>
    </row>
    <row r="86" spans="1:26" ht="12" customHeight="1" x14ac:dyDescent="0.2">
      <c r="A86" s="275" t="s">
        <v>497</v>
      </c>
      <c r="B86" s="276"/>
      <c r="C86" s="276">
        <v>2</v>
      </c>
      <c r="D86" s="276"/>
      <c r="E86" s="276"/>
      <c r="F86" s="276"/>
      <c r="G86" s="276"/>
      <c r="H86" s="276"/>
      <c r="I86" s="276"/>
      <c r="J86" s="276"/>
      <c r="K86" s="276"/>
      <c r="L86" s="203">
        <f>253686+800+49752+4478</f>
        <v>308716</v>
      </c>
      <c r="M86" s="276"/>
      <c r="N86" s="276">
        <v>2</v>
      </c>
      <c r="O86" s="276"/>
      <c r="P86" s="276"/>
      <c r="Q86" s="276"/>
      <c r="R86" s="276"/>
      <c r="S86" s="276"/>
      <c r="T86" s="276"/>
      <c r="U86" s="276"/>
      <c r="V86" s="276"/>
      <c r="W86" s="203">
        <f>298512+800+49752+4478</f>
        <v>353542</v>
      </c>
      <c r="X86" s="214"/>
      <c r="Y86" s="214"/>
      <c r="Z86" s="214"/>
    </row>
    <row r="87" spans="1:26" ht="12" customHeight="1" x14ac:dyDescent="0.2">
      <c r="A87" s="284" t="s">
        <v>498</v>
      </c>
      <c r="B87" s="276"/>
      <c r="C87" s="303">
        <f>+C88</f>
        <v>5</v>
      </c>
      <c r="D87" s="276"/>
      <c r="E87" s="276"/>
      <c r="F87" s="276"/>
      <c r="G87" s="276"/>
      <c r="H87" s="276"/>
      <c r="I87" s="276"/>
      <c r="J87" s="276"/>
      <c r="K87" s="276"/>
      <c r="L87" s="204">
        <f>+L88</f>
        <v>894844</v>
      </c>
      <c r="M87" s="276"/>
      <c r="N87" s="303">
        <f>+N88</f>
        <v>5</v>
      </c>
      <c r="O87" s="276"/>
      <c r="P87" s="276"/>
      <c r="Q87" s="276"/>
      <c r="R87" s="276"/>
      <c r="S87" s="276"/>
      <c r="T87" s="276"/>
      <c r="U87" s="276"/>
      <c r="V87" s="276"/>
      <c r="W87" s="204">
        <f>+W88</f>
        <v>894844</v>
      </c>
      <c r="X87" s="214"/>
      <c r="Y87" s="214"/>
      <c r="Z87" s="214"/>
    </row>
    <row r="88" spans="1:26" ht="12" customHeight="1" x14ac:dyDescent="0.2">
      <c r="A88" s="275" t="s">
        <v>499</v>
      </c>
      <c r="B88" s="276"/>
      <c r="C88" s="276">
        <v>5</v>
      </c>
      <c r="D88" s="276"/>
      <c r="E88" s="276"/>
      <c r="F88" s="276"/>
      <c r="G88" s="276"/>
      <c r="H88" s="276"/>
      <c r="I88" s="276"/>
      <c r="J88" s="276"/>
      <c r="K88" s="276"/>
      <c r="L88" s="203">
        <f>755580+2000+125930+11334</f>
        <v>894844</v>
      </c>
      <c r="M88" s="276"/>
      <c r="N88" s="276">
        <v>5</v>
      </c>
      <c r="O88" s="276"/>
      <c r="P88" s="276"/>
      <c r="Q88" s="276"/>
      <c r="R88" s="276"/>
      <c r="S88" s="276"/>
      <c r="T88" s="276"/>
      <c r="U88" s="276"/>
      <c r="V88" s="276"/>
      <c r="W88" s="203">
        <f>755580+2000+125930+11334</f>
        <v>894844</v>
      </c>
      <c r="X88" s="214"/>
      <c r="Y88" s="214"/>
      <c r="Z88" s="214"/>
    </row>
    <row r="89" spans="1:26" ht="12" customHeight="1" x14ac:dyDescent="0.2">
      <c r="A89" s="284" t="s">
        <v>500</v>
      </c>
      <c r="B89" s="276"/>
      <c r="C89" s="303">
        <f>+C90</f>
        <v>10</v>
      </c>
      <c r="D89" s="276"/>
      <c r="E89" s="276"/>
      <c r="F89" s="276"/>
      <c r="G89" s="276"/>
      <c r="H89" s="276"/>
      <c r="I89" s="276"/>
      <c r="J89" s="276"/>
      <c r="K89" s="276"/>
      <c r="L89" s="204">
        <f>+L90</f>
        <v>978634</v>
      </c>
      <c r="M89" s="276"/>
      <c r="N89" s="303">
        <f>+N90</f>
        <v>10</v>
      </c>
      <c r="O89" s="276"/>
      <c r="P89" s="276"/>
      <c r="Q89" s="276"/>
      <c r="R89" s="276"/>
      <c r="S89" s="276"/>
      <c r="T89" s="276"/>
      <c r="U89" s="276"/>
      <c r="V89" s="276"/>
      <c r="W89" s="204">
        <f>+W90</f>
        <v>915944</v>
      </c>
      <c r="X89" s="214"/>
      <c r="Y89" s="214"/>
      <c r="Z89" s="214"/>
    </row>
    <row r="90" spans="1:26" ht="12" customHeight="1" x14ac:dyDescent="0.2">
      <c r="A90" s="275" t="s">
        <v>501</v>
      </c>
      <c r="B90" s="276"/>
      <c r="C90" s="276">
        <v>10</v>
      </c>
      <c r="D90" s="276"/>
      <c r="E90" s="276"/>
      <c r="F90" s="276"/>
      <c r="G90" s="276"/>
      <c r="H90" s="276"/>
      <c r="I90" s="276"/>
      <c r="J90" s="276"/>
      <c r="K90" s="276"/>
      <c r="L90" s="203">
        <f>824796+4000+137466+12372</f>
        <v>978634</v>
      </c>
      <c r="M90" s="276"/>
      <c r="N90" s="276">
        <v>10</v>
      </c>
      <c r="O90" s="276"/>
      <c r="P90" s="276"/>
      <c r="Q90" s="276"/>
      <c r="R90" s="276"/>
      <c r="S90" s="276"/>
      <c r="T90" s="276"/>
      <c r="U90" s="276"/>
      <c r="V90" s="276"/>
      <c r="W90" s="203">
        <f>772080+3600+128680+11584</f>
        <v>915944</v>
      </c>
      <c r="X90" s="214"/>
      <c r="Y90" s="214"/>
      <c r="Z90" s="214"/>
    </row>
    <row r="91" spans="1:26" ht="12" customHeight="1" x14ac:dyDescent="0.2">
      <c r="A91" s="284" t="s">
        <v>502</v>
      </c>
      <c r="B91" s="276"/>
      <c r="C91" s="303">
        <f>+C92</f>
        <v>66</v>
      </c>
      <c r="D91" s="276"/>
      <c r="E91" s="276"/>
      <c r="F91" s="276"/>
      <c r="G91" s="276"/>
      <c r="H91" s="276"/>
      <c r="I91" s="276"/>
      <c r="J91" s="276"/>
      <c r="K91" s="276"/>
      <c r="L91" s="204">
        <f>+L92</f>
        <v>3508148</v>
      </c>
      <c r="M91" s="276"/>
      <c r="N91" s="303">
        <v>64</v>
      </c>
      <c r="O91" s="276"/>
      <c r="P91" s="276"/>
      <c r="Q91" s="276"/>
      <c r="R91" s="276"/>
      <c r="S91" s="276"/>
      <c r="T91" s="276"/>
      <c r="U91" s="276"/>
      <c r="V91" s="276"/>
      <c r="W91" s="204">
        <f>+W92</f>
        <v>3478066</v>
      </c>
      <c r="X91" s="214"/>
      <c r="Y91" s="214"/>
      <c r="Z91" s="214"/>
    </row>
    <row r="92" spans="1:26" ht="12" customHeight="1" x14ac:dyDescent="0.2">
      <c r="A92" s="275" t="s">
        <v>503</v>
      </c>
      <c r="B92" s="276"/>
      <c r="C92" s="276">
        <v>66</v>
      </c>
      <c r="D92" s="276"/>
      <c r="E92" s="276"/>
      <c r="F92" s="276"/>
      <c r="G92" s="276"/>
      <c r="H92" s="276"/>
      <c r="I92" s="276"/>
      <c r="J92" s="276"/>
      <c r="K92" s="276"/>
      <c r="L92" s="203">
        <f>2946456+26400+491076+44216</f>
        <v>3508148</v>
      </c>
      <c r="M92" s="276"/>
      <c r="N92" s="276">
        <v>66</v>
      </c>
      <c r="O92" s="276"/>
      <c r="P92" s="276"/>
      <c r="Q92" s="276"/>
      <c r="R92" s="276"/>
      <c r="S92" s="276"/>
      <c r="T92" s="276"/>
      <c r="U92" s="276"/>
      <c r="V92" s="276"/>
      <c r="W92" s="203">
        <f>2921340+26000+486890+43836</f>
        <v>3478066</v>
      </c>
      <c r="X92" s="214"/>
      <c r="Y92" s="214"/>
      <c r="Z92" s="214"/>
    </row>
    <row r="93" spans="1:26" ht="12" customHeight="1" x14ac:dyDescent="0.2">
      <c r="A93" s="284" t="s">
        <v>504</v>
      </c>
      <c r="B93" s="276"/>
      <c r="C93" s="303">
        <f>+C94</f>
        <v>19</v>
      </c>
      <c r="D93" s="276"/>
      <c r="E93" s="276"/>
      <c r="F93" s="276"/>
      <c r="G93" s="276"/>
      <c r="H93" s="276"/>
      <c r="I93" s="276"/>
      <c r="J93" s="276"/>
      <c r="K93" s="276"/>
      <c r="L93" s="204">
        <f>+L94</f>
        <v>616872</v>
      </c>
      <c r="M93" s="276"/>
      <c r="N93" s="303">
        <f>+N94</f>
        <v>19</v>
      </c>
      <c r="O93" s="276"/>
      <c r="P93" s="276"/>
      <c r="Q93" s="276"/>
      <c r="R93" s="276"/>
      <c r="S93" s="276"/>
      <c r="T93" s="276"/>
      <c r="U93" s="276"/>
      <c r="V93" s="276"/>
      <c r="W93" s="204">
        <f>+W94</f>
        <v>616872</v>
      </c>
      <c r="X93" s="214"/>
      <c r="Y93" s="214"/>
      <c r="Z93" s="214"/>
    </row>
    <row r="94" spans="1:26" ht="12" customHeight="1" x14ac:dyDescent="0.2">
      <c r="A94" s="275" t="s">
        <v>505</v>
      </c>
      <c r="B94" s="276"/>
      <c r="C94" s="276">
        <v>19</v>
      </c>
      <c r="D94" s="276"/>
      <c r="E94" s="276"/>
      <c r="F94" s="276"/>
      <c r="G94" s="276"/>
      <c r="H94" s="276"/>
      <c r="I94" s="276"/>
      <c r="J94" s="276"/>
      <c r="K94" s="276"/>
      <c r="L94" s="203">
        <f>515604+7600+85934+7734</f>
        <v>616872</v>
      </c>
      <c r="M94" s="276"/>
      <c r="N94" s="276">
        <v>19</v>
      </c>
      <c r="O94" s="276"/>
      <c r="P94" s="276"/>
      <c r="Q94" s="276"/>
      <c r="R94" s="276"/>
      <c r="S94" s="276"/>
      <c r="T94" s="276"/>
      <c r="U94" s="276"/>
      <c r="V94" s="276"/>
      <c r="W94" s="203">
        <f>515604+7600+85934+7734</f>
        <v>616872</v>
      </c>
      <c r="X94" s="214"/>
      <c r="Y94" s="214"/>
      <c r="Z94" s="214"/>
    </row>
    <row r="95" spans="1:26" ht="12" customHeight="1" x14ac:dyDescent="0.2">
      <c r="A95" s="275"/>
      <c r="B95" s="276"/>
      <c r="C95" s="276"/>
      <c r="D95" s="276"/>
      <c r="E95" s="276"/>
      <c r="F95" s="276"/>
      <c r="G95" s="276"/>
      <c r="H95" s="276"/>
      <c r="I95" s="276"/>
      <c r="J95" s="276"/>
      <c r="K95" s="276"/>
      <c r="L95" s="313"/>
      <c r="M95" s="276"/>
      <c r="N95" s="276"/>
      <c r="O95" s="276"/>
      <c r="P95" s="276"/>
      <c r="Q95" s="276"/>
      <c r="R95" s="276"/>
      <c r="S95" s="276"/>
      <c r="T95" s="276"/>
      <c r="U95" s="276"/>
      <c r="V95" s="276"/>
      <c r="W95" s="313"/>
      <c r="X95" s="214"/>
      <c r="Y95" s="214"/>
      <c r="Z95" s="214"/>
    </row>
    <row r="96" spans="1:26" ht="17.25" customHeight="1" x14ac:dyDescent="0.2">
      <c r="A96" s="314" t="s">
        <v>506</v>
      </c>
      <c r="B96" s="276"/>
      <c r="C96" s="276"/>
      <c r="D96" s="276"/>
      <c r="E96" s="276"/>
      <c r="F96" s="276"/>
      <c r="G96" s="276"/>
      <c r="H96" s="276"/>
      <c r="I96" s="276"/>
      <c r="J96" s="276"/>
      <c r="K96" s="276"/>
      <c r="L96" s="203"/>
      <c r="M96" s="276"/>
      <c r="N96" s="276"/>
      <c r="O96" s="276"/>
      <c r="P96" s="276"/>
      <c r="Q96" s="276"/>
      <c r="R96" s="276"/>
      <c r="S96" s="276"/>
      <c r="T96" s="276"/>
      <c r="U96" s="276"/>
      <c r="V96" s="276"/>
      <c r="W96" s="203"/>
      <c r="X96" s="214"/>
      <c r="Y96" s="214"/>
      <c r="Z96" s="214"/>
    </row>
    <row r="97" spans="1:26" ht="12" customHeight="1" x14ac:dyDescent="0.2">
      <c r="A97" s="284" t="s">
        <v>507</v>
      </c>
      <c r="B97" s="276"/>
      <c r="C97" s="276"/>
      <c r="D97" s="276">
        <v>5</v>
      </c>
      <c r="E97" s="276"/>
      <c r="F97" s="276"/>
      <c r="G97" s="276"/>
      <c r="H97" s="276"/>
      <c r="I97" s="276"/>
      <c r="J97" s="276"/>
      <c r="K97" s="276"/>
      <c r="L97" s="204">
        <v>651000</v>
      </c>
      <c r="M97" s="276"/>
      <c r="N97" s="276"/>
      <c r="O97" s="276">
        <v>5</v>
      </c>
      <c r="P97" s="276"/>
      <c r="Q97" s="276"/>
      <c r="R97" s="276"/>
      <c r="S97" s="276"/>
      <c r="T97" s="276"/>
      <c r="U97" s="276"/>
      <c r="V97" s="276"/>
      <c r="W97" s="204">
        <v>651000</v>
      </c>
      <c r="X97" s="214"/>
      <c r="Y97" s="214"/>
      <c r="Z97" s="214"/>
    </row>
    <row r="98" spans="1:26" ht="12" customHeight="1" x14ac:dyDescent="0.2">
      <c r="A98" s="284" t="s">
        <v>452</v>
      </c>
      <c r="B98" s="276"/>
      <c r="C98" s="276"/>
      <c r="D98" s="276">
        <v>218</v>
      </c>
      <c r="E98" s="276"/>
      <c r="F98" s="276"/>
      <c r="G98" s="276"/>
      <c r="H98" s="276"/>
      <c r="I98" s="276"/>
      <c r="J98" s="276"/>
      <c r="K98" s="276"/>
      <c r="L98" s="204">
        <v>14639401</v>
      </c>
      <c r="M98" s="276"/>
      <c r="N98" s="276"/>
      <c r="O98" s="276">
        <v>200</v>
      </c>
      <c r="P98" s="276"/>
      <c r="Q98" s="276"/>
      <c r="R98" s="276"/>
      <c r="S98" s="276"/>
      <c r="T98" s="276"/>
      <c r="U98" s="276"/>
      <c r="V98" s="276"/>
      <c r="W98" s="204">
        <v>13053221</v>
      </c>
      <c r="X98" s="214"/>
      <c r="Y98" s="214"/>
      <c r="Z98" s="214"/>
    </row>
    <row r="99" spans="1:26" ht="12" customHeight="1" x14ac:dyDescent="0.2">
      <c r="A99" s="284" t="s">
        <v>458</v>
      </c>
      <c r="B99" s="276"/>
      <c r="C99" s="276"/>
      <c r="D99" s="276">
        <v>34</v>
      </c>
      <c r="E99" s="276"/>
      <c r="F99" s="276"/>
      <c r="G99" s="276"/>
      <c r="H99" s="276"/>
      <c r="I99" s="276"/>
      <c r="J99" s="276"/>
      <c r="K99" s="276"/>
      <c r="L99" s="204">
        <v>671400</v>
      </c>
      <c r="M99" s="276"/>
      <c r="N99" s="276"/>
      <c r="O99" s="276">
        <v>34</v>
      </c>
      <c r="P99" s="276"/>
      <c r="Q99" s="276"/>
      <c r="R99" s="276"/>
      <c r="S99" s="276"/>
      <c r="T99" s="276"/>
      <c r="U99" s="276"/>
      <c r="V99" s="276"/>
      <c r="W99" s="204">
        <v>671400</v>
      </c>
      <c r="X99" s="214"/>
      <c r="Y99" s="214"/>
      <c r="Z99" s="214"/>
    </row>
    <row r="100" spans="1:26" ht="12" customHeight="1" x14ac:dyDescent="0.2">
      <c r="A100" s="275"/>
      <c r="B100" s="276"/>
      <c r="C100" s="276"/>
      <c r="D100" s="276"/>
      <c r="E100" s="276"/>
      <c r="F100" s="276"/>
      <c r="G100" s="276"/>
      <c r="H100" s="276"/>
      <c r="I100" s="276"/>
      <c r="J100" s="276"/>
      <c r="K100" s="276"/>
      <c r="L100" s="313"/>
      <c r="M100" s="276"/>
      <c r="N100" s="276"/>
      <c r="O100" s="315"/>
      <c r="P100" s="315"/>
      <c r="Q100" s="315"/>
      <c r="R100" s="315"/>
      <c r="S100" s="315"/>
      <c r="T100" s="315"/>
      <c r="U100" s="315"/>
      <c r="V100" s="315"/>
      <c r="W100" s="316"/>
      <c r="X100" s="214"/>
      <c r="Y100" s="214"/>
      <c r="Z100" s="214"/>
    </row>
    <row r="101" spans="1:26" ht="12" customHeight="1" x14ac:dyDescent="0.2">
      <c r="A101" s="317" t="s">
        <v>508</v>
      </c>
      <c r="B101" s="276"/>
      <c r="C101" s="276"/>
      <c r="D101" s="276"/>
      <c r="E101" s="276"/>
      <c r="F101" s="276"/>
      <c r="G101" s="276"/>
      <c r="H101" s="276"/>
      <c r="I101" s="276"/>
      <c r="J101" s="276"/>
      <c r="K101" s="276"/>
      <c r="L101" s="204"/>
      <c r="M101" s="276"/>
      <c r="N101" s="276"/>
      <c r="O101" s="315"/>
      <c r="P101" s="315"/>
      <c r="Q101" s="315"/>
      <c r="R101" s="315"/>
      <c r="S101" s="315"/>
      <c r="T101" s="303"/>
      <c r="U101" s="276"/>
      <c r="V101" s="276"/>
      <c r="W101" s="204"/>
      <c r="X101" s="214"/>
      <c r="Y101" s="214"/>
      <c r="Z101" s="214"/>
    </row>
    <row r="102" spans="1:26" ht="12" customHeight="1" x14ac:dyDescent="0.2">
      <c r="A102" s="318" t="s">
        <v>509</v>
      </c>
      <c r="B102" s="276"/>
      <c r="C102" s="276"/>
      <c r="D102" s="276"/>
      <c r="E102" s="276"/>
      <c r="F102" s="276"/>
      <c r="G102" s="276"/>
      <c r="H102" s="276"/>
      <c r="I102" s="276">
        <v>14</v>
      </c>
      <c r="J102" s="276"/>
      <c r="K102" s="276"/>
      <c r="L102" s="204">
        <v>115319</v>
      </c>
      <c r="M102" s="276"/>
      <c r="N102" s="276"/>
      <c r="O102" s="315"/>
      <c r="P102" s="315"/>
      <c r="Q102" s="315"/>
      <c r="R102" s="315"/>
      <c r="S102" s="315"/>
      <c r="T102" s="276">
        <v>6</v>
      </c>
      <c r="U102" s="276"/>
      <c r="V102" s="276"/>
      <c r="W102" s="204">
        <v>115321</v>
      </c>
      <c r="X102" s="214"/>
      <c r="Y102" s="214"/>
      <c r="Z102" s="214"/>
    </row>
    <row r="103" spans="1:26" ht="12" customHeight="1" x14ac:dyDescent="0.2">
      <c r="A103" s="318" t="s">
        <v>510</v>
      </c>
      <c r="B103" s="276"/>
      <c r="C103" s="276"/>
      <c r="D103" s="276"/>
      <c r="E103" s="276"/>
      <c r="F103" s="276"/>
      <c r="G103" s="276"/>
      <c r="H103" s="276"/>
      <c r="I103" s="276">
        <v>43</v>
      </c>
      <c r="J103" s="276"/>
      <c r="K103" s="276"/>
      <c r="L103" s="204">
        <v>728334</v>
      </c>
      <c r="M103" s="276"/>
      <c r="N103" s="276"/>
      <c r="O103" s="315"/>
      <c r="P103" s="315"/>
      <c r="Q103" s="315"/>
      <c r="R103" s="315"/>
      <c r="S103" s="315"/>
      <c r="T103" s="276">
        <v>51</v>
      </c>
      <c r="U103" s="276"/>
      <c r="V103" s="276"/>
      <c r="W103" s="204">
        <v>728331</v>
      </c>
      <c r="X103" s="214"/>
      <c r="Y103" s="214"/>
      <c r="Z103" s="214"/>
    </row>
    <row r="104" spans="1:26" ht="12" customHeight="1" x14ac:dyDescent="0.2">
      <c r="A104" s="275"/>
      <c r="B104" s="276"/>
      <c r="C104" s="276"/>
      <c r="D104" s="276"/>
      <c r="E104" s="276"/>
      <c r="F104" s="276"/>
      <c r="G104" s="276"/>
      <c r="H104" s="276"/>
      <c r="I104" s="276"/>
      <c r="J104" s="276"/>
      <c r="K104" s="276"/>
      <c r="L104" s="313"/>
      <c r="M104" s="276"/>
      <c r="N104" s="276"/>
      <c r="O104" s="276"/>
      <c r="P104" s="276"/>
      <c r="Q104" s="276"/>
      <c r="R104" s="276"/>
      <c r="S104" s="276"/>
      <c r="T104" s="276"/>
      <c r="U104" s="276"/>
      <c r="V104" s="276"/>
      <c r="W104" s="313"/>
      <c r="X104" s="214"/>
      <c r="Y104" s="214"/>
      <c r="Z104" s="214"/>
    </row>
    <row r="105" spans="1:26" ht="23.25" customHeight="1" x14ac:dyDescent="0.2">
      <c r="A105" s="319" t="s">
        <v>511</v>
      </c>
      <c r="B105" s="319">
        <f>SUM(B97:B104)</f>
        <v>0</v>
      </c>
      <c r="C105" s="291">
        <f>+C85+C87+C89+C91+C93</f>
        <v>102</v>
      </c>
      <c r="D105" s="291">
        <f t="shared" ref="D105:K105" si="28">SUM(D97:D104)</f>
        <v>257</v>
      </c>
      <c r="E105" s="291">
        <f t="shared" si="28"/>
        <v>0</v>
      </c>
      <c r="F105" s="291">
        <f t="shared" si="28"/>
        <v>0</v>
      </c>
      <c r="G105" s="291">
        <f t="shared" si="28"/>
        <v>0</v>
      </c>
      <c r="H105" s="291">
        <f t="shared" si="28"/>
        <v>0</v>
      </c>
      <c r="I105" s="291">
        <f t="shared" si="28"/>
        <v>57</v>
      </c>
      <c r="J105" s="291">
        <f t="shared" si="28"/>
        <v>0</v>
      </c>
      <c r="K105" s="291">
        <f t="shared" si="28"/>
        <v>0</v>
      </c>
      <c r="L105" s="320">
        <f>+L85+L87+L89+L91+L93+L97+L98+L99+L102+L103</f>
        <v>23112668</v>
      </c>
      <c r="M105" s="291"/>
      <c r="N105" s="291">
        <f>+N85+N87+N89+N91+N93</f>
        <v>100</v>
      </c>
      <c r="O105" s="291">
        <f t="shared" ref="O105:V105" si="29">SUM(O97:O104)</f>
        <v>239</v>
      </c>
      <c r="P105" s="291">
        <f t="shared" si="29"/>
        <v>0</v>
      </c>
      <c r="Q105" s="291">
        <f t="shared" si="29"/>
        <v>0</v>
      </c>
      <c r="R105" s="291">
        <f t="shared" si="29"/>
        <v>0</v>
      </c>
      <c r="S105" s="291">
        <f t="shared" si="29"/>
        <v>0</v>
      </c>
      <c r="T105" s="291">
        <f t="shared" si="29"/>
        <v>57</v>
      </c>
      <c r="U105" s="291">
        <f t="shared" si="29"/>
        <v>0</v>
      </c>
      <c r="V105" s="291">
        <f t="shared" si="29"/>
        <v>0</v>
      </c>
      <c r="W105" s="320">
        <f>+W85+W87+W89+W91+W93+W97+W98+W99+W102+W103</f>
        <v>21478541</v>
      </c>
      <c r="X105" s="214"/>
      <c r="Y105" s="214"/>
      <c r="Z105" s="214"/>
    </row>
    <row r="106" spans="1:26" ht="23.25" customHeight="1" x14ac:dyDescent="0.2">
      <c r="A106" s="294"/>
      <c r="B106" s="294"/>
      <c r="C106" s="294"/>
      <c r="D106" s="294"/>
      <c r="E106" s="294"/>
      <c r="F106" s="294"/>
      <c r="G106" s="294"/>
      <c r="H106" s="294"/>
      <c r="I106" s="294"/>
      <c r="J106" s="294"/>
      <c r="K106" s="294"/>
      <c r="L106" s="295"/>
      <c r="M106" s="294"/>
      <c r="N106" s="294"/>
      <c r="O106" s="294"/>
      <c r="P106" s="294"/>
      <c r="Q106" s="294"/>
      <c r="R106" s="294"/>
      <c r="S106" s="294"/>
      <c r="T106" s="294"/>
      <c r="U106" s="294"/>
      <c r="V106" s="294"/>
      <c r="W106" s="295"/>
      <c r="X106" s="214"/>
      <c r="Y106" s="214"/>
      <c r="Z106" s="214"/>
    </row>
    <row r="107" spans="1:26" ht="23.25" customHeight="1" x14ac:dyDescent="0.2">
      <c r="A107" s="296" t="s">
        <v>512</v>
      </c>
      <c r="B107" s="291"/>
      <c r="C107" s="291"/>
      <c r="D107" s="291"/>
      <c r="E107" s="291"/>
      <c r="F107" s="291"/>
      <c r="G107" s="291"/>
      <c r="H107" s="291"/>
      <c r="I107" s="291"/>
      <c r="J107" s="291"/>
      <c r="K107" s="291"/>
      <c r="L107" s="292"/>
      <c r="M107" s="291"/>
      <c r="N107" s="291"/>
      <c r="O107" s="291"/>
      <c r="P107" s="291"/>
      <c r="Q107" s="291"/>
      <c r="R107" s="291"/>
      <c r="S107" s="291"/>
      <c r="T107" s="291"/>
      <c r="U107" s="291"/>
      <c r="V107" s="291"/>
      <c r="W107" s="293"/>
      <c r="X107" s="214"/>
      <c r="Y107" s="214"/>
      <c r="Z107" s="214"/>
    </row>
    <row r="108" spans="1:26" ht="12" customHeight="1" x14ac:dyDescent="0.2">
      <c r="A108" s="321" t="s">
        <v>441</v>
      </c>
      <c r="B108" s="322"/>
      <c r="C108" s="311"/>
      <c r="D108" s="311">
        <v>121</v>
      </c>
      <c r="E108" s="311"/>
      <c r="F108" s="311"/>
      <c r="G108" s="311"/>
      <c r="H108" s="311"/>
      <c r="I108" s="311"/>
      <c r="J108" s="311"/>
      <c r="K108" s="311">
        <v>121</v>
      </c>
      <c r="L108" s="323">
        <v>7256717.5000000075</v>
      </c>
      <c r="M108" s="311"/>
      <c r="N108" s="311"/>
      <c r="O108" s="311">
        <v>125</v>
      </c>
      <c r="P108" s="311"/>
      <c r="Q108" s="311"/>
      <c r="R108" s="311"/>
      <c r="S108" s="311"/>
      <c r="T108" s="311">
        <v>0</v>
      </c>
      <c r="U108" s="311">
        <v>0</v>
      </c>
      <c r="V108" s="311">
        <v>125</v>
      </c>
      <c r="W108" s="323">
        <v>15641878.440000001</v>
      </c>
      <c r="X108" s="214"/>
      <c r="Y108" s="214"/>
      <c r="Z108" s="214"/>
    </row>
    <row r="109" spans="1:26" ht="12" customHeight="1" x14ac:dyDescent="0.2">
      <c r="A109" s="200" t="s">
        <v>452</v>
      </c>
      <c r="B109" s="270"/>
      <c r="C109" s="276"/>
      <c r="D109" s="276">
        <v>169</v>
      </c>
      <c r="E109" s="276"/>
      <c r="F109" s="276"/>
      <c r="G109" s="276"/>
      <c r="H109" s="276"/>
      <c r="I109" s="276"/>
      <c r="J109" s="276"/>
      <c r="K109" s="276">
        <v>169</v>
      </c>
      <c r="L109" s="324">
        <v>8599366.7500000112</v>
      </c>
      <c r="M109" s="276"/>
      <c r="N109" s="276"/>
      <c r="O109" s="276">
        <v>197</v>
      </c>
      <c r="P109" s="276"/>
      <c r="Q109" s="276"/>
      <c r="R109" s="276"/>
      <c r="S109" s="276"/>
      <c r="T109" s="276">
        <v>0</v>
      </c>
      <c r="U109" s="276">
        <v>0</v>
      </c>
      <c r="V109" s="276">
        <v>197</v>
      </c>
      <c r="W109" s="324">
        <v>20606085.600000001</v>
      </c>
      <c r="X109" s="214"/>
      <c r="Y109" s="214"/>
      <c r="Z109" s="214"/>
    </row>
    <row r="110" spans="1:26" ht="12" customHeight="1" x14ac:dyDescent="0.2">
      <c r="A110" s="200" t="s">
        <v>458</v>
      </c>
      <c r="B110" s="270"/>
      <c r="C110" s="276"/>
      <c r="D110" s="276">
        <v>167</v>
      </c>
      <c r="E110" s="276"/>
      <c r="F110" s="276"/>
      <c r="G110" s="276"/>
      <c r="H110" s="276"/>
      <c r="I110" s="276"/>
      <c r="J110" s="276"/>
      <c r="K110" s="276">
        <v>167</v>
      </c>
      <c r="L110" s="324">
        <v>3145364.8899999987</v>
      </c>
      <c r="M110" s="276"/>
      <c r="N110" s="276"/>
      <c r="O110" s="276">
        <v>174</v>
      </c>
      <c r="P110" s="276"/>
      <c r="Q110" s="276"/>
      <c r="R110" s="276"/>
      <c r="S110" s="276"/>
      <c r="T110" s="276">
        <v>0</v>
      </c>
      <c r="U110" s="276">
        <v>0</v>
      </c>
      <c r="V110" s="276">
        <v>174</v>
      </c>
      <c r="W110" s="324">
        <v>6828706.7999999998</v>
      </c>
      <c r="X110" s="214"/>
      <c r="Y110" s="214"/>
      <c r="Z110" s="214"/>
    </row>
    <row r="111" spans="1:26" ht="12" customHeight="1" x14ac:dyDescent="0.2">
      <c r="A111" s="200" t="s">
        <v>464</v>
      </c>
      <c r="B111" s="270"/>
      <c r="C111" s="276"/>
      <c r="D111" s="276">
        <v>42</v>
      </c>
      <c r="E111" s="276"/>
      <c r="F111" s="276"/>
      <c r="G111" s="276"/>
      <c r="H111" s="276"/>
      <c r="I111" s="276"/>
      <c r="J111" s="276"/>
      <c r="K111" s="276">
        <v>42</v>
      </c>
      <c r="L111" s="324">
        <v>1095191.2200000002</v>
      </c>
      <c r="M111" s="276"/>
      <c r="N111" s="276"/>
      <c r="O111" s="276">
        <v>42</v>
      </c>
      <c r="P111" s="276"/>
      <c r="Q111" s="276"/>
      <c r="R111" s="276"/>
      <c r="S111" s="276"/>
      <c r="T111" s="276">
        <v>0</v>
      </c>
      <c r="U111" s="276">
        <v>0</v>
      </c>
      <c r="V111" s="276">
        <v>42</v>
      </c>
      <c r="W111" s="324">
        <v>2306694</v>
      </c>
      <c r="X111" s="214"/>
      <c r="Y111" s="214"/>
      <c r="Z111" s="214"/>
    </row>
    <row r="112" spans="1:26" ht="12" customHeight="1" x14ac:dyDescent="0.2">
      <c r="A112" s="208" t="s">
        <v>471</v>
      </c>
      <c r="B112" s="309"/>
      <c r="C112" s="307"/>
      <c r="D112" s="307"/>
      <c r="E112" s="307"/>
      <c r="F112" s="307"/>
      <c r="G112" s="307"/>
      <c r="H112" s="307"/>
      <c r="I112" s="307">
        <v>10</v>
      </c>
      <c r="J112" s="307"/>
      <c r="K112" s="307">
        <v>10</v>
      </c>
      <c r="L112" s="325">
        <v>136500</v>
      </c>
      <c r="M112" s="307"/>
      <c r="N112" s="307"/>
      <c r="O112" s="307">
        <v>0</v>
      </c>
      <c r="P112" s="307"/>
      <c r="Q112" s="307"/>
      <c r="R112" s="307"/>
      <c r="S112" s="307"/>
      <c r="T112" s="307">
        <v>10</v>
      </c>
      <c r="U112" s="307">
        <v>0</v>
      </c>
      <c r="V112" s="307">
        <v>10</v>
      </c>
      <c r="W112" s="325">
        <v>136500</v>
      </c>
      <c r="X112" s="214"/>
      <c r="Y112" s="214"/>
      <c r="Z112" s="214"/>
    </row>
    <row r="113" spans="1:26" ht="23.25" customHeight="1" x14ac:dyDescent="0.2">
      <c r="A113" s="290" t="s">
        <v>513</v>
      </c>
      <c r="B113" s="326">
        <v>0</v>
      </c>
      <c r="C113" s="327">
        <v>0</v>
      </c>
      <c r="D113" s="327">
        <v>499</v>
      </c>
      <c r="E113" s="327">
        <v>0</v>
      </c>
      <c r="F113" s="327">
        <v>0</v>
      </c>
      <c r="G113" s="327">
        <v>0</v>
      </c>
      <c r="H113" s="327">
        <v>0</v>
      </c>
      <c r="I113" s="327">
        <v>10</v>
      </c>
      <c r="J113" s="327">
        <v>0</v>
      </c>
      <c r="K113" s="327">
        <v>509</v>
      </c>
      <c r="L113" s="327">
        <v>20233140.360000018</v>
      </c>
      <c r="M113" s="327">
        <v>0</v>
      </c>
      <c r="N113" s="327">
        <v>0</v>
      </c>
      <c r="O113" s="327">
        <v>538</v>
      </c>
      <c r="P113" s="327">
        <v>0</v>
      </c>
      <c r="Q113" s="327">
        <v>0</v>
      </c>
      <c r="R113" s="327">
        <v>0</v>
      </c>
      <c r="S113" s="327">
        <v>0</v>
      </c>
      <c r="T113" s="327">
        <v>10</v>
      </c>
      <c r="U113" s="327">
        <v>0</v>
      </c>
      <c r="V113" s="327">
        <v>548</v>
      </c>
      <c r="W113" s="328">
        <v>45519864.840000004</v>
      </c>
      <c r="X113" s="214"/>
      <c r="Y113" s="214"/>
      <c r="Z113" s="214"/>
    </row>
    <row r="114" spans="1:26" ht="12" customHeight="1" x14ac:dyDescent="0.2">
      <c r="A114" s="294"/>
      <c r="B114" s="294"/>
      <c r="C114" s="294"/>
      <c r="D114" s="294"/>
      <c r="E114" s="294"/>
      <c r="F114" s="294"/>
      <c r="G114" s="294"/>
      <c r="H114" s="294"/>
      <c r="I114" s="294"/>
      <c r="J114" s="294"/>
      <c r="K114" s="294"/>
      <c r="L114" s="295"/>
      <c r="M114" s="294"/>
      <c r="N114" s="294"/>
      <c r="O114" s="294"/>
      <c r="P114" s="294"/>
      <c r="Q114" s="294"/>
      <c r="R114" s="294"/>
      <c r="S114" s="294"/>
      <c r="T114" s="294"/>
      <c r="U114" s="294"/>
      <c r="V114" s="294"/>
      <c r="W114" s="295"/>
      <c r="X114" s="214"/>
      <c r="Y114" s="214"/>
      <c r="Z114" s="214"/>
    </row>
    <row r="115" spans="1:26" ht="12" customHeight="1" x14ac:dyDescent="0.2">
      <c r="A115" s="294"/>
      <c r="B115" s="294"/>
      <c r="C115" s="294"/>
      <c r="D115" s="294"/>
      <c r="E115" s="294"/>
      <c r="F115" s="294"/>
      <c r="G115" s="294"/>
      <c r="H115" s="294"/>
      <c r="I115" s="294"/>
      <c r="J115" s="294"/>
      <c r="K115" s="294"/>
      <c r="L115" s="295"/>
      <c r="M115" s="294"/>
      <c r="N115" s="294"/>
      <c r="O115" s="294"/>
      <c r="P115" s="294"/>
      <c r="Q115" s="294"/>
      <c r="R115" s="294"/>
      <c r="S115" s="294"/>
      <c r="T115" s="294"/>
      <c r="U115" s="294"/>
      <c r="V115" s="294"/>
      <c r="W115" s="295"/>
      <c r="X115" s="214"/>
      <c r="Y115" s="214"/>
      <c r="Z115" s="214"/>
    </row>
    <row r="116" spans="1:26" ht="23.25" customHeight="1" x14ac:dyDescent="0.2">
      <c r="A116" s="296" t="s">
        <v>514</v>
      </c>
      <c r="B116" s="291"/>
      <c r="C116" s="291"/>
      <c r="D116" s="291"/>
      <c r="E116" s="291"/>
      <c r="F116" s="291"/>
      <c r="G116" s="291"/>
      <c r="H116" s="291"/>
      <c r="I116" s="291"/>
      <c r="J116" s="291"/>
      <c r="K116" s="291"/>
      <c r="L116" s="292"/>
      <c r="M116" s="291"/>
      <c r="N116" s="291"/>
      <c r="O116" s="291"/>
      <c r="P116" s="291"/>
      <c r="Q116" s="291"/>
      <c r="R116" s="291"/>
      <c r="S116" s="291"/>
      <c r="T116" s="291"/>
      <c r="U116" s="291"/>
      <c r="V116" s="291"/>
      <c r="W116" s="293"/>
      <c r="X116" s="214"/>
      <c r="Y116" s="214"/>
      <c r="Z116" s="214"/>
    </row>
    <row r="117" spans="1:26" ht="24" customHeight="1" x14ac:dyDescent="0.2">
      <c r="A117" s="329" t="s">
        <v>515</v>
      </c>
      <c r="B117" s="330"/>
      <c r="C117" s="330"/>
      <c r="D117" s="330"/>
      <c r="E117" s="330"/>
      <c r="F117" s="330"/>
      <c r="G117" s="330"/>
      <c r="H117" s="330"/>
      <c r="I117" s="330"/>
      <c r="J117" s="330"/>
      <c r="K117" s="330"/>
      <c r="L117" s="331"/>
      <c r="M117" s="330"/>
      <c r="N117" s="330"/>
      <c r="O117" s="330"/>
      <c r="P117" s="330"/>
      <c r="Q117" s="330"/>
      <c r="R117" s="330"/>
      <c r="S117" s="330"/>
      <c r="T117" s="330"/>
      <c r="U117" s="330"/>
      <c r="V117" s="330"/>
      <c r="W117" s="332"/>
      <c r="X117" s="214"/>
      <c r="Y117" s="214"/>
      <c r="Z117" s="214"/>
    </row>
    <row r="118" spans="1:26" ht="12" customHeight="1" x14ac:dyDescent="0.2">
      <c r="A118" s="284" t="s">
        <v>441</v>
      </c>
      <c r="B118" s="303"/>
      <c r="C118" s="303">
        <f>SUM(C119:C121)</f>
        <v>37</v>
      </c>
      <c r="D118" s="303"/>
      <c r="E118" s="303"/>
      <c r="F118" s="303"/>
      <c r="G118" s="303"/>
      <c r="H118" s="303"/>
      <c r="I118" s="303"/>
      <c r="J118" s="303"/>
      <c r="K118" s="303">
        <f t="shared" ref="K118:K131" si="30">SUM(C118:J118)</f>
        <v>37</v>
      </c>
      <c r="L118" s="306">
        <f>SUM(L119:L121)</f>
        <v>5382506.1999999993</v>
      </c>
      <c r="M118" s="303"/>
      <c r="N118" s="303">
        <f>SUM(N119:N121)</f>
        <v>37</v>
      </c>
      <c r="O118" s="303"/>
      <c r="P118" s="303"/>
      <c r="Q118" s="303"/>
      <c r="R118" s="303"/>
      <c r="S118" s="303"/>
      <c r="T118" s="303"/>
      <c r="U118" s="303"/>
      <c r="V118" s="303">
        <f t="shared" ref="V118:V131" si="31">SUM(N118:U118)</f>
        <v>37</v>
      </c>
      <c r="W118" s="306">
        <f>SUM(W119:W121)</f>
        <v>5157491.54</v>
      </c>
      <c r="X118" s="214"/>
      <c r="Y118" s="214"/>
      <c r="Z118" s="214"/>
    </row>
    <row r="119" spans="1:26" ht="12" customHeight="1" x14ac:dyDescent="0.2">
      <c r="A119" s="275" t="s">
        <v>516</v>
      </c>
      <c r="B119" s="276"/>
      <c r="C119" s="276">
        <v>2</v>
      </c>
      <c r="D119" s="276"/>
      <c r="E119" s="276"/>
      <c r="F119" s="276"/>
      <c r="G119" s="276"/>
      <c r="H119" s="276"/>
      <c r="I119" s="276"/>
      <c r="J119" s="276"/>
      <c r="K119" s="276">
        <f t="shared" si="30"/>
        <v>2</v>
      </c>
      <c r="L119" s="272">
        <v>502284.54</v>
      </c>
      <c r="M119" s="276"/>
      <c r="N119" s="276">
        <v>2</v>
      </c>
      <c r="O119" s="276"/>
      <c r="P119" s="276"/>
      <c r="Q119" s="276"/>
      <c r="R119" s="276"/>
      <c r="S119" s="276"/>
      <c r="T119" s="276"/>
      <c r="U119" s="276"/>
      <c r="V119" s="276">
        <f t="shared" si="31"/>
        <v>2</v>
      </c>
      <c r="W119" s="272">
        <v>490117.54</v>
      </c>
      <c r="X119" s="214"/>
      <c r="Y119" s="214"/>
      <c r="Z119" s="214"/>
    </row>
    <row r="120" spans="1:26" ht="12" customHeight="1" x14ac:dyDescent="0.2">
      <c r="A120" s="275" t="s">
        <v>517</v>
      </c>
      <c r="B120" s="276"/>
      <c r="C120" s="276">
        <v>9</v>
      </c>
      <c r="D120" s="276"/>
      <c r="E120" s="276"/>
      <c r="F120" s="276"/>
      <c r="G120" s="276"/>
      <c r="H120" s="276"/>
      <c r="I120" s="276"/>
      <c r="J120" s="276"/>
      <c r="K120" s="276">
        <f t="shared" si="30"/>
        <v>9</v>
      </c>
      <c r="L120" s="272">
        <v>1694484.82</v>
      </c>
      <c r="M120" s="276"/>
      <c r="N120" s="276">
        <v>9</v>
      </c>
      <c r="O120" s="276"/>
      <c r="P120" s="276"/>
      <c r="Q120" s="276"/>
      <c r="R120" s="276"/>
      <c r="S120" s="276"/>
      <c r="T120" s="276"/>
      <c r="U120" s="276"/>
      <c r="V120" s="276">
        <f t="shared" si="31"/>
        <v>9</v>
      </c>
      <c r="W120" s="272">
        <v>1640533.82</v>
      </c>
      <c r="X120" s="214"/>
      <c r="Y120" s="214"/>
      <c r="Z120" s="214"/>
    </row>
    <row r="121" spans="1:26" ht="12" customHeight="1" x14ac:dyDescent="0.2">
      <c r="A121" s="275" t="s">
        <v>518</v>
      </c>
      <c r="B121" s="276"/>
      <c r="C121" s="276">
        <v>26</v>
      </c>
      <c r="D121" s="276"/>
      <c r="E121" s="276"/>
      <c r="F121" s="276"/>
      <c r="G121" s="276"/>
      <c r="H121" s="276"/>
      <c r="I121" s="276"/>
      <c r="J121" s="276"/>
      <c r="K121" s="276">
        <f t="shared" si="30"/>
        <v>26</v>
      </c>
      <c r="L121" s="272">
        <v>3185736.84</v>
      </c>
      <c r="M121" s="276"/>
      <c r="N121" s="276">
        <v>26</v>
      </c>
      <c r="O121" s="276"/>
      <c r="P121" s="276"/>
      <c r="Q121" s="276"/>
      <c r="R121" s="276"/>
      <c r="S121" s="276"/>
      <c r="T121" s="276"/>
      <c r="U121" s="276"/>
      <c r="V121" s="276">
        <f t="shared" si="31"/>
        <v>26</v>
      </c>
      <c r="W121" s="272">
        <v>3026840.18</v>
      </c>
      <c r="X121" s="214"/>
      <c r="Y121" s="214"/>
      <c r="Z121" s="214"/>
    </row>
    <row r="122" spans="1:26" ht="12" customHeight="1" x14ac:dyDescent="0.2">
      <c r="A122" s="284" t="s">
        <v>452</v>
      </c>
      <c r="B122" s="303"/>
      <c r="C122" s="303">
        <f>SUM(C123:C125)</f>
        <v>65</v>
      </c>
      <c r="D122" s="303"/>
      <c r="E122" s="303"/>
      <c r="F122" s="303"/>
      <c r="G122" s="303"/>
      <c r="H122" s="303"/>
      <c r="I122" s="303"/>
      <c r="J122" s="303"/>
      <c r="K122" s="303">
        <f t="shared" si="30"/>
        <v>65</v>
      </c>
      <c r="L122" s="306">
        <f>SUM(L123:L125)</f>
        <v>4619046.16</v>
      </c>
      <c r="M122" s="303"/>
      <c r="N122" s="303">
        <f>SUM(N123:N125)</f>
        <v>71</v>
      </c>
      <c r="O122" s="303"/>
      <c r="P122" s="303"/>
      <c r="Q122" s="303"/>
      <c r="R122" s="303"/>
      <c r="S122" s="303"/>
      <c r="T122" s="303"/>
      <c r="U122" s="303"/>
      <c r="V122" s="303">
        <f t="shared" si="31"/>
        <v>71</v>
      </c>
      <c r="W122" s="306">
        <f>SUM(W123:W125)</f>
        <v>4619045.9000000004</v>
      </c>
      <c r="X122" s="214"/>
      <c r="Y122" s="214"/>
      <c r="Z122" s="214"/>
    </row>
    <row r="123" spans="1:26" ht="12" customHeight="1" x14ac:dyDescent="0.2">
      <c r="A123" s="275" t="s">
        <v>519</v>
      </c>
      <c r="B123" s="276"/>
      <c r="C123" s="276">
        <v>29</v>
      </c>
      <c r="D123" s="276"/>
      <c r="E123" s="276"/>
      <c r="F123" s="276"/>
      <c r="G123" s="276"/>
      <c r="H123" s="276"/>
      <c r="I123" s="276"/>
      <c r="J123" s="276"/>
      <c r="K123" s="276">
        <f t="shared" si="30"/>
        <v>29</v>
      </c>
      <c r="L123" s="272">
        <v>2721520.02</v>
      </c>
      <c r="M123" s="276"/>
      <c r="N123" s="276">
        <v>34</v>
      </c>
      <c r="O123" s="276"/>
      <c r="P123" s="276"/>
      <c r="Q123" s="276"/>
      <c r="R123" s="276"/>
      <c r="S123" s="276"/>
      <c r="T123" s="276"/>
      <c r="U123" s="276"/>
      <c r="V123" s="276">
        <f t="shared" si="31"/>
        <v>34</v>
      </c>
      <c r="W123" s="272">
        <v>2721519.6</v>
      </c>
      <c r="X123" s="214"/>
      <c r="Y123" s="214"/>
      <c r="Z123" s="214"/>
    </row>
    <row r="124" spans="1:26" ht="12" customHeight="1" x14ac:dyDescent="0.2">
      <c r="A124" s="275" t="s">
        <v>520</v>
      </c>
      <c r="B124" s="276"/>
      <c r="C124" s="276">
        <v>34</v>
      </c>
      <c r="D124" s="276"/>
      <c r="E124" s="276"/>
      <c r="F124" s="276"/>
      <c r="G124" s="276"/>
      <c r="H124" s="276"/>
      <c r="I124" s="276"/>
      <c r="J124" s="276"/>
      <c r="K124" s="276">
        <f t="shared" si="30"/>
        <v>34</v>
      </c>
      <c r="L124" s="272">
        <v>1722833.46</v>
      </c>
      <c r="M124" s="276"/>
      <c r="N124" s="276">
        <v>35</v>
      </c>
      <c r="O124" s="276"/>
      <c r="P124" s="276"/>
      <c r="Q124" s="276"/>
      <c r="R124" s="276"/>
      <c r="S124" s="276"/>
      <c r="T124" s="276"/>
      <c r="U124" s="276"/>
      <c r="V124" s="276">
        <f t="shared" si="31"/>
        <v>35</v>
      </c>
      <c r="W124" s="272">
        <v>1722833.62</v>
      </c>
      <c r="X124" s="214"/>
      <c r="Y124" s="214"/>
      <c r="Z124" s="214"/>
    </row>
    <row r="125" spans="1:26" ht="12" customHeight="1" x14ac:dyDescent="0.2">
      <c r="A125" s="275" t="s">
        <v>521</v>
      </c>
      <c r="B125" s="276"/>
      <c r="C125" s="276">
        <v>2</v>
      </c>
      <c r="D125" s="276"/>
      <c r="E125" s="276"/>
      <c r="F125" s="276"/>
      <c r="G125" s="276"/>
      <c r="H125" s="276"/>
      <c r="I125" s="276"/>
      <c r="J125" s="276"/>
      <c r="K125" s="276">
        <f t="shared" si="30"/>
        <v>2</v>
      </c>
      <c r="L125" s="272">
        <v>174692.68</v>
      </c>
      <c r="M125" s="276"/>
      <c r="N125" s="276">
        <v>2</v>
      </c>
      <c r="O125" s="276"/>
      <c r="P125" s="276"/>
      <c r="Q125" s="276"/>
      <c r="R125" s="276"/>
      <c r="S125" s="276"/>
      <c r="T125" s="276"/>
      <c r="U125" s="276"/>
      <c r="V125" s="276">
        <f t="shared" si="31"/>
        <v>2</v>
      </c>
      <c r="W125" s="272">
        <v>174692.68</v>
      </c>
      <c r="X125" s="214"/>
      <c r="Y125" s="214"/>
      <c r="Z125" s="214"/>
    </row>
    <row r="126" spans="1:26" ht="12" customHeight="1" x14ac:dyDescent="0.2">
      <c r="A126" s="284" t="s">
        <v>458</v>
      </c>
      <c r="B126" s="303"/>
      <c r="C126" s="303">
        <f>SUM(C127:C129)</f>
        <v>49</v>
      </c>
      <c r="D126" s="303"/>
      <c r="E126" s="303"/>
      <c r="F126" s="303"/>
      <c r="G126" s="303"/>
      <c r="H126" s="303"/>
      <c r="I126" s="303"/>
      <c r="J126" s="303"/>
      <c r="K126" s="303">
        <f t="shared" si="30"/>
        <v>49</v>
      </c>
      <c r="L126" s="306">
        <f>SUM(L127:L129)</f>
        <v>1709306.78</v>
      </c>
      <c r="M126" s="303"/>
      <c r="N126" s="303">
        <f>SUM(N127:N129)</f>
        <v>49</v>
      </c>
      <c r="O126" s="303"/>
      <c r="P126" s="303"/>
      <c r="Q126" s="303"/>
      <c r="R126" s="303"/>
      <c r="S126" s="303"/>
      <c r="T126" s="303"/>
      <c r="U126" s="303"/>
      <c r="V126" s="303">
        <f t="shared" si="31"/>
        <v>49</v>
      </c>
      <c r="W126" s="306">
        <f>SUM(W127:W129)</f>
        <v>1734511.04</v>
      </c>
      <c r="X126" s="214"/>
      <c r="Y126" s="214"/>
      <c r="Z126" s="214"/>
    </row>
    <row r="127" spans="1:26" ht="12" customHeight="1" x14ac:dyDescent="0.2">
      <c r="A127" s="275" t="s">
        <v>522</v>
      </c>
      <c r="B127" s="276"/>
      <c r="C127" s="276">
        <v>1</v>
      </c>
      <c r="D127" s="276"/>
      <c r="E127" s="276"/>
      <c r="F127" s="276"/>
      <c r="G127" s="276"/>
      <c r="H127" s="276"/>
      <c r="I127" s="276"/>
      <c r="J127" s="276"/>
      <c r="K127" s="276">
        <f t="shared" si="30"/>
        <v>1</v>
      </c>
      <c r="L127" s="272">
        <v>54608</v>
      </c>
      <c r="M127" s="276"/>
      <c r="N127" s="276">
        <v>1</v>
      </c>
      <c r="O127" s="276"/>
      <c r="P127" s="276"/>
      <c r="Q127" s="276"/>
      <c r="R127" s="276"/>
      <c r="S127" s="276"/>
      <c r="T127" s="276"/>
      <c r="U127" s="276"/>
      <c r="V127" s="276">
        <f t="shared" si="31"/>
        <v>1</v>
      </c>
      <c r="W127" s="272">
        <v>54608</v>
      </c>
      <c r="X127" s="214"/>
      <c r="Y127" s="214"/>
      <c r="Z127" s="214"/>
    </row>
    <row r="128" spans="1:26" ht="12" customHeight="1" x14ac:dyDescent="0.2">
      <c r="A128" s="275" t="s">
        <v>523</v>
      </c>
      <c r="B128" s="276"/>
      <c r="C128" s="276">
        <v>11</v>
      </c>
      <c r="D128" s="276"/>
      <c r="E128" s="276"/>
      <c r="F128" s="276"/>
      <c r="G128" s="276"/>
      <c r="H128" s="276"/>
      <c r="I128" s="276"/>
      <c r="J128" s="276"/>
      <c r="K128" s="276">
        <f t="shared" si="30"/>
        <v>11</v>
      </c>
      <c r="L128" s="272">
        <v>311266.58</v>
      </c>
      <c r="M128" s="276"/>
      <c r="N128" s="276">
        <v>11</v>
      </c>
      <c r="O128" s="276"/>
      <c r="P128" s="276"/>
      <c r="Q128" s="276"/>
      <c r="R128" s="276"/>
      <c r="S128" s="276"/>
      <c r="T128" s="276"/>
      <c r="U128" s="276"/>
      <c r="V128" s="276">
        <f t="shared" si="31"/>
        <v>11</v>
      </c>
      <c r="W128" s="272">
        <v>311266.58</v>
      </c>
      <c r="X128" s="214"/>
      <c r="Y128" s="214"/>
      <c r="Z128" s="214"/>
    </row>
    <row r="129" spans="1:26" ht="12" customHeight="1" x14ac:dyDescent="0.2">
      <c r="A129" s="275" t="s">
        <v>524</v>
      </c>
      <c r="B129" s="276"/>
      <c r="C129" s="276">
        <v>37</v>
      </c>
      <c r="D129" s="276"/>
      <c r="E129" s="276"/>
      <c r="F129" s="276"/>
      <c r="G129" s="276"/>
      <c r="H129" s="276"/>
      <c r="I129" s="276"/>
      <c r="J129" s="276"/>
      <c r="K129" s="276">
        <f t="shared" si="30"/>
        <v>37</v>
      </c>
      <c r="L129" s="272">
        <v>1343432.2</v>
      </c>
      <c r="M129" s="276"/>
      <c r="N129" s="276">
        <v>37</v>
      </c>
      <c r="O129" s="276"/>
      <c r="P129" s="276"/>
      <c r="Q129" s="276"/>
      <c r="R129" s="276"/>
      <c r="S129" s="276"/>
      <c r="T129" s="276"/>
      <c r="U129" s="276"/>
      <c r="V129" s="276">
        <f t="shared" si="31"/>
        <v>37</v>
      </c>
      <c r="W129" s="272">
        <v>1368636.46</v>
      </c>
      <c r="X129" s="214"/>
      <c r="Y129" s="214"/>
      <c r="Z129" s="214"/>
    </row>
    <row r="130" spans="1:26" ht="12" customHeight="1" x14ac:dyDescent="0.2">
      <c r="A130" s="284" t="s">
        <v>464</v>
      </c>
      <c r="B130" s="303"/>
      <c r="C130" s="303">
        <f>SUM(C131)</f>
        <v>0</v>
      </c>
      <c r="D130" s="303"/>
      <c r="E130" s="303"/>
      <c r="F130" s="303"/>
      <c r="G130" s="303"/>
      <c r="H130" s="303"/>
      <c r="I130" s="303"/>
      <c r="J130" s="303"/>
      <c r="K130" s="303">
        <f t="shared" si="30"/>
        <v>0</v>
      </c>
      <c r="L130" s="306">
        <f>SUM(L131)</f>
        <v>0</v>
      </c>
      <c r="M130" s="303"/>
      <c r="N130" s="303">
        <f>SUM(N131)</f>
        <v>0</v>
      </c>
      <c r="O130" s="303"/>
      <c r="P130" s="303"/>
      <c r="Q130" s="303"/>
      <c r="R130" s="303"/>
      <c r="S130" s="303"/>
      <c r="T130" s="303"/>
      <c r="U130" s="303"/>
      <c r="V130" s="303">
        <f t="shared" si="31"/>
        <v>0</v>
      </c>
      <c r="W130" s="306">
        <f>SUM(W131)</f>
        <v>0</v>
      </c>
      <c r="X130" s="214"/>
      <c r="Y130" s="214"/>
      <c r="Z130" s="214"/>
    </row>
    <row r="131" spans="1:26" ht="12" customHeight="1" x14ac:dyDescent="0.2">
      <c r="A131" s="275"/>
      <c r="B131" s="276"/>
      <c r="C131" s="276"/>
      <c r="D131" s="276"/>
      <c r="E131" s="276"/>
      <c r="F131" s="276"/>
      <c r="G131" s="276"/>
      <c r="H131" s="276"/>
      <c r="I131" s="276"/>
      <c r="J131" s="276"/>
      <c r="K131" s="276">
        <f t="shared" si="30"/>
        <v>0</v>
      </c>
      <c r="L131" s="272"/>
      <c r="M131" s="276"/>
      <c r="N131" s="276"/>
      <c r="O131" s="276"/>
      <c r="P131" s="276"/>
      <c r="Q131" s="276"/>
      <c r="R131" s="276"/>
      <c r="S131" s="276"/>
      <c r="T131" s="276"/>
      <c r="U131" s="276"/>
      <c r="V131" s="276">
        <f t="shared" si="31"/>
        <v>0</v>
      </c>
      <c r="W131" s="272"/>
      <c r="X131" s="214"/>
      <c r="Y131" s="214"/>
      <c r="Z131" s="214"/>
    </row>
    <row r="132" spans="1:26" ht="12" customHeight="1" x14ac:dyDescent="0.2">
      <c r="A132" s="333" t="s">
        <v>525</v>
      </c>
      <c r="B132" s="276"/>
      <c r="C132" s="276"/>
      <c r="D132" s="276"/>
      <c r="E132" s="276"/>
      <c r="F132" s="276"/>
      <c r="G132" s="276"/>
      <c r="H132" s="276"/>
      <c r="I132" s="276"/>
      <c r="J132" s="276"/>
      <c r="K132" s="276"/>
      <c r="L132" s="272"/>
      <c r="M132" s="276"/>
      <c r="N132" s="276"/>
      <c r="O132" s="276"/>
      <c r="P132" s="276"/>
      <c r="Q132" s="276"/>
      <c r="R132" s="276"/>
      <c r="S132" s="276"/>
      <c r="T132" s="276"/>
      <c r="U132" s="276"/>
      <c r="V132" s="276"/>
      <c r="W132" s="272"/>
      <c r="X132" s="214"/>
      <c r="Y132" s="214"/>
      <c r="Z132" s="214"/>
    </row>
    <row r="133" spans="1:26" ht="12" customHeight="1" x14ac:dyDescent="0.2">
      <c r="A133" s="284" t="s">
        <v>441</v>
      </c>
      <c r="B133" s="303"/>
      <c r="C133" s="303"/>
      <c r="D133" s="303">
        <v>5</v>
      </c>
      <c r="E133" s="303"/>
      <c r="F133" s="303"/>
      <c r="G133" s="303"/>
      <c r="H133" s="303"/>
      <c r="I133" s="303"/>
      <c r="J133" s="303"/>
      <c r="K133" s="303">
        <f>SUM(B133:J133)</f>
        <v>5</v>
      </c>
      <c r="L133" s="306">
        <v>551949</v>
      </c>
      <c r="M133" s="303"/>
      <c r="N133" s="303"/>
      <c r="O133" s="303">
        <v>5</v>
      </c>
      <c r="P133" s="303"/>
      <c r="Q133" s="303"/>
      <c r="R133" s="303"/>
      <c r="S133" s="303"/>
      <c r="T133" s="303"/>
      <c r="U133" s="303"/>
      <c r="V133" s="303">
        <f>SUM(M133:U133)</f>
        <v>5</v>
      </c>
      <c r="W133" s="306">
        <v>556068.6</v>
      </c>
      <c r="X133" s="214"/>
      <c r="Y133" s="214"/>
      <c r="Z133" s="214"/>
    </row>
    <row r="134" spans="1:26" ht="12" customHeight="1" x14ac:dyDescent="0.2">
      <c r="A134" s="275"/>
      <c r="B134" s="276"/>
      <c r="C134" s="276"/>
      <c r="D134" s="276"/>
      <c r="E134" s="276"/>
      <c r="F134" s="276"/>
      <c r="G134" s="276"/>
      <c r="H134" s="276"/>
      <c r="I134" s="276"/>
      <c r="J134" s="276"/>
      <c r="K134" s="276"/>
      <c r="L134" s="272"/>
      <c r="M134" s="276"/>
      <c r="N134" s="276"/>
      <c r="O134" s="276"/>
      <c r="P134" s="276"/>
      <c r="Q134" s="276"/>
      <c r="R134" s="276"/>
      <c r="S134" s="276"/>
      <c r="T134" s="276"/>
      <c r="U134" s="276"/>
      <c r="V134" s="276"/>
      <c r="W134" s="272"/>
      <c r="X134" s="214"/>
      <c r="Y134" s="214"/>
      <c r="Z134" s="214"/>
    </row>
    <row r="135" spans="1:26" ht="12" customHeight="1" x14ac:dyDescent="0.2">
      <c r="A135" s="284" t="s">
        <v>452</v>
      </c>
      <c r="B135" s="303"/>
      <c r="C135" s="303"/>
      <c r="D135" s="303">
        <v>458</v>
      </c>
      <c r="E135" s="303"/>
      <c r="F135" s="303"/>
      <c r="G135" s="303"/>
      <c r="H135" s="303"/>
      <c r="I135" s="303"/>
      <c r="J135" s="303"/>
      <c r="K135" s="303">
        <f>SUM(B135:J135)</f>
        <v>458</v>
      </c>
      <c r="L135" s="306">
        <v>25920913.400000002</v>
      </c>
      <c r="M135" s="303"/>
      <c r="N135" s="303"/>
      <c r="O135" s="303">
        <v>448</v>
      </c>
      <c r="P135" s="303"/>
      <c r="Q135" s="303"/>
      <c r="R135" s="303"/>
      <c r="S135" s="303"/>
      <c r="T135" s="303"/>
      <c r="U135" s="303"/>
      <c r="V135" s="303">
        <f>SUM(M135:U135)</f>
        <v>448</v>
      </c>
      <c r="W135" s="306">
        <v>24495335.399999999</v>
      </c>
      <c r="X135" s="214"/>
      <c r="Y135" s="214"/>
      <c r="Z135" s="214"/>
    </row>
    <row r="136" spans="1:26" ht="12" customHeight="1" x14ac:dyDescent="0.2">
      <c r="A136" s="275"/>
      <c r="B136" s="276"/>
      <c r="C136" s="276"/>
      <c r="D136" s="276"/>
      <c r="E136" s="276"/>
      <c r="F136" s="276"/>
      <c r="G136" s="276"/>
      <c r="H136" s="276"/>
      <c r="I136" s="276"/>
      <c r="J136" s="276"/>
      <c r="K136" s="276"/>
      <c r="L136" s="272"/>
      <c r="M136" s="276"/>
      <c r="N136" s="276"/>
      <c r="O136" s="276"/>
      <c r="P136" s="276"/>
      <c r="Q136" s="276"/>
      <c r="R136" s="276"/>
      <c r="S136" s="276"/>
      <c r="T136" s="276"/>
      <c r="U136" s="276"/>
      <c r="V136" s="276"/>
      <c r="W136" s="272"/>
      <c r="X136" s="214"/>
      <c r="Y136" s="214"/>
      <c r="Z136" s="214"/>
    </row>
    <row r="137" spans="1:26" ht="12" customHeight="1" x14ac:dyDescent="0.2">
      <c r="A137" s="284" t="s">
        <v>458</v>
      </c>
      <c r="B137" s="303"/>
      <c r="C137" s="303"/>
      <c r="D137" s="303">
        <v>331</v>
      </c>
      <c r="E137" s="303"/>
      <c r="F137" s="303"/>
      <c r="G137" s="303"/>
      <c r="H137" s="303"/>
      <c r="I137" s="303"/>
      <c r="J137" s="303"/>
      <c r="K137" s="303">
        <f>SUM(B137:J137)</f>
        <v>331</v>
      </c>
      <c r="L137" s="306">
        <v>11499517.200000003</v>
      </c>
      <c r="M137" s="303"/>
      <c r="N137" s="303"/>
      <c r="O137" s="303">
        <v>319</v>
      </c>
      <c r="P137" s="303"/>
      <c r="Q137" s="303"/>
      <c r="R137" s="303"/>
      <c r="S137" s="303"/>
      <c r="T137" s="303"/>
      <c r="U137" s="303"/>
      <c r="V137" s="303">
        <f>SUM(M137:U137)</f>
        <v>319</v>
      </c>
      <c r="W137" s="306">
        <v>10439647.199999997</v>
      </c>
      <c r="X137" s="214"/>
      <c r="Y137" s="214"/>
      <c r="Z137" s="214"/>
    </row>
    <row r="138" spans="1:26" ht="12" customHeight="1" x14ac:dyDescent="0.2">
      <c r="A138" s="275"/>
      <c r="B138" s="276"/>
      <c r="C138" s="276"/>
      <c r="D138" s="276"/>
      <c r="E138" s="276"/>
      <c r="F138" s="276"/>
      <c r="G138" s="276"/>
      <c r="H138" s="276"/>
      <c r="I138" s="276"/>
      <c r="J138" s="276"/>
      <c r="K138" s="276"/>
      <c r="L138" s="272"/>
      <c r="M138" s="276"/>
      <c r="N138" s="276"/>
      <c r="O138" s="276"/>
      <c r="P138" s="276"/>
      <c r="Q138" s="276"/>
      <c r="R138" s="276"/>
      <c r="S138" s="276"/>
      <c r="T138" s="276"/>
      <c r="U138" s="276"/>
      <c r="V138" s="276"/>
      <c r="W138" s="272"/>
      <c r="X138" s="214"/>
      <c r="Y138" s="214"/>
      <c r="Z138" s="214"/>
    </row>
    <row r="139" spans="1:26" ht="12" customHeight="1" x14ac:dyDescent="0.2">
      <c r="A139" s="284" t="s">
        <v>464</v>
      </c>
      <c r="B139" s="303"/>
      <c r="C139" s="303"/>
      <c r="D139" s="303">
        <v>71</v>
      </c>
      <c r="E139" s="303"/>
      <c r="F139" s="303"/>
      <c r="G139" s="303"/>
      <c r="H139" s="303"/>
      <c r="I139" s="303"/>
      <c r="J139" s="303"/>
      <c r="K139" s="303">
        <f>SUM(B139:J139)</f>
        <v>71</v>
      </c>
      <c r="L139" s="306">
        <v>1706267.4</v>
      </c>
      <c r="M139" s="303"/>
      <c r="N139" s="303"/>
      <c r="O139" s="303">
        <v>69</v>
      </c>
      <c r="P139" s="303"/>
      <c r="Q139" s="303"/>
      <c r="R139" s="303"/>
      <c r="S139" s="303"/>
      <c r="T139" s="303"/>
      <c r="U139" s="303"/>
      <c r="V139" s="303">
        <f>SUM(M139:U139)</f>
        <v>69</v>
      </c>
      <c r="W139" s="306">
        <v>1720305.8</v>
      </c>
      <c r="X139" s="214"/>
      <c r="Y139" s="214"/>
      <c r="Z139" s="214"/>
    </row>
    <row r="140" spans="1:26" ht="12" customHeight="1" x14ac:dyDescent="0.2">
      <c r="A140" s="275"/>
      <c r="B140" s="276"/>
      <c r="C140" s="276"/>
      <c r="D140" s="276"/>
      <c r="E140" s="276"/>
      <c r="F140" s="276"/>
      <c r="G140" s="276"/>
      <c r="H140" s="276"/>
      <c r="I140" s="276"/>
      <c r="J140" s="276"/>
      <c r="K140" s="276"/>
      <c r="L140" s="272"/>
      <c r="M140" s="276"/>
      <c r="N140" s="276"/>
      <c r="O140" s="276"/>
      <c r="P140" s="276"/>
      <c r="Q140" s="276"/>
      <c r="R140" s="276"/>
      <c r="S140" s="276"/>
      <c r="T140" s="276"/>
      <c r="U140" s="276"/>
      <c r="V140" s="276"/>
      <c r="W140" s="272"/>
      <c r="X140" s="214"/>
      <c r="Y140" s="214"/>
      <c r="Z140" s="214"/>
    </row>
    <row r="141" spans="1:26" ht="12" customHeight="1" x14ac:dyDescent="0.2">
      <c r="A141" s="284" t="s">
        <v>526</v>
      </c>
      <c r="B141" s="276"/>
      <c r="C141" s="276"/>
      <c r="D141" s="276"/>
      <c r="E141" s="276"/>
      <c r="F141" s="276"/>
      <c r="G141" s="276"/>
      <c r="H141" s="276"/>
      <c r="I141" s="276"/>
      <c r="J141" s="276"/>
      <c r="K141" s="276"/>
      <c r="L141" s="272"/>
      <c r="M141" s="276"/>
      <c r="N141" s="276"/>
      <c r="O141" s="276"/>
      <c r="P141" s="276"/>
      <c r="Q141" s="276"/>
      <c r="R141" s="276"/>
      <c r="S141" s="276"/>
      <c r="T141" s="276"/>
      <c r="U141" s="276"/>
      <c r="V141" s="276"/>
      <c r="W141" s="272"/>
      <c r="X141" s="214"/>
      <c r="Y141" s="214"/>
      <c r="Z141" s="214"/>
    </row>
    <row r="142" spans="1:26" ht="12" customHeight="1" x14ac:dyDescent="0.2">
      <c r="A142" s="284" t="s">
        <v>471</v>
      </c>
      <c r="B142" s="303">
        <f>+B139+B137+B135+B133+B130+B126+B122+B118</f>
        <v>0</v>
      </c>
      <c r="C142" s="303"/>
      <c r="D142" s="303"/>
      <c r="E142" s="303"/>
      <c r="F142" s="303"/>
      <c r="G142" s="303"/>
      <c r="H142" s="303"/>
      <c r="I142" s="303">
        <v>35</v>
      </c>
      <c r="J142" s="303"/>
      <c r="K142" s="303">
        <f>SUM(B142:J142)</f>
        <v>35</v>
      </c>
      <c r="L142" s="306">
        <v>679166</v>
      </c>
      <c r="M142" s="303"/>
      <c r="N142" s="303"/>
      <c r="O142" s="303"/>
      <c r="P142" s="303"/>
      <c r="Q142" s="303"/>
      <c r="R142" s="303"/>
      <c r="S142" s="303"/>
      <c r="T142" s="303">
        <v>53</v>
      </c>
      <c r="U142" s="303"/>
      <c r="V142" s="303">
        <f>SUM(M142:U142)</f>
        <v>53</v>
      </c>
      <c r="W142" s="306">
        <v>679166</v>
      </c>
      <c r="X142" s="214"/>
      <c r="Y142" s="214"/>
      <c r="Z142" s="214"/>
    </row>
    <row r="143" spans="1:26" ht="12" customHeight="1" x14ac:dyDescent="0.2">
      <c r="A143" s="275"/>
      <c r="B143" s="276"/>
      <c r="C143" s="276"/>
      <c r="D143" s="276"/>
      <c r="E143" s="276"/>
      <c r="F143" s="276"/>
      <c r="G143" s="276"/>
      <c r="H143" s="276"/>
      <c r="I143" s="276"/>
      <c r="J143" s="276"/>
      <c r="K143" s="276"/>
      <c r="L143" s="272"/>
      <c r="M143" s="276"/>
      <c r="N143" s="276"/>
      <c r="O143" s="276"/>
      <c r="P143" s="276"/>
      <c r="Q143" s="276"/>
      <c r="R143" s="276"/>
      <c r="S143" s="276"/>
      <c r="T143" s="276"/>
      <c r="U143" s="276"/>
      <c r="V143" s="276"/>
      <c r="W143" s="272"/>
      <c r="X143" s="214"/>
      <c r="Y143" s="214"/>
      <c r="Z143" s="214"/>
    </row>
    <row r="144" spans="1:26" ht="12" customHeight="1" x14ac:dyDescent="0.2">
      <c r="A144" s="275"/>
      <c r="B144" s="276"/>
      <c r="C144" s="276"/>
      <c r="D144" s="276"/>
      <c r="E144" s="276"/>
      <c r="F144" s="276"/>
      <c r="G144" s="276"/>
      <c r="H144" s="276"/>
      <c r="I144" s="276"/>
      <c r="J144" s="276"/>
      <c r="K144" s="276"/>
      <c r="L144" s="272"/>
      <c r="M144" s="276"/>
      <c r="N144" s="276"/>
      <c r="O144" s="276"/>
      <c r="P144" s="276"/>
      <c r="Q144" s="276"/>
      <c r="R144" s="276"/>
      <c r="S144" s="276"/>
      <c r="T144" s="276"/>
      <c r="U144" s="276"/>
      <c r="V144" s="276"/>
      <c r="W144" s="272"/>
      <c r="X144" s="214"/>
      <c r="Y144" s="214"/>
      <c r="Z144" s="214"/>
    </row>
    <row r="145" spans="1:26" ht="23.25" customHeight="1" x14ac:dyDescent="0.2">
      <c r="A145" s="290" t="s">
        <v>527</v>
      </c>
      <c r="B145" s="291">
        <f t="shared" ref="B145:K145" si="32">B142+B139+B137+B135+B133+B130+B126+B122+B118</f>
        <v>0</v>
      </c>
      <c r="C145" s="291">
        <f t="shared" si="32"/>
        <v>151</v>
      </c>
      <c r="D145" s="291">
        <f t="shared" si="32"/>
        <v>865</v>
      </c>
      <c r="E145" s="291">
        <f t="shared" si="32"/>
        <v>0</v>
      </c>
      <c r="F145" s="291">
        <f t="shared" si="32"/>
        <v>0</v>
      </c>
      <c r="G145" s="291">
        <f t="shared" si="32"/>
        <v>0</v>
      </c>
      <c r="H145" s="291">
        <f t="shared" si="32"/>
        <v>0</v>
      </c>
      <c r="I145" s="291">
        <f t="shared" si="32"/>
        <v>35</v>
      </c>
      <c r="J145" s="291">
        <f t="shared" si="32"/>
        <v>0</v>
      </c>
      <c r="K145" s="291">
        <f t="shared" si="32"/>
        <v>1051</v>
      </c>
      <c r="L145" s="293">
        <f>+L118+L122+L126+L130+L133+L135+L137+L139+L142</f>
        <v>52068672.140000001</v>
      </c>
      <c r="M145" s="291">
        <f t="shared" ref="M145:V145" si="33">M142+M139+M137+M135+M133+M130+M126+M122+M118</f>
        <v>0</v>
      </c>
      <c r="N145" s="291">
        <f t="shared" si="33"/>
        <v>157</v>
      </c>
      <c r="O145" s="291">
        <f t="shared" si="33"/>
        <v>841</v>
      </c>
      <c r="P145" s="291">
        <f t="shared" si="33"/>
        <v>0</v>
      </c>
      <c r="Q145" s="291">
        <f t="shared" si="33"/>
        <v>0</v>
      </c>
      <c r="R145" s="291">
        <f t="shared" si="33"/>
        <v>0</v>
      </c>
      <c r="S145" s="291">
        <f t="shared" si="33"/>
        <v>0</v>
      </c>
      <c r="T145" s="291">
        <f t="shared" si="33"/>
        <v>53</v>
      </c>
      <c r="U145" s="291">
        <f t="shared" si="33"/>
        <v>0</v>
      </c>
      <c r="V145" s="291">
        <f t="shared" si="33"/>
        <v>1051</v>
      </c>
      <c r="W145" s="293">
        <f>+W118+W122+W126+W130+W133+W135+W137+W139+W142</f>
        <v>49401571.479999989</v>
      </c>
      <c r="X145" s="214"/>
      <c r="Y145" s="214"/>
      <c r="Z145" s="214"/>
    </row>
    <row r="146" spans="1:26" ht="10.5" customHeight="1" x14ac:dyDescent="0.2">
      <c r="A146" s="334"/>
      <c r="B146" s="334"/>
      <c r="C146" s="334"/>
      <c r="D146" s="334"/>
      <c r="E146" s="334"/>
      <c r="F146" s="334"/>
      <c r="G146" s="334"/>
      <c r="H146" s="334"/>
      <c r="I146" s="334"/>
      <c r="J146" s="334"/>
      <c r="K146" s="334"/>
      <c r="L146" s="335"/>
      <c r="M146" s="334"/>
      <c r="N146" s="334"/>
      <c r="O146" s="334"/>
      <c r="P146" s="334"/>
      <c r="Q146" s="334"/>
      <c r="R146" s="334"/>
      <c r="S146" s="334"/>
      <c r="T146" s="334"/>
      <c r="U146" s="334"/>
      <c r="V146" s="334"/>
      <c r="W146" s="335"/>
      <c r="X146" s="214"/>
      <c r="Y146" s="214"/>
      <c r="Z146" s="214"/>
    </row>
    <row r="147" spans="1:26" ht="10.5" customHeight="1" x14ac:dyDescent="0.2">
      <c r="A147" s="334"/>
      <c r="B147" s="334"/>
      <c r="C147" s="334"/>
      <c r="D147" s="334"/>
      <c r="E147" s="334"/>
      <c r="F147" s="334"/>
      <c r="G147" s="334"/>
      <c r="H147" s="334"/>
      <c r="I147" s="334"/>
      <c r="J147" s="334"/>
      <c r="K147" s="334"/>
      <c r="L147" s="335"/>
      <c r="M147" s="334"/>
      <c r="N147" s="334"/>
      <c r="O147" s="334"/>
      <c r="P147" s="334"/>
      <c r="Q147" s="334"/>
      <c r="R147" s="334"/>
      <c r="S147" s="334"/>
      <c r="T147" s="334"/>
      <c r="U147" s="334"/>
      <c r="V147" s="334"/>
      <c r="W147" s="335"/>
      <c r="X147" s="214"/>
      <c r="Y147" s="214"/>
      <c r="Z147" s="214"/>
    </row>
    <row r="148" spans="1:26" ht="31.5" customHeight="1" x14ac:dyDescent="0.2">
      <c r="A148" s="336" t="s">
        <v>528</v>
      </c>
      <c r="B148" s="337">
        <f t="shared" ref="B148:W148" si="34">+B50+B82+B105+B113+B145</f>
        <v>126</v>
      </c>
      <c r="C148" s="337">
        <f t="shared" si="34"/>
        <v>429</v>
      </c>
      <c r="D148" s="337">
        <f t="shared" si="34"/>
        <v>3472</v>
      </c>
      <c r="E148" s="337">
        <f t="shared" si="34"/>
        <v>4</v>
      </c>
      <c r="F148" s="337">
        <f t="shared" si="34"/>
        <v>0</v>
      </c>
      <c r="G148" s="337">
        <f t="shared" si="34"/>
        <v>0</v>
      </c>
      <c r="H148" s="337">
        <f t="shared" si="34"/>
        <v>0</v>
      </c>
      <c r="I148" s="337">
        <f t="shared" si="34"/>
        <v>121</v>
      </c>
      <c r="J148" s="337">
        <f t="shared" si="34"/>
        <v>7</v>
      </c>
      <c r="K148" s="337">
        <f t="shared" si="34"/>
        <v>3743</v>
      </c>
      <c r="L148" s="338">
        <f t="shared" si="34"/>
        <v>253361320.20999956</v>
      </c>
      <c r="M148" s="337">
        <f t="shared" si="34"/>
        <v>126</v>
      </c>
      <c r="N148" s="337">
        <f t="shared" si="34"/>
        <v>435</v>
      </c>
      <c r="O148" s="337">
        <f t="shared" si="34"/>
        <v>3510</v>
      </c>
      <c r="P148" s="337">
        <f t="shared" si="34"/>
        <v>4</v>
      </c>
      <c r="Q148" s="337">
        <f t="shared" si="34"/>
        <v>0</v>
      </c>
      <c r="R148" s="337">
        <f t="shared" si="34"/>
        <v>0</v>
      </c>
      <c r="S148" s="337">
        <f t="shared" si="34"/>
        <v>0</v>
      </c>
      <c r="T148" s="337">
        <f t="shared" si="34"/>
        <v>149</v>
      </c>
      <c r="U148" s="337">
        <f t="shared" si="34"/>
        <v>7</v>
      </c>
      <c r="V148" s="337">
        <f t="shared" si="34"/>
        <v>3835</v>
      </c>
      <c r="W148" s="338">
        <f t="shared" si="34"/>
        <v>275577082.63998985</v>
      </c>
      <c r="X148" s="214"/>
      <c r="Y148" s="214"/>
      <c r="Z148" s="214"/>
    </row>
    <row r="149" spans="1:26" ht="10.5" customHeight="1" x14ac:dyDescent="0.2">
      <c r="A149" s="334"/>
      <c r="B149" s="334"/>
      <c r="C149" s="334"/>
      <c r="D149" s="334"/>
      <c r="E149" s="334"/>
      <c r="F149" s="334"/>
      <c r="G149" s="334"/>
      <c r="H149" s="334"/>
      <c r="I149" s="334"/>
      <c r="J149" s="334"/>
      <c r="K149" s="334"/>
      <c r="L149" s="335"/>
      <c r="M149" s="334"/>
      <c r="N149" s="334"/>
      <c r="O149" s="334"/>
      <c r="P149" s="334"/>
      <c r="Q149" s="334"/>
      <c r="R149" s="334"/>
      <c r="S149" s="334"/>
      <c r="T149" s="334"/>
      <c r="U149" s="334"/>
      <c r="V149" s="334"/>
      <c r="W149" s="335"/>
      <c r="X149" s="214"/>
      <c r="Y149" s="214"/>
      <c r="Z149" s="214"/>
    </row>
    <row r="150" spans="1:26" ht="12" customHeight="1" x14ac:dyDescent="0.2">
      <c r="A150" s="339" t="s">
        <v>529</v>
      </c>
      <c r="B150" s="334"/>
      <c r="C150" s="334"/>
      <c r="D150" s="334"/>
      <c r="E150" s="334"/>
      <c r="F150" s="334"/>
      <c r="G150" s="334"/>
      <c r="H150" s="334"/>
      <c r="I150" s="334"/>
      <c r="J150" s="334"/>
      <c r="K150" s="334"/>
      <c r="L150" s="335"/>
      <c r="M150" s="334"/>
      <c r="N150" s="334"/>
      <c r="O150" s="334"/>
      <c r="P150" s="334"/>
      <c r="Q150" s="334"/>
      <c r="R150" s="334"/>
      <c r="S150" s="334"/>
      <c r="T150" s="334"/>
      <c r="U150" s="334"/>
      <c r="V150" s="334"/>
      <c r="W150" s="335"/>
      <c r="X150" s="48"/>
      <c r="Y150" s="214"/>
      <c r="Z150" s="214"/>
    </row>
    <row r="151" spans="1:26" ht="12" customHeight="1" x14ac:dyDescent="0.2">
      <c r="A151" s="339" t="s">
        <v>530</v>
      </c>
      <c r="B151" s="334"/>
      <c r="C151" s="334"/>
      <c r="D151" s="334"/>
      <c r="E151" s="334"/>
      <c r="F151" s="334"/>
      <c r="G151" s="334"/>
      <c r="H151" s="334"/>
      <c r="I151" s="334"/>
      <c r="J151" s="334"/>
      <c r="K151" s="334"/>
      <c r="L151" s="335"/>
      <c r="M151" s="334"/>
      <c r="N151" s="334"/>
      <c r="O151" s="334"/>
      <c r="P151" s="334"/>
      <c r="Q151" s="334"/>
      <c r="R151" s="334"/>
      <c r="S151" s="334"/>
      <c r="T151" s="334"/>
      <c r="U151" s="334"/>
      <c r="V151" s="334"/>
      <c r="W151" s="335"/>
      <c r="X151" s="48"/>
      <c r="Y151" s="214"/>
      <c r="Z151" s="214"/>
    </row>
    <row r="152" spans="1:26" ht="12" customHeight="1" x14ac:dyDescent="0.2">
      <c r="A152" s="339" t="s">
        <v>531</v>
      </c>
      <c r="B152" s="334"/>
      <c r="C152" s="334"/>
      <c r="D152" s="334"/>
      <c r="E152" s="334"/>
      <c r="F152" s="334"/>
      <c r="G152" s="334"/>
      <c r="H152" s="334"/>
      <c r="I152" s="334"/>
      <c r="J152" s="334"/>
      <c r="K152" s="334"/>
      <c r="L152" s="335"/>
      <c r="M152" s="334"/>
      <c r="N152" s="334"/>
      <c r="O152" s="334"/>
      <c r="P152" s="334"/>
      <c r="Q152" s="334"/>
      <c r="R152" s="334"/>
      <c r="S152" s="334"/>
      <c r="T152" s="334"/>
      <c r="U152" s="334"/>
      <c r="V152" s="334"/>
      <c r="W152" s="335"/>
      <c r="X152" s="48"/>
      <c r="Y152" s="214"/>
      <c r="Z152" s="214"/>
    </row>
    <row r="153" spans="1:26" ht="12" customHeight="1" x14ac:dyDescent="0.2">
      <c r="A153" s="339" t="s">
        <v>532</v>
      </c>
      <c r="B153" s="334"/>
      <c r="C153" s="334"/>
      <c r="D153" s="334"/>
      <c r="E153" s="334"/>
      <c r="F153" s="334"/>
      <c r="G153" s="334"/>
      <c r="H153" s="334"/>
      <c r="I153" s="334"/>
      <c r="J153" s="334"/>
      <c r="K153" s="334"/>
      <c r="L153" s="335"/>
      <c r="M153" s="334"/>
      <c r="N153" s="334"/>
      <c r="O153" s="334"/>
      <c r="P153" s="334"/>
      <c r="Q153" s="334"/>
      <c r="R153" s="334"/>
      <c r="S153" s="334"/>
      <c r="T153" s="334"/>
      <c r="U153" s="334"/>
      <c r="V153" s="334"/>
      <c r="W153" s="335"/>
      <c r="X153" s="48"/>
      <c r="Y153" s="214"/>
      <c r="Z153" s="214"/>
    </row>
  </sheetData>
  <mergeCells count="2">
    <mergeCell ref="B5:L5"/>
    <mergeCell ref="M5:W5"/>
  </mergeCells>
  <printOptions horizontalCentered="1"/>
  <pageMargins left="0.23622047244094491" right="0.23622047244094491" top="0.74803149606299213" bottom="0.74803149606299213" header="0" footer="0"/>
  <pageSetup paperSize="9" fitToHeight="0" orientation="landscape"/>
  <headerFooter>
    <oddHeader>&amp;CPROYECTO DE PRESUPUESTO 2021</oddHeader>
    <oddFooter>&amp;LPROYECTO DE PRESUPUESTO PARA EL AÑO FISCAL 2020 INFORMACIÓN PARA LA COMISIÓN DE PRESUPUESTO Y CUENTA GENERAL DE LA REPÚBLICA DEL CONGRESO DE LA REPÚBLICA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pageSetUpPr fitToPage="1"/>
  </sheetPr>
  <dimension ref="A1:X100"/>
  <sheetViews>
    <sheetView showGridLines="0" workbookViewId="0"/>
  </sheetViews>
  <sheetFormatPr baseColWidth="10" defaultColWidth="14.42578125" defaultRowHeight="15" customHeight="1" x14ac:dyDescent="0.2"/>
  <cols>
    <col min="1" max="1" width="67.28515625" customWidth="1"/>
    <col min="2" max="6" width="12.42578125" customWidth="1"/>
    <col min="7" max="7" width="12.7109375" customWidth="1"/>
    <col min="8" max="8" width="12.42578125" customWidth="1"/>
    <col min="9" max="9" width="13.140625" customWidth="1"/>
    <col min="10" max="10" width="4.5703125" customWidth="1"/>
    <col min="11" max="16" width="2.140625" hidden="1" customWidth="1"/>
    <col min="17" max="17" width="2.7109375" hidden="1" customWidth="1"/>
    <col min="18" max="23" width="11.42578125" hidden="1" customWidth="1"/>
    <col min="24" max="24" width="14.7109375" hidden="1" customWidth="1"/>
  </cols>
  <sheetData>
    <row r="1" spans="1:24" ht="12" customHeight="1" x14ac:dyDescent="0.25">
      <c r="A1" s="194" t="s">
        <v>533</v>
      </c>
      <c r="B1" s="340"/>
      <c r="C1" s="340"/>
      <c r="D1" s="340"/>
      <c r="E1" s="340"/>
      <c r="F1" s="340"/>
      <c r="G1" s="341"/>
      <c r="H1" s="48"/>
      <c r="I1" s="48"/>
      <c r="J1" s="341"/>
      <c r="K1" s="341"/>
      <c r="L1" s="341"/>
      <c r="M1" s="341"/>
      <c r="N1" s="341"/>
      <c r="O1" s="341"/>
      <c r="P1" s="341"/>
      <c r="Q1" s="341"/>
      <c r="R1" s="341"/>
      <c r="S1" s="341"/>
      <c r="T1" s="341"/>
      <c r="U1" s="341"/>
      <c r="V1" s="341"/>
      <c r="W1" s="341"/>
      <c r="X1" s="341"/>
    </row>
    <row r="2" spans="1:24" ht="12" customHeight="1" x14ac:dyDescent="0.2">
      <c r="A2" s="16" t="s">
        <v>422</v>
      </c>
      <c r="B2" s="48"/>
      <c r="C2" s="48"/>
      <c r="D2" s="48"/>
      <c r="E2" s="48"/>
      <c r="F2" s="48"/>
      <c r="G2" s="48"/>
      <c r="H2" s="48"/>
      <c r="I2" s="48"/>
      <c r="J2" s="48"/>
      <c r="K2" s="48"/>
      <c r="L2" s="48"/>
      <c r="M2" s="48"/>
      <c r="N2" s="48"/>
      <c r="O2" s="48"/>
      <c r="P2" s="48"/>
      <c r="Q2" s="48"/>
      <c r="R2" s="48"/>
      <c r="S2" s="48"/>
      <c r="T2" s="48"/>
      <c r="U2" s="48"/>
      <c r="V2" s="48"/>
      <c r="W2" s="342"/>
      <c r="X2" s="342"/>
    </row>
    <row r="3" spans="1:24" ht="12" customHeight="1" x14ac:dyDescent="0.2">
      <c r="A3" s="343"/>
      <c r="B3" s="344"/>
      <c r="C3" s="342"/>
      <c r="D3" s="342"/>
      <c r="E3" s="344"/>
      <c r="F3" s="342"/>
      <c r="G3" s="342"/>
      <c r="H3" s="342"/>
      <c r="I3" s="342"/>
      <c r="J3" s="342"/>
      <c r="K3" s="342"/>
      <c r="L3" s="342"/>
      <c r="M3" s="342"/>
      <c r="N3" s="342"/>
      <c r="O3" s="342"/>
      <c r="P3" s="342"/>
      <c r="Q3" s="342"/>
      <c r="R3" s="342"/>
      <c r="S3" s="342"/>
      <c r="T3" s="342"/>
      <c r="U3" s="342"/>
      <c r="V3" s="342"/>
      <c r="W3" s="342"/>
      <c r="X3" s="342"/>
    </row>
    <row r="4" spans="1:24" ht="19.5" customHeight="1" x14ac:dyDescent="0.2">
      <c r="A4" s="345" t="s">
        <v>424</v>
      </c>
      <c r="B4" s="838" t="s">
        <v>534</v>
      </c>
      <c r="C4" s="822"/>
      <c r="D4" s="839" t="s">
        <v>535</v>
      </c>
      <c r="E4" s="840"/>
      <c r="F4" s="839" t="s">
        <v>536</v>
      </c>
      <c r="G4" s="814"/>
      <c r="H4" s="839" t="s">
        <v>537</v>
      </c>
      <c r="I4" s="814"/>
      <c r="J4" s="342"/>
      <c r="K4" s="342"/>
      <c r="L4" s="342"/>
      <c r="M4" s="342"/>
      <c r="N4" s="342"/>
      <c r="O4" s="342"/>
      <c r="P4" s="342"/>
      <c r="Q4" s="342"/>
      <c r="R4" s="342"/>
      <c r="S4" s="342"/>
      <c r="T4" s="342"/>
      <c r="U4" s="342"/>
      <c r="V4" s="342"/>
      <c r="W4" s="342"/>
      <c r="X4" s="342"/>
    </row>
    <row r="5" spans="1:24" ht="28.5" customHeight="1" x14ac:dyDescent="0.2">
      <c r="A5" s="346" t="s">
        <v>427</v>
      </c>
      <c r="B5" s="346" t="s">
        <v>538</v>
      </c>
      <c r="C5" s="346" t="s">
        <v>539</v>
      </c>
      <c r="D5" s="347" t="s">
        <v>538</v>
      </c>
      <c r="E5" s="346" t="s">
        <v>539</v>
      </c>
      <c r="F5" s="347" t="s">
        <v>538</v>
      </c>
      <c r="G5" s="346" t="s">
        <v>539</v>
      </c>
      <c r="H5" s="347" t="s">
        <v>538</v>
      </c>
      <c r="I5" s="346" t="s">
        <v>539</v>
      </c>
      <c r="J5" s="348"/>
      <c r="K5" s="348"/>
      <c r="L5" s="348"/>
      <c r="M5" s="348"/>
      <c r="N5" s="348"/>
      <c r="O5" s="348"/>
      <c r="P5" s="348"/>
      <c r="Q5" s="348"/>
      <c r="R5" s="348"/>
      <c r="S5" s="348"/>
      <c r="T5" s="348"/>
      <c r="U5" s="348"/>
      <c r="V5" s="348"/>
      <c r="W5" s="348"/>
      <c r="X5" s="348"/>
    </row>
    <row r="6" spans="1:24" ht="12" customHeight="1" x14ac:dyDescent="0.2">
      <c r="A6" s="349" t="s">
        <v>540</v>
      </c>
      <c r="B6" s="350">
        <f>148+11+169+103+154</f>
        <v>585</v>
      </c>
      <c r="C6" s="351">
        <f>2218922+114000+160308+1081359+7425748+5348157+7701177</f>
        <v>24049671</v>
      </c>
      <c r="D6" s="352">
        <f>129+11+169+102+152</f>
        <v>563</v>
      </c>
      <c r="E6" s="351">
        <f>2420231+741108+4905482+5296122+8499709</f>
        <v>21862652</v>
      </c>
      <c r="F6" s="353">
        <f>129+11+168+100+157</f>
        <v>565</v>
      </c>
      <c r="G6" s="351">
        <f>2380297+729481+5632086+5263116+8362596</f>
        <v>22367576</v>
      </c>
      <c r="H6" s="352">
        <f t="shared" ref="H6:I6" si="0">F6-D6</f>
        <v>2</v>
      </c>
      <c r="I6" s="351">
        <f t="shared" si="0"/>
        <v>504924</v>
      </c>
      <c r="J6" s="342"/>
      <c r="K6" s="342" t="s">
        <v>541</v>
      </c>
      <c r="L6" s="342" t="s">
        <v>542</v>
      </c>
      <c r="M6" s="342" t="s">
        <v>543</v>
      </c>
      <c r="N6" s="342" t="s">
        <v>544</v>
      </c>
      <c r="O6" s="342" t="s">
        <v>544</v>
      </c>
      <c r="P6" s="342" t="s">
        <v>544</v>
      </c>
      <c r="Q6" s="342" t="s">
        <v>545</v>
      </c>
      <c r="R6" s="354">
        <v>859987</v>
      </c>
      <c r="S6" s="342"/>
      <c r="T6" s="342"/>
      <c r="U6" s="342"/>
      <c r="V6" s="342"/>
      <c r="W6" s="355" t="s">
        <v>546</v>
      </c>
      <c r="X6" s="356">
        <v>845797</v>
      </c>
    </row>
    <row r="7" spans="1:24" ht="12" customHeight="1" x14ac:dyDescent="0.2">
      <c r="A7" s="357" t="s">
        <v>547</v>
      </c>
      <c r="B7" s="358">
        <f>167+11</f>
        <v>178</v>
      </c>
      <c r="C7" s="351">
        <v>110007</v>
      </c>
      <c r="D7" s="353">
        <f>167+11</f>
        <v>178</v>
      </c>
      <c r="E7" s="351">
        <v>110964</v>
      </c>
      <c r="F7" s="353">
        <f>167+11</f>
        <v>178</v>
      </c>
      <c r="G7" s="351">
        <f>110572+11199</f>
        <v>121771</v>
      </c>
      <c r="H7" s="352">
        <f t="shared" ref="H7:I7" si="1">F7-D7</f>
        <v>0</v>
      </c>
      <c r="I7" s="351">
        <f t="shared" si="1"/>
        <v>10807</v>
      </c>
      <c r="J7" s="342"/>
      <c r="K7" s="342"/>
      <c r="L7" s="342"/>
      <c r="M7" s="342"/>
      <c r="N7" s="342"/>
      <c r="O7" s="342"/>
      <c r="P7" s="342"/>
      <c r="Q7" s="342"/>
      <c r="R7" s="342"/>
      <c r="S7" s="342"/>
      <c r="T7" s="342"/>
      <c r="U7" s="342"/>
      <c r="V7" s="342"/>
      <c r="W7" s="342"/>
      <c r="X7" s="342"/>
    </row>
    <row r="8" spans="1:24" ht="12" customHeight="1" x14ac:dyDescent="0.2">
      <c r="A8" s="349" t="s">
        <v>548</v>
      </c>
      <c r="B8" s="358"/>
      <c r="C8" s="351"/>
      <c r="D8" s="353"/>
      <c r="E8" s="351"/>
      <c r="F8" s="353"/>
      <c r="G8" s="351"/>
      <c r="H8" s="352">
        <f t="shared" ref="H8:I8" si="2">F8-D8</f>
        <v>0</v>
      </c>
      <c r="I8" s="351">
        <f t="shared" si="2"/>
        <v>0</v>
      </c>
      <c r="J8" s="342"/>
      <c r="K8" s="342" t="s">
        <v>541</v>
      </c>
      <c r="L8" s="342" t="s">
        <v>542</v>
      </c>
      <c r="M8" s="342" t="s">
        <v>543</v>
      </c>
      <c r="N8" s="342" t="s">
        <v>544</v>
      </c>
      <c r="O8" s="342" t="s">
        <v>544</v>
      </c>
      <c r="P8" s="342" t="s">
        <v>544</v>
      </c>
      <c r="Q8" s="342" t="s">
        <v>549</v>
      </c>
      <c r="R8" s="354">
        <v>1332000</v>
      </c>
      <c r="S8" s="342"/>
      <c r="T8" s="342"/>
      <c r="U8" s="342"/>
      <c r="V8" s="342"/>
      <c r="W8" s="355" t="s">
        <v>550</v>
      </c>
      <c r="X8" s="356">
        <v>1310022</v>
      </c>
    </row>
    <row r="9" spans="1:24" ht="12" customHeight="1" x14ac:dyDescent="0.2">
      <c r="A9" s="349" t="s">
        <v>551</v>
      </c>
      <c r="B9" s="358">
        <f>7+3</f>
        <v>10</v>
      </c>
      <c r="C9" s="351">
        <f>260400+86400</f>
        <v>346800</v>
      </c>
      <c r="D9" s="353">
        <f>7+3</f>
        <v>10</v>
      </c>
      <c r="E9" s="351">
        <f>260400+86400</f>
        <v>346800</v>
      </c>
      <c r="F9" s="353">
        <f>7+3</f>
        <v>10</v>
      </c>
      <c r="G9" s="351">
        <f>260400+86400</f>
        <v>346800</v>
      </c>
      <c r="H9" s="352">
        <f t="shared" ref="H9:I9" si="3">F9-D9</f>
        <v>0</v>
      </c>
      <c r="I9" s="351">
        <f t="shared" si="3"/>
        <v>0</v>
      </c>
      <c r="J9" s="342"/>
      <c r="K9" s="342"/>
      <c r="L9" s="342"/>
      <c r="M9" s="342"/>
      <c r="N9" s="342"/>
      <c r="O9" s="342"/>
      <c r="P9" s="342"/>
      <c r="Q9" s="342"/>
      <c r="R9" s="354"/>
      <c r="S9" s="342"/>
      <c r="T9" s="342"/>
      <c r="U9" s="342"/>
      <c r="V9" s="342"/>
      <c r="W9" s="355"/>
      <c r="X9" s="356"/>
    </row>
    <row r="10" spans="1:24" ht="12" customHeight="1" x14ac:dyDescent="0.2">
      <c r="A10" s="349" t="s">
        <v>552</v>
      </c>
      <c r="B10" s="358">
        <v>5</v>
      </c>
      <c r="C10" s="351">
        <v>168000</v>
      </c>
      <c r="D10" s="353">
        <v>5</v>
      </c>
      <c r="E10" s="351">
        <v>168000</v>
      </c>
      <c r="F10" s="353">
        <v>5</v>
      </c>
      <c r="G10" s="351">
        <v>168000</v>
      </c>
      <c r="H10" s="352">
        <f t="shared" ref="H10:I10" si="4">F10-D10</f>
        <v>0</v>
      </c>
      <c r="I10" s="351">
        <f t="shared" si="4"/>
        <v>0</v>
      </c>
      <c r="J10" s="342"/>
      <c r="K10" s="342"/>
      <c r="L10" s="342"/>
      <c r="M10" s="342"/>
      <c r="N10" s="342"/>
      <c r="O10" s="342"/>
      <c r="P10" s="342"/>
      <c r="Q10" s="342"/>
      <c r="R10" s="354"/>
      <c r="S10" s="342"/>
      <c r="T10" s="342"/>
      <c r="U10" s="342"/>
      <c r="V10" s="342"/>
      <c r="W10" s="355"/>
      <c r="X10" s="356"/>
    </row>
    <row r="11" spans="1:24" ht="12" customHeight="1" x14ac:dyDescent="0.2">
      <c r="A11" s="349" t="s">
        <v>553</v>
      </c>
      <c r="B11" s="358">
        <f>148+11+169+103+154</f>
        <v>585</v>
      </c>
      <c r="C11" s="351">
        <f>293400+49200+214098+1817975+946660+1361188</f>
        <v>4682521</v>
      </c>
      <c r="D11" s="353">
        <f>129+11+168+102+152</f>
        <v>562</v>
      </c>
      <c r="E11" s="351">
        <f>236000+121918+1808490+930958+1422268</f>
        <v>4519634</v>
      </c>
      <c r="F11" s="353">
        <f>129+11+168+100+157</f>
        <v>565</v>
      </c>
      <c r="G11" s="351">
        <f>232106+128848+1824807+917186+1457366</f>
        <v>4560313</v>
      </c>
      <c r="H11" s="352">
        <f t="shared" ref="H11:I11" si="5">F11-D11</f>
        <v>3</v>
      </c>
      <c r="I11" s="351">
        <f t="shared" si="5"/>
        <v>40679</v>
      </c>
      <c r="J11" s="342"/>
      <c r="K11" s="342" t="s">
        <v>541</v>
      </c>
      <c r="L11" s="342" t="s">
        <v>542</v>
      </c>
      <c r="M11" s="342" t="s">
        <v>543</v>
      </c>
      <c r="N11" s="342" t="s">
        <v>544</v>
      </c>
      <c r="O11" s="342" t="s">
        <v>554</v>
      </c>
      <c r="P11" s="342" t="s">
        <v>544</v>
      </c>
      <c r="Q11" s="342" t="s">
        <v>545</v>
      </c>
      <c r="R11" s="354">
        <v>186000</v>
      </c>
      <c r="S11" s="342"/>
      <c r="T11" s="342"/>
      <c r="U11" s="342"/>
      <c r="V11" s="342"/>
      <c r="W11" s="355" t="s">
        <v>555</v>
      </c>
      <c r="X11" s="356">
        <v>182931</v>
      </c>
    </row>
    <row r="12" spans="1:24" ht="12" customHeight="1" x14ac:dyDescent="0.2">
      <c r="A12" s="349" t="s">
        <v>556</v>
      </c>
      <c r="B12" s="358"/>
      <c r="C12" s="351"/>
      <c r="D12" s="353"/>
      <c r="E12" s="351"/>
      <c r="F12" s="353"/>
      <c r="G12" s="351"/>
      <c r="H12" s="352">
        <f t="shared" ref="H12:I12" si="6">F12-D12</f>
        <v>0</v>
      </c>
      <c r="I12" s="351">
        <f t="shared" si="6"/>
        <v>0</v>
      </c>
      <c r="J12" s="342"/>
      <c r="K12" s="342" t="s">
        <v>541</v>
      </c>
      <c r="L12" s="342" t="s">
        <v>542</v>
      </c>
      <c r="M12" s="342" t="s">
        <v>543</v>
      </c>
      <c r="N12" s="342" t="s">
        <v>544</v>
      </c>
      <c r="O12" s="342" t="s">
        <v>554</v>
      </c>
      <c r="P12" s="342" t="s">
        <v>544</v>
      </c>
      <c r="Q12" s="342" t="s">
        <v>557</v>
      </c>
      <c r="R12" s="354">
        <v>50000</v>
      </c>
      <c r="S12" s="342"/>
      <c r="T12" s="342"/>
      <c r="U12" s="342"/>
      <c r="V12" s="342"/>
      <c r="W12" s="355" t="s">
        <v>558</v>
      </c>
      <c r="X12" s="356">
        <v>49175</v>
      </c>
    </row>
    <row r="13" spans="1:24" ht="12" customHeight="1" x14ac:dyDescent="0.2">
      <c r="A13" s="349" t="s">
        <v>559</v>
      </c>
      <c r="B13" s="358">
        <f>103+154</f>
        <v>257</v>
      </c>
      <c r="C13" s="351">
        <f>84792+1863136</f>
        <v>1947928</v>
      </c>
      <c r="D13" s="353">
        <v>3</v>
      </c>
      <c r="E13" s="351">
        <f>80134+791329</f>
        <v>871463</v>
      </c>
      <c r="F13" s="353">
        <f>100+157</f>
        <v>257</v>
      </c>
      <c r="G13" s="351">
        <f>78966+813050</f>
        <v>892016</v>
      </c>
      <c r="H13" s="352">
        <f t="shared" ref="H13:I13" si="7">F13-D13</f>
        <v>254</v>
      </c>
      <c r="I13" s="351">
        <f t="shared" si="7"/>
        <v>20553</v>
      </c>
      <c r="J13" s="342"/>
      <c r="K13" s="342"/>
      <c r="L13" s="342"/>
      <c r="M13" s="342"/>
      <c r="N13" s="342"/>
      <c r="O13" s="342"/>
      <c r="P13" s="342"/>
      <c r="Q13" s="342"/>
      <c r="R13" s="354"/>
      <c r="S13" s="342"/>
      <c r="T13" s="342"/>
      <c r="U13" s="342"/>
      <c r="V13" s="342"/>
      <c r="W13" s="355"/>
      <c r="X13" s="356"/>
    </row>
    <row r="14" spans="1:24" ht="12" customHeight="1" x14ac:dyDescent="0.2">
      <c r="A14" s="349" t="s">
        <v>560</v>
      </c>
      <c r="B14" s="358">
        <v>167</v>
      </c>
      <c r="C14" s="351">
        <v>2040187</v>
      </c>
      <c r="D14" s="353">
        <v>163</v>
      </c>
      <c r="E14" s="351">
        <v>1379225</v>
      </c>
      <c r="F14" s="353">
        <v>160</v>
      </c>
      <c r="G14" s="351">
        <v>890887</v>
      </c>
      <c r="H14" s="352">
        <f t="shared" ref="H14:I14" si="8">F14-D14</f>
        <v>-3</v>
      </c>
      <c r="I14" s="351">
        <f t="shared" si="8"/>
        <v>-488338</v>
      </c>
      <c r="J14" s="342"/>
      <c r="K14" s="342"/>
      <c r="L14" s="342"/>
      <c r="M14" s="342"/>
      <c r="N14" s="342"/>
      <c r="O14" s="342"/>
      <c r="P14" s="342"/>
      <c r="Q14" s="342"/>
      <c r="R14" s="354"/>
      <c r="S14" s="342"/>
      <c r="T14" s="342"/>
      <c r="U14" s="342"/>
      <c r="V14" s="342"/>
      <c r="W14" s="355"/>
      <c r="X14" s="356"/>
    </row>
    <row r="15" spans="1:24" ht="12" customHeight="1" x14ac:dyDescent="0.2">
      <c r="A15" s="349" t="s">
        <v>561</v>
      </c>
      <c r="B15" s="358">
        <v>167</v>
      </c>
      <c r="C15" s="351">
        <v>619821</v>
      </c>
      <c r="D15" s="353">
        <v>163</v>
      </c>
      <c r="E15" s="351">
        <v>592675</v>
      </c>
      <c r="F15" s="353">
        <v>160</v>
      </c>
      <c r="G15" s="351">
        <v>730605</v>
      </c>
      <c r="H15" s="352">
        <f t="shared" ref="H15:I15" si="9">F15-D15</f>
        <v>-3</v>
      </c>
      <c r="I15" s="351">
        <f t="shared" si="9"/>
        <v>137930</v>
      </c>
      <c r="J15" s="342"/>
      <c r="K15" s="342"/>
      <c r="L15" s="342"/>
      <c r="M15" s="342"/>
      <c r="N15" s="342"/>
      <c r="O15" s="342"/>
      <c r="P15" s="342"/>
      <c r="Q15" s="342"/>
      <c r="R15" s="354"/>
      <c r="S15" s="342"/>
      <c r="T15" s="342"/>
      <c r="U15" s="342"/>
      <c r="V15" s="342"/>
      <c r="W15" s="355"/>
      <c r="X15" s="356"/>
    </row>
    <row r="16" spans="1:24" ht="12" customHeight="1" x14ac:dyDescent="0.2">
      <c r="A16" s="349" t="s">
        <v>562</v>
      </c>
      <c r="B16" s="358"/>
      <c r="C16" s="351"/>
      <c r="D16" s="353"/>
      <c r="E16" s="351"/>
      <c r="F16" s="353"/>
      <c r="G16" s="351"/>
      <c r="H16" s="352">
        <f t="shared" ref="H16:I16" si="10">F16-D16</f>
        <v>0</v>
      </c>
      <c r="I16" s="351">
        <f t="shared" si="10"/>
        <v>0</v>
      </c>
      <c r="J16" s="342"/>
      <c r="K16" s="342" t="s">
        <v>541</v>
      </c>
      <c r="L16" s="342" t="s">
        <v>542</v>
      </c>
      <c r="M16" s="342" t="s">
        <v>543</v>
      </c>
      <c r="N16" s="342" t="s">
        <v>544</v>
      </c>
      <c r="O16" s="342" t="s">
        <v>554</v>
      </c>
      <c r="P16" s="342" t="s">
        <v>557</v>
      </c>
      <c r="Q16" s="342" t="s">
        <v>544</v>
      </c>
      <c r="R16" s="354">
        <v>1683</v>
      </c>
      <c r="S16" s="342"/>
      <c r="T16" s="342"/>
      <c r="U16" s="342"/>
      <c r="V16" s="342"/>
      <c r="W16" s="355" t="s">
        <v>563</v>
      </c>
      <c r="X16" s="356">
        <v>6833</v>
      </c>
    </row>
    <row r="17" spans="1:24" ht="12" customHeight="1" x14ac:dyDescent="0.2">
      <c r="A17" s="349" t="s">
        <v>564</v>
      </c>
      <c r="B17" s="358">
        <f>148+11+169+103+154</f>
        <v>585</v>
      </c>
      <c r="C17" s="351">
        <f>7188+281064+148114+716830+472793+906909</f>
        <v>2532898</v>
      </c>
      <c r="D17" s="353">
        <f>129+11+169+102+152</f>
        <v>563</v>
      </c>
      <c r="E17" s="351">
        <f>271850+77720+722617+480691+829553</f>
        <v>2382431</v>
      </c>
      <c r="F17" s="353">
        <f>129+11+168+100+157</f>
        <v>565</v>
      </c>
      <c r="G17" s="351">
        <f>267363+71240+716551+493328+878080</f>
        <v>2426562</v>
      </c>
      <c r="H17" s="352">
        <f t="shared" ref="H17:I17" si="11">F17-D17</f>
        <v>2</v>
      </c>
      <c r="I17" s="351">
        <f t="shared" si="11"/>
        <v>44131</v>
      </c>
      <c r="J17" s="342"/>
      <c r="K17" s="342" t="s">
        <v>541</v>
      </c>
      <c r="L17" s="342" t="s">
        <v>542</v>
      </c>
      <c r="M17" s="342" t="s">
        <v>543</v>
      </c>
      <c r="N17" s="342" t="s">
        <v>544</v>
      </c>
      <c r="O17" s="342" t="s">
        <v>554</v>
      </c>
      <c r="P17" s="342" t="s">
        <v>557</v>
      </c>
      <c r="Q17" s="342" t="s">
        <v>557</v>
      </c>
      <c r="R17" s="354">
        <v>111000</v>
      </c>
      <c r="S17" s="342"/>
      <c r="T17" s="342"/>
      <c r="U17" s="342"/>
      <c r="V17" s="342"/>
      <c r="W17" s="355" t="s">
        <v>565</v>
      </c>
      <c r="X17" s="356">
        <v>109169</v>
      </c>
    </row>
    <row r="18" spans="1:24" ht="12" customHeight="1" x14ac:dyDescent="0.2">
      <c r="A18" s="349" t="s">
        <v>566</v>
      </c>
      <c r="B18" s="358"/>
      <c r="C18" s="351"/>
      <c r="D18" s="353"/>
      <c r="E18" s="351"/>
      <c r="F18" s="353"/>
      <c r="G18" s="351"/>
      <c r="H18" s="352">
        <f t="shared" ref="H18:I18" si="12">F18-D18</f>
        <v>0</v>
      </c>
      <c r="I18" s="351">
        <f t="shared" si="12"/>
        <v>0</v>
      </c>
      <c r="J18" s="342"/>
      <c r="K18" s="342" t="s">
        <v>541</v>
      </c>
      <c r="L18" s="342" t="s">
        <v>542</v>
      </c>
      <c r="M18" s="342" t="s">
        <v>543</v>
      </c>
      <c r="N18" s="342" t="s">
        <v>545</v>
      </c>
      <c r="O18" s="342" t="s">
        <v>544</v>
      </c>
      <c r="P18" s="342" t="s">
        <v>544</v>
      </c>
      <c r="Q18" s="342" t="s">
        <v>544</v>
      </c>
      <c r="R18" s="354">
        <v>464400</v>
      </c>
      <c r="S18" s="342"/>
      <c r="T18" s="342"/>
      <c r="U18" s="342"/>
      <c r="V18" s="342"/>
      <c r="W18" s="355" t="s">
        <v>567</v>
      </c>
      <c r="X18" s="356">
        <v>456737</v>
      </c>
    </row>
    <row r="19" spans="1:24" ht="12" customHeight="1" x14ac:dyDescent="0.2">
      <c r="A19" s="349" t="s">
        <v>568</v>
      </c>
      <c r="B19" s="358">
        <f>169+103</f>
        <v>272</v>
      </c>
      <c r="C19" s="351">
        <f>327855+66950</f>
        <v>394805</v>
      </c>
      <c r="D19" s="353">
        <f>169+102</f>
        <v>271</v>
      </c>
      <c r="E19" s="351">
        <f>354900+66300</f>
        <v>421200</v>
      </c>
      <c r="F19" s="353">
        <f>168+100</f>
        <v>268</v>
      </c>
      <c r="G19" s="351">
        <f>354900+66300</f>
        <v>421200</v>
      </c>
      <c r="H19" s="352">
        <f t="shared" ref="H19:I19" si="13">F19-D19</f>
        <v>-3</v>
      </c>
      <c r="I19" s="351">
        <f t="shared" si="13"/>
        <v>0</v>
      </c>
      <c r="J19" s="342"/>
      <c r="K19" s="342"/>
      <c r="L19" s="342"/>
      <c r="M19" s="342"/>
      <c r="N19" s="342"/>
      <c r="O19" s="342"/>
      <c r="P19" s="342"/>
      <c r="Q19" s="342"/>
      <c r="R19" s="354"/>
      <c r="S19" s="342"/>
      <c r="T19" s="342"/>
      <c r="U19" s="342"/>
      <c r="V19" s="342"/>
      <c r="W19" s="355"/>
      <c r="X19" s="356"/>
    </row>
    <row r="20" spans="1:24" ht="12" customHeight="1" x14ac:dyDescent="0.2">
      <c r="A20" s="349" t="s">
        <v>569</v>
      </c>
      <c r="B20" s="358"/>
      <c r="C20" s="351">
        <v>234145</v>
      </c>
      <c r="D20" s="353"/>
      <c r="E20" s="351">
        <v>60204</v>
      </c>
      <c r="F20" s="353"/>
      <c r="G20" s="351">
        <f>59211+241826+24000</f>
        <v>325037</v>
      </c>
      <c r="H20" s="352">
        <f t="shared" ref="H20:I20" si="14">F20-D20</f>
        <v>0</v>
      </c>
      <c r="I20" s="351">
        <f t="shared" si="14"/>
        <v>264833</v>
      </c>
      <c r="J20" s="342"/>
      <c r="K20" s="342" t="s">
        <v>541</v>
      </c>
      <c r="L20" s="342" t="s">
        <v>542</v>
      </c>
      <c r="M20" s="342" t="s">
        <v>543</v>
      </c>
      <c r="N20" s="342" t="s">
        <v>557</v>
      </c>
      <c r="O20" s="342" t="s">
        <v>544</v>
      </c>
      <c r="P20" s="342" t="s">
        <v>544</v>
      </c>
      <c r="Q20" s="342" t="s">
        <v>557</v>
      </c>
      <c r="R20" s="354">
        <v>1452</v>
      </c>
      <c r="S20" s="342"/>
      <c r="T20" s="342"/>
      <c r="U20" s="342"/>
      <c r="V20" s="342"/>
      <c r="W20" s="355" t="s">
        <v>570</v>
      </c>
      <c r="X20" s="356">
        <v>1427</v>
      </c>
    </row>
    <row r="21" spans="1:24" ht="12" customHeight="1" x14ac:dyDescent="0.2">
      <c r="A21" s="349" t="s">
        <v>571</v>
      </c>
      <c r="B21" s="358">
        <v>11</v>
      </c>
      <c r="C21" s="351">
        <v>6000</v>
      </c>
      <c r="D21" s="353">
        <f>11+102</f>
        <v>113</v>
      </c>
      <c r="E21" s="351">
        <f>4267+31629</f>
        <v>35896</v>
      </c>
      <c r="F21" s="353">
        <f>11+100</f>
        <v>111</v>
      </c>
      <c r="G21" s="351">
        <f>6964+31052</f>
        <v>38016</v>
      </c>
      <c r="H21" s="352">
        <f t="shared" ref="H21:I21" si="15">F21-D21</f>
        <v>-2</v>
      </c>
      <c r="I21" s="351">
        <f t="shared" si="15"/>
        <v>2120</v>
      </c>
      <c r="J21" s="342"/>
      <c r="K21" s="342"/>
      <c r="L21" s="342"/>
      <c r="M21" s="342"/>
      <c r="N21" s="342"/>
      <c r="O21" s="342"/>
      <c r="P21" s="342"/>
      <c r="Q21" s="342"/>
      <c r="R21" s="354"/>
      <c r="S21" s="342"/>
      <c r="T21" s="342"/>
      <c r="U21" s="342"/>
      <c r="V21" s="342"/>
      <c r="W21" s="355"/>
      <c r="X21" s="356"/>
    </row>
    <row r="22" spans="1:24" ht="12" customHeight="1" x14ac:dyDescent="0.2">
      <c r="A22" s="349" t="s">
        <v>572</v>
      </c>
      <c r="B22" s="358">
        <f>148+2</f>
        <v>150</v>
      </c>
      <c r="C22" s="351">
        <f>4167196+49000</f>
        <v>4216196</v>
      </c>
      <c r="D22" s="353">
        <f>129+2</f>
        <v>131</v>
      </c>
      <c r="E22" s="351">
        <f>4403208+7200</f>
        <v>4410408</v>
      </c>
      <c r="F22" s="353">
        <f>129+2</f>
        <v>131</v>
      </c>
      <c r="G22" s="351">
        <f>4325377+78721</f>
        <v>4404098</v>
      </c>
      <c r="H22" s="352">
        <f t="shared" ref="H22:I22" si="16">F22-D22</f>
        <v>0</v>
      </c>
      <c r="I22" s="351">
        <f t="shared" si="16"/>
        <v>-6310</v>
      </c>
      <c r="J22" s="342"/>
      <c r="K22" s="342" t="s">
        <v>541</v>
      </c>
      <c r="L22" s="342" t="s">
        <v>542</v>
      </c>
      <c r="M22" s="342" t="s">
        <v>543</v>
      </c>
      <c r="N22" s="342" t="s">
        <v>557</v>
      </c>
      <c r="O22" s="342" t="s">
        <v>544</v>
      </c>
      <c r="P22" s="342" t="s">
        <v>544</v>
      </c>
      <c r="Q22" s="342" t="s">
        <v>573</v>
      </c>
      <c r="R22" s="354">
        <v>270398</v>
      </c>
      <c r="S22" s="342"/>
      <c r="T22" s="342"/>
      <c r="U22" s="342"/>
      <c r="V22" s="342"/>
      <c r="W22" s="355" t="s">
        <v>574</v>
      </c>
      <c r="X22" s="356">
        <v>265936</v>
      </c>
    </row>
    <row r="23" spans="1:24" ht="12" customHeight="1" x14ac:dyDescent="0.2">
      <c r="A23" s="349" t="s">
        <v>575</v>
      </c>
      <c r="B23" s="358">
        <v>89</v>
      </c>
      <c r="C23" s="351">
        <f>514539+309000</f>
        <v>823539</v>
      </c>
      <c r="D23" s="353">
        <v>86</v>
      </c>
      <c r="E23" s="351">
        <f>464400+237074</f>
        <v>701474</v>
      </c>
      <c r="F23" s="353">
        <v>84</v>
      </c>
      <c r="G23" s="351">
        <f>456737+237074</f>
        <v>693811</v>
      </c>
      <c r="H23" s="352">
        <f t="shared" ref="H23:I23" si="17">F23-D23</f>
        <v>-2</v>
      </c>
      <c r="I23" s="351">
        <f t="shared" si="17"/>
        <v>-7663</v>
      </c>
      <c r="J23" s="342"/>
      <c r="K23" s="342" t="s">
        <v>541</v>
      </c>
      <c r="L23" s="342" t="s">
        <v>542</v>
      </c>
      <c r="M23" s="342" t="s">
        <v>543</v>
      </c>
      <c r="N23" s="342" t="s">
        <v>557</v>
      </c>
      <c r="O23" s="342" t="s">
        <v>544</v>
      </c>
      <c r="P23" s="342" t="s">
        <v>544</v>
      </c>
      <c r="Q23" s="342" t="s">
        <v>576</v>
      </c>
      <c r="R23" s="354">
        <v>60204</v>
      </c>
      <c r="S23" s="342"/>
      <c r="T23" s="342"/>
      <c r="U23" s="342"/>
      <c r="V23" s="342"/>
      <c r="W23" s="355" t="s">
        <v>577</v>
      </c>
      <c r="X23" s="356">
        <v>59211</v>
      </c>
    </row>
    <row r="24" spans="1:24" ht="12" customHeight="1" x14ac:dyDescent="0.2">
      <c r="A24" s="349" t="s">
        <v>578</v>
      </c>
      <c r="B24" s="358"/>
      <c r="C24" s="351"/>
      <c r="D24" s="353">
        <v>169</v>
      </c>
      <c r="E24" s="351">
        <v>1983025</v>
      </c>
      <c r="F24" s="353">
        <v>8</v>
      </c>
      <c r="G24" s="351">
        <v>1753762</v>
      </c>
      <c r="H24" s="352">
        <f t="shared" ref="H24:I24" si="18">F24-D24</f>
        <v>-161</v>
      </c>
      <c r="I24" s="351">
        <f t="shared" si="18"/>
        <v>-229263</v>
      </c>
      <c r="J24" s="342"/>
      <c r="K24" s="342"/>
      <c r="L24" s="342"/>
      <c r="M24" s="342"/>
      <c r="N24" s="342"/>
      <c r="O24" s="342"/>
      <c r="P24" s="342"/>
      <c r="Q24" s="342"/>
      <c r="R24" s="354"/>
      <c r="S24" s="342"/>
      <c r="T24" s="342"/>
      <c r="U24" s="342"/>
      <c r="V24" s="342"/>
      <c r="W24" s="355"/>
      <c r="X24" s="356"/>
    </row>
    <row r="25" spans="1:24" ht="12" customHeight="1" x14ac:dyDescent="0.2">
      <c r="A25" s="349" t="s">
        <v>579</v>
      </c>
      <c r="B25" s="358"/>
      <c r="C25" s="351"/>
      <c r="D25" s="353"/>
      <c r="E25" s="351"/>
      <c r="F25" s="353"/>
      <c r="G25" s="351"/>
      <c r="H25" s="352">
        <f t="shared" ref="H25:I25" si="19">F25-D25</f>
        <v>0</v>
      </c>
      <c r="I25" s="351">
        <f t="shared" si="19"/>
        <v>0</v>
      </c>
      <c r="J25" s="342"/>
      <c r="K25" s="342"/>
      <c r="L25" s="342"/>
      <c r="M25" s="342"/>
      <c r="N25" s="342"/>
      <c r="O25" s="342"/>
      <c r="P25" s="342"/>
      <c r="Q25" s="342"/>
      <c r="R25" s="354">
        <v>9108329</v>
      </c>
      <c r="S25" s="342"/>
      <c r="T25" s="342"/>
      <c r="U25" s="342"/>
      <c r="V25" s="342"/>
      <c r="W25" s="355"/>
      <c r="X25" s="356">
        <f>SUM(X6:X23)</f>
        <v>3287238</v>
      </c>
    </row>
    <row r="26" spans="1:24" ht="12" customHeight="1" x14ac:dyDescent="0.2">
      <c r="A26" s="349" t="s">
        <v>580</v>
      </c>
      <c r="B26" s="358"/>
      <c r="C26" s="351">
        <v>201320</v>
      </c>
      <c r="D26" s="353"/>
      <c r="E26" s="351">
        <f>234187+496501</f>
        <v>730688</v>
      </c>
      <c r="F26" s="353"/>
      <c r="G26" s="351"/>
      <c r="H26" s="352">
        <f t="shared" ref="H26:I26" si="20">F26-D26</f>
        <v>0</v>
      </c>
      <c r="I26" s="351">
        <f t="shared" si="20"/>
        <v>-730688</v>
      </c>
      <c r="J26" s="342"/>
      <c r="K26" s="342"/>
      <c r="L26" s="342"/>
      <c r="M26" s="342"/>
      <c r="N26" s="342"/>
      <c r="O26" s="342"/>
      <c r="P26" s="342"/>
      <c r="Q26" s="342"/>
      <c r="R26" s="354"/>
      <c r="S26" s="342"/>
      <c r="T26" s="342"/>
      <c r="U26" s="342"/>
      <c r="V26" s="342"/>
      <c r="W26" s="355"/>
      <c r="X26" s="356"/>
    </row>
    <row r="27" spans="1:24" ht="12" customHeight="1" x14ac:dyDescent="0.2">
      <c r="A27" s="359" t="s">
        <v>581</v>
      </c>
      <c r="B27" s="360"/>
      <c r="C27" s="351">
        <f>142197+125952+519260</f>
        <v>787409</v>
      </c>
      <c r="D27" s="353"/>
      <c r="E27" s="351">
        <f>132329+65075+519264</f>
        <v>716668</v>
      </c>
      <c r="F27" s="353"/>
      <c r="G27" s="351">
        <f>130146+72054+501964</f>
        <v>704164</v>
      </c>
      <c r="H27" s="352">
        <f t="shared" ref="H27:I27" si="21">F27-D27</f>
        <v>0</v>
      </c>
      <c r="I27" s="351">
        <f t="shared" si="21"/>
        <v>-12504</v>
      </c>
      <c r="J27" s="342"/>
      <c r="K27" s="342"/>
      <c r="L27" s="342"/>
      <c r="M27" s="342"/>
      <c r="N27" s="342"/>
      <c r="O27" s="342"/>
      <c r="P27" s="342"/>
      <c r="Q27" s="342"/>
      <c r="R27" s="342"/>
      <c r="S27" s="342"/>
      <c r="T27" s="342"/>
      <c r="U27" s="342"/>
      <c r="V27" s="342"/>
      <c r="W27" s="342"/>
      <c r="X27" s="342"/>
    </row>
    <row r="28" spans="1:24" ht="12" customHeight="1" x14ac:dyDescent="0.2">
      <c r="A28" s="359" t="s">
        <v>582</v>
      </c>
      <c r="B28" s="358">
        <v>4</v>
      </c>
      <c r="C28" s="351">
        <v>40703</v>
      </c>
      <c r="D28" s="353">
        <v>3</v>
      </c>
      <c r="E28" s="351">
        <v>1683</v>
      </c>
      <c r="F28" s="353">
        <v>2</v>
      </c>
      <c r="G28" s="351">
        <v>6833</v>
      </c>
      <c r="H28" s="352">
        <f t="shared" ref="H28:I28" si="22">F28-D28</f>
        <v>-1</v>
      </c>
      <c r="I28" s="351">
        <f t="shared" si="22"/>
        <v>5150</v>
      </c>
      <c r="J28" s="342"/>
      <c r="K28" s="342"/>
      <c r="L28" s="342"/>
      <c r="M28" s="342"/>
      <c r="N28" s="342"/>
      <c r="O28" s="342"/>
      <c r="P28" s="342"/>
      <c r="Q28" s="342"/>
      <c r="R28" s="342"/>
      <c r="S28" s="342"/>
      <c r="T28" s="342"/>
      <c r="U28" s="342"/>
      <c r="V28" s="342"/>
      <c r="W28" s="342"/>
      <c r="X28" s="342"/>
    </row>
    <row r="29" spans="1:24" ht="12" customHeight="1" x14ac:dyDescent="0.2">
      <c r="A29" s="359" t="s">
        <v>583</v>
      </c>
      <c r="B29" s="360"/>
      <c r="C29" s="351">
        <v>63984</v>
      </c>
      <c r="D29" s="353"/>
      <c r="E29" s="361">
        <v>111000</v>
      </c>
      <c r="F29" s="353"/>
      <c r="G29" s="361">
        <v>109169</v>
      </c>
      <c r="H29" s="352">
        <f t="shared" ref="H29:I29" si="23">F29-D29</f>
        <v>0</v>
      </c>
      <c r="I29" s="351">
        <f t="shared" si="23"/>
        <v>-1831</v>
      </c>
      <c r="J29" s="342"/>
      <c r="K29" s="342"/>
      <c r="L29" s="342"/>
      <c r="M29" s="342"/>
      <c r="N29" s="342"/>
      <c r="O29" s="342"/>
      <c r="P29" s="342"/>
      <c r="Q29" s="342"/>
      <c r="R29" s="342"/>
      <c r="S29" s="342"/>
      <c r="T29" s="342"/>
      <c r="U29" s="342"/>
      <c r="V29" s="342"/>
      <c r="W29" s="342"/>
      <c r="X29" s="342"/>
    </row>
    <row r="30" spans="1:24" ht="12" customHeight="1" x14ac:dyDescent="0.2">
      <c r="A30" s="359" t="s">
        <v>584</v>
      </c>
      <c r="B30" s="362"/>
      <c r="C30" s="363">
        <v>1097445</v>
      </c>
      <c r="D30" s="364"/>
      <c r="E30" s="363">
        <v>1007424</v>
      </c>
      <c r="F30" s="365"/>
      <c r="G30" s="363">
        <v>990802</v>
      </c>
      <c r="H30" s="352">
        <f t="shared" ref="H30:I30" si="24">F30-D30</f>
        <v>0</v>
      </c>
      <c r="I30" s="351">
        <f t="shared" si="24"/>
        <v>-16622</v>
      </c>
      <c r="J30" s="342"/>
      <c r="K30" s="342"/>
      <c r="L30" s="342"/>
      <c r="M30" s="342"/>
      <c r="N30" s="342"/>
      <c r="O30" s="342"/>
      <c r="P30" s="342"/>
      <c r="Q30" s="342"/>
      <c r="R30" s="342"/>
      <c r="S30" s="342"/>
      <c r="T30" s="342"/>
      <c r="U30" s="342"/>
      <c r="V30" s="342"/>
      <c r="W30" s="342"/>
      <c r="X30" s="342"/>
    </row>
    <row r="31" spans="1:24" ht="20.25" customHeight="1" x14ac:dyDescent="0.2">
      <c r="A31" s="366" t="s">
        <v>585</v>
      </c>
      <c r="B31" s="367">
        <v>588</v>
      </c>
      <c r="C31" s="368">
        <f>SUM(C6:C30)</f>
        <v>44363379</v>
      </c>
      <c r="D31" s="366">
        <v>566</v>
      </c>
      <c r="E31" s="368">
        <f>SUM(E6:E30)</f>
        <v>42413514</v>
      </c>
      <c r="F31" s="366">
        <v>568</v>
      </c>
      <c r="G31" s="368">
        <f>SUM(G6:G30)</f>
        <v>41951422</v>
      </c>
      <c r="H31" s="366">
        <f t="shared" ref="H31:I31" si="25">F31-D31</f>
        <v>2</v>
      </c>
      <c r="I31" s="368">
        <f t="shared" si="25"/>
        <v>-462092</v>
      </c>
      <c r="J31" s="342"/>
      <c r="K31" s="342"/>
      <c r="L31" s="342"/>
      <c r="M31" s="342"/>
      <c r="N31" s="342"/>
      <c r="O31" s="342"/>
      <c r="P31" s="342"/>
      <c r="Q31" s="342"/>
      <c r="R31" s="342"/>
      <c r="S31" s="342"/>
      <c r="T31" s="342"/>
      <c r="U31" s="342"/>
      <c r="V31" s="342"/>
      <c r="W31" s="342"/>
      <c r="X31" s="342"/>
    </row>
    <row r="32" spans="1:24" ht="9" customHeight="1" x14ac:dyDescent="0.2">
      <c r="A32" s="339"/>
      <c r="B32" s="48"/>
      <c r="C32" s="48"/>
      <c r="D32" s="48"/>
      <c r="E32" s="48"/>
      <c r="F32" s="48"/>
      <c r="G32" s="48"/>
      <c r="H32" s="48"/>
      <c r="I32" s="48"/>
      <c r="J32" s="342"/>
      <c r="K32" s="342"/>
      <c r="L32" s="342"/>
      <c r="M32" s="342"/>
      <c r="N32" s="342"/>
      <c r="O32" s="342"/>
      <c r="P32" s="342"/>
      <c r="Q32" s="342"/>
      <c r="R32" s="342"/>
      <c r="S32" s="342"/>
      <c r="T32" s="342"/>
      <c r="U32" s="342"/>
      <c r="V32" s="342"/>
      <c r="W32" s="342"/>
      <c r="X32" s="342"/>
    </row>
    <row r="33" spans="1:24" ht="12" customHeight="1" x14ac:dyDescent="0.2">
      <c r="A33" s="339" t="s">
        <v>586</v>
      </c>
      <c r="B33" s="334"/>
      <c r="C33" s="335"/>
      <c r="D33" s="251"/>
      <c r="E33" s="335"/>
      <c r="F33" s="251"/>
      <c r="G33" s="335"/>
      <c r="H33" s="251"/>
      <c r="I33" s="251"/>
      <c r="J33" s="342"/>
      <c r="K33" s="342"/>
      <c r="L33" s="342"/>
      <c r="M33" s="342"/>
      <c r="N33" s="342"/>
      <c r="O33" s="342"/>
      <c r="P33" s="342"/>
      <c r="Q33" s="342"/>
      <c r="R33" s="342"/>
      <c r="S33" s="342"/>
      <c r="T33" s="342"/>
      <c r="U33" s="342"/>
      <c r="V33" s="342"/>
      <c r="W33" s="342"/>
      <c r="X33" s="342"/>
    </row>
    <row r="34" spans="1:24" ht="12" customHeight="1" x14ac:dyDescent="0.2">
      <c r="A34" s="339" t="s">
        <v>587</v>
      </c>
      <c r="B34" s="251"/>
      <c r="C34" s="335"/>
      <c r="D34" s="251"/>
      <c r="E34" s="335"/>
      <c r="F34" s="251"/>
      <c r="G34" s="335"/>
      <c r="H34" s="251"/>
      <c r="I34" s="251"/>
      <c r="J34" s="342"/>
      <c r="K34" s="342"/>
      <c r="L34" s="342"/>
      <c r="M34" s="342"/>
      <c r="N34" s="342"/>
      <c r="O34" s="342"/>
      <c r="P34" s="342"/>
      <c r="Q34" s="342"/>
      <c r="R34" s="342"/>
      <c r="S34" s="342"/>
      <c r="T34" s="342"/>
      <c r="U34" s="342"/>
      <c r="V34" s="342"/>
      <c r="W34" s="342"/>
      <c r="X34" s="342"/>
    </row>
    <row r="35" spans="1:24" ht="12" customHeight="1" x14ac:dyDescent="0.2">
      <c r="A35" s="334"/>
      <c r="B35" s="369"/>
      <c r="C35" s="369"/>
      <c r="D35" s="369"/>
      <c r="E35" s="369"/>
      <c r="F35" s="369"/>
      <c r="G35" s="369"/>
      <c r="H35" s="369"/>
      <c r="I35" s="369"/>
      <c r="J35" s="342"/>
      <c r="K35" s="342"/>
      <c r="L35" s="342"/>
      <c r="M35" s="342"/>
      <c r="N35" s="342"/>
      <c r="O35" s="342"/>
      <c r="P35" s="342"/>
      <c r="Q35" s="342"/>
      <c r="R35" s="342"/>
      <c r="S35" s="342"/>
      <c r="T35" s="342"/>
      <c r="U35" s="342"/>
      <c r="V35" s="342"/>
      <c r="W35" s="342"/>
      <c r="X35" s="342"/>
    </row>
    <row r="36" spans="1:24" ht="12" customHeight="1" x14ac:dyDescent="0.2">
      <c r="A36" s="334"/>
      <c r="B36" s="251"/>
      <c r="C36" s="335"/>
      <c r="D36" s="251"/>
      <c r="E36" s="335"/>
      <c r="F36" s="251"/>
      <c r="G36" s="335"/>
      <c r="H36" s="251"/>
      <c r="I36" s="251"/>
      <c r="J36" s="342"/>
      <c r="K36" s="342"/>
      <c r="L36" s="342"/>
      <c r="M36" s="342"/>
      <c r="N36" s="342"/>
      <c r="O36" s="342"/>
      <c r="P36" s="342"/>
      <c r="Q36" s="342"/>
      <c r="R36" s="342"/>
      <c r="S36" s="342"/>
      <c r="T36" s="342"/>
      <c r="U36" s="342"/>
      <c r="V36" s="342"/>
      <c r="W36" s="342"/>
      <c r="X36" s="342"/>
    </row>
    <row r="37" spans="1:24" ht="12" customHeight="1" x14ac:dyDescent="0.2">
      <c r="A37" s="334"/>
      <c r="B37" s="251"/>
      <c r="C37" s="335"/>
      <c r="D37" s="251"/>
      <c r="E37" s="335"/>
      <c r="F37" s="251"/>
      <c r="G37" s="335"/>
      <c r="H37" s="251"/>
      <c r="I37" s="251"/>
      <c r="J37" s="342"/>
      <c r="K37" s="342"/>
      <c r="L37" s="342"/>
      <c r="M37" s="342"/>
      <c r="N37" s="342"/>
      <c r="O37" s="342"/>
      <c r="P37" s="342"/>
      <c r="Q37" s="342"/>
      <c r="R37" s="342"/>
      <c r="S37" s="342"/>
      <c r="T37" s="342"/>
      <c r="U37" s="342"/>
      <c r="V37" s="342"/>
      <c r="W37" s="342"/>
      <c r="X37" s="342"/>
    </row>
    <row r="38" spans="1:24" ht="12" customHeight="1" x14ac:dyDescent="0.2">
      <c r="A38" s="334"/>
      <c r="B38" s="251"/>
      <c r="C38" s="335"/>
      <c r="D38" s="251"/>
      <c r="E38" s="335"/>
      <c r="F38" s="251"/>
      <c r="G38" s="335"/>
      <c r="H38" s="251"/>
      <c r="I38" s="251"/>
      <c r="J38" s="342"/>
      <c r="K38" s="342"/>
      <c r="L38" s="342"/>
      <c r="M38" s="342"/>
      <c r="N38" s="342"/>
      <c r="O38" s="342"/>
      <c r="P38" s="342"/>
      <c r="Q38" s="342"/>
      <c r="R38" s="342"/>
      <c r="S38" s="342"/>
      <c r="T38" s="342"/>
      <c r="U38" s="342"/>
      <c r="V38" s="342"/>
      <c r="W38" s="342"/>
      <c r="X38" s="342"/>
    </row>
    <row r="39" spans="1:24" ht="12" customHeight="1" x14ac:dyDescent="0.2">
      <c r="A39" s="334"/>
      <c r="B39" s="251"/>
      <c r="C39" s="335"/>
      <c r="D39" s="251"/>
      <c r="E39" s="335"/>
      <c r="F39" s="251"/>
      <c r="G39" s="335"/>
      <c r="H39" s="251"/>
      <c r="I39" s="251"/>
      <c r="J39" s="342"/>
      <c r="K39" s="342"/>
      <c r="L39" s="342"/>
      <c r="M39" s="342"/>
      <c r="N39" s="342"/>
      <c r="O39" s="342"/>
      <c r="P39" s="342"/>
      <c r="Q39" s="342"/>
      <c r="R39" s="342"/>
      <c r="S39" s="342"/>
      <c r="T39" s="342"/>
      <c r="U39" s="342"/>
      <c r="V39" s="342"/>
      <c r="W39" s="342"/>
      <c r="X39" s="342"/>
    </row>
    <row r="40" spans="1:24" ht="12" customHeight="1" x14ac:dyDescent="0.2">
      <c r="A40" s="334"/>
      <c r="B40" s="251"/>
      <c r="C40" s="335"/>
      <c r="D40" s="251"/>
      <c r="E40" s="335"/>
      <c r="F40" s="251"/>
      <c r="G40" s="335"/>
      <c r="H40" s="251"/>
      <c r="I40" s="251"/>
      <c r="J40" s="342"/>
      <c r="K40" s="342"/>
      <c r="L40" s="342"/>
      <c r="M40" s="342"/>
      <c r="N40" s="342"/>
      <c r="O40" s="342"/>
      <c r="P40" s="342"/>
      <c r="Q40" s="342"/>
      <c r="R40" s="342"/>
      <c r="S40" s="342"/>
      <c r="T40" s="342"/>
      <c r="U40" s="342"/>
      <c r="V40" s="342"/>
      <c r="W40" s="342"/>
      <c r="X40" s="342"/>
    </row>
    <row r="41" spans="1:24" ht="12" customHeight="1" x14ac:dyDescent="0.2">
      <c r="A41" s="334"/>
      <c r="B41" s="251"/>
      <c r="C41" s="335"/>
      <c r="D41" s="251"/>
      <c r="E41" s="335"/>
      <c r="F41" s="251"/>
      <c r="G41" s="335"/>
      <c r="H41" s="251"/>
      <c r="I41" s="251"/>
      <c r="J41" s="342"/>
      <c r="K41" s="342"/>
      <c r="L41" s="342"/>
      <c r="M41" s="342"/>
      <c r="N41" s="342"/>
      <c r="O41" s="342"/>
      <c r="P41" s="342"/>
      <c r="Q41" s="342"/>
      <c r="R41" s="342"/>
      <c r="S41" s="342"/>
      <c r="T41" s="342"/>
      <c r="U41" s="342"/>
      <c r="V41" s="342"/>
      <c r="W41" s="342"/>
      <c r="X41" s="342"/>
    </row>
    <row r="42" spans="1:24" ht="12" customHeight="1" x14ac:dyDescent="0.2">
      <c r="A42" s="334"/>
      <c r="B42" s="251"/>
      <c r="C42" s="335"/>
      <c r="D42" s="251"/>
      <c r="E42" s="335"/>
      <c r="F42" s="251"/>
      <c r="G42" s="335"/>
      <c r="H42" s="251"/>
      <c r="I42" s="251"/>
      <c r="J42" s="342"/>
      <c r="K42" s="342"/>
      <c r="L42" s="342"/>
      <c r="M42" s="342"/>
      <c r="N42" s="342"/>
      <c r="O42" s="342"/>
      <c r="P42" s="342"/>
      <c r="Q42" s="342"/>
      <c r="R42" s="342"/>
      <c r="S42" s="342"/>
      <c r="T42" s="342"/>
      <c r="U42" s="342"/>
      <c r="V42" s="342"/>
      <c r="W42" s="342"/>
      <c r="X42" s="342"/>
    </row>
    <row r="43" spans="1:24" ht="12" customHeight="1" x14ac:dyDescent="0.2">
      <c r="A43" s="334"/>
      <c r="B43" s="251"/>
      <c r="C43" s="335"/>
      <c r="D43" s="251"/>
      <c r="E43" s="335"/>
      <c r="F43" s="251"/>
      <c r="G43" s="335"/>
      <c r="H43" s="251"/>
      <c r="I43" s="251"/>
      <c r="J43" s="342"/>
      <c r="K43" s="342"/>
      <c r="L43" s="342"/>
      <c r="M43" s="342"/>
      <c r="N43" s="342"/>
      <c r="O43" s="342"/>
      <c r="P43" s="342"/>
      <c r="Q43" s="342"/>
      <c r="R43" s="342"/>
      <c r="S43" s="342"/>
      <c r="T43" s="342"/>
      <c r="U43" s="342"/>
      <c r="V43" s="342"/>
      <c r="W43" s="342"/>
      <c r="X43" s="342"/>
    </row>
    <row r="44" spans="1:24" ht="12" customHeight="1" x14ac:dyDescent="0.2">
      <c r="A44" s="334"/>
      <c r="B44" s="251"/>
      <c r="C44" s="335"/>
      <c r="D44" s="251"/>
      <c r="E44" s="335"/>
      <c r="F44" s="251"/>
      <c r="G44" s="335"/>
      <c r="H44" s="251"/>
      <c r="I44" s="251"/>
      <c r="J44" s="342"/>
      <c r="K44" s="342"/>
      <c r="L44" s="342"/>
      <c r="M44" s="342"/>
      <c r="N44" s="342"/>
      <c r="O44" s="342"/>
      <c r="P44" s="342"/>
      <c r="Q44" s="342"/>
      <c r="R44" s="342"/>
      <c r="S44" s="342"/>
      <c r="T44" s="342"/>
      <c r="U44" s="342"/>
      <c r="V44" s="342"/>
      <c r="W44" s="342"/>
      <c r="X44" s="342"/>
    </row>
    <row r="45" spans="1:24" ht="12" customHeight="1" x14ac:dyDescent="0.2">
      <c r="A45" s="334"/>
      <c r="B45" s="251"/>
      <c r="C45" s="335"/>
      <c r="D45" s="251"/>
      <c r="E45" s="335"/>
      <c r="F45" s="251"/>
      <c r="G45" s="335"/>
      <c r="H45" s="251"/>
      <c r="I45" s="251"/>
      <c r="J45" s="342"/>
      <c r="K45" s="342"/>
      <c r="L45" s="342"/>
      <c r="M45" s="342"/>
      <c r="N45" s="342"/>
      <c r="O45" s="342"/>
      <c r="P45" s="342"/>
      <c r="Q45" s="342"/>
      <c r="R45" s="342"/>
      <c r="S45" s="342"/>
      <c r="T45" s="342"/>
      <c r="U45" s="342"/>
      <c r="V45" s="342"/>
      <c r="W45" s="342"/>
      <c r="X45" s="342"/>
    </row>
    <row r="46" spans="1:24" ht="12" customHeight="1" x14ac:dyDescent="0.2">
      <c r="A46" s="334"/>
      <c r="B46" s="251"/>
      <c r="C46" s="335"/>
      <c r="D46" s="251"/>
      <c r="E46" s="335"/>
      <c r="F46" s="251"/>
      <c r="G46" s="335"/>
      <c r="H46" s="251"/>
      <c r="I46" s="251"/>
      <c r="J46" s="342"/>
      <c r="K46" s="342"/>
      <c r="L46" s="342"/>
      <c r="M46" s="342"/>
      <c r="N46" s="342"/>
      <c r="O46" s="342"/>
      <c r="P46" s="342"/>
      <c r="Q46" s="342"/>
      <c r="R46" s="342"/>
      <c r="S46" s="342"/>
      <c r="T46" s="342"/>
      <c r="U46" s="342"/>
      <c r="V46" s="342"/>
      <c r="W46" s="342"/>
      <c r="X46" s="342"/>
    </row>
    <row r="47" spans="1:24" ht="12" customHeight="1" x14ac:dyDescent="0.2">
      <c r="A47" s="334"/>
      <c r="B47" s="251"/>
      <c r="C47" s="335"/>
      <c r="D47" s="251"/>
      <c r="E47" s="335"/>
      <c r="F47" s="251"/>
      <c r="G47" s="335"/>
      <c r="H47" s="251"/>
      <c r="I47" s="251"/>
      <c r="J47" s="342"/>
      <c r="K47" s="342"/>
      <c r="L47" s="342"/>
      <c r="M47" s="342"/>
      <c r="N47" s="342"/>
      <c r="O47" s="342"/>
      <c r="P47" s="342"/>
      <c r="Q47" s="342"/>
      <c r="R47" s="342"/>
      <c r="S47" s="342"/>
      <c r="T47" s="342"/>
      <c r="U47" s="342"/>
      <c r="V47" s="342"/>
      <c r="W47" s="342"/>
      <c r="X47" s="342"/>
    </row>
    <row r="48" spans="1:24" ht="12" customHeight="1" x14ac:dyDescent="0.2">
      <c r="A48" s="334"/>
      <c r="B48" s="251"/>
      <c r="C48" s="335"/>
      <c r="D48" s="251"/>
      <c r="E48" s="335"/>
      <c r="F48" s="251"/>
      <c r="G48" s="335"/>
      <c r="H48" s="251"/>
      <c r="I48" s="251"/>
      <c r="J48" s="342"/>
      <c r="K48" s="342"/>
      <c r="L48" s="342"/>
      <c r="M48" s="342"/>
      <c r="N48" s="342"/>
      <c r="O48" s="342"/>
      <c r="P48" s="342"/>
      <c r="Q48" s="342"/>
      <c r="R48" s="342"/>
      <c r="S48" s="342"/>
      <c r="T48" s="342"/>
      <c r="U48" s="342"/>
      <c r="V48" s="342"/>
      <c r="W48" s="342"/>
      <c r="X48" s="342"/>
    </row>
    <row r="49" spans="1:24" ht="12" customHeight="1" x14ac:dyDescent="0.2">
      <c r="A49" s="334"/>
      <c r="B49" s="251"/>
      <c r="C49" s="335"/>
      <c r="D49" s="251"/>
      <c r="E49" s="335"/>
      <c r="F49" s="251"/>
      <c r="G49" s="335"/>
      <c r="H49" s="251"/>
      <c r="I49" s="251"/>
      <c r="J49" s="342"/>
      <c r="K49" s="342"/>
      <c r="L49" s="342"/>
      <c r="M49" s="342"/>
      <c r="N49" s="342"/>
      <c r="O49" s="342"/>
      <c r="P49" s="342"/>
      <c r="Q49" s="342"/>
      <c r="R49" s="342"/>
      <c r="S49" s="342"/>
      <c r="T49" s="342"/>
      <c r="U49" s="342"/>
      <c r="V49" s="342"/>
      <c r="W49" s="342"/>
      <c r="X49" s="342"/>
    </row>
    <row r="50" spans="1:24" ht="12" customHeight="1" x14ac:dyDescent="0.2">
      <c r="A50" s="334"/>
      <c r="B50" s="251"/>
      <c r="C50" s="335"/>
      <c r="D50" s="251"/>
      <c r="E50" s="335"/>
      <c r="F50" s="251"/>
      <c r="G50" s="335"/>
      <c r="H50" s="251"/>
      <c r="I50" s="251"/>
      <c r="J50" s="342"/>
      <c r="K50" s="342"/>
      <c r="L50" s="342"/>
      <c r="M50" s="342"/>
      <c r="N50" s="342"/>
      <c r="O50" s="342"/>
      <c r="P50" s="342"/>
      <c r="Q50" s="342"/>
      <c r="R50" s="342"/>
      <c r="S50" s="342"/>
      <c r="T50" s="342"/>
      <c r="U50" s="342"/>
      <c r="V50" s="342"/>
      <c r="W50" s="342"/>
      <c r="X50" s="342"/>
    </row>
    <row r="51" spans="1:24" ht="12" customHeight="1" x14ac:dyDescent="0.2">
      <c r="A51" s="334"/>
      <c r="B51" s="251"/>
      <c r="C51" s="335"/>
      <c r="D51" s="251"/>
      <c r="E51" s="335"/>
      <c r="F51" s="251"/>
      <c r="G51" s="335"/>
      <c r="H51" s="251"/>
      <c r="I51" s="251"/>
      <c r="J51" s="342"/>
      <c r="K51" s="342"/>
      <c r="L51" s="342"/>
      <c r="M51" s="342"/>
      <c r="N51" s="342"/>
      <c r="O51" s="342"/>
      <c r="P51" s="342"/>
      <c r="Q51" s="342"/>
      <c r="R51" s="342"/>
      <c r="S51" s="342"/>
      <c r="T51" s="342"/>
      <c r="U51" s="342"/>
      <c r="V51" s="342"/>
      <c r="W51" s="342"/>
      <c r="X51" s="342"/>
    </row>
    <row r="52" spans="1:24" ht="12" customHeight="1" x14ac:dyDescent="0.2">
      <c r="A52" s="339" t="s">
        <v>586</v>
      </c>
      <c r="B52" s="48"/>
      <c r="C52" s="48"/>
      <c r="D52" s="48"/>
      <c r="E52" s="48"/>
      <c r="F52" s="48"/>
      <c r="G52" s="48"/>
      <c r="H52" s="48"/>
      <c r="I52" s="48"/>
      <c r="J52" s="342"/>
      <c r="K52" s="342"/>
      <c r="L52" s="342"/>
      <c r="M52" s="342"/>
      <c r="N52" s="342"/>
      <c r="O52" s="342"/>
      <c r="P52" s="342"/>
      <c r="Q52" s="342"/>
      <c r="R52" s="342"/>
      <c r="S52" s="342"/>
      <c r="T52" s="342"/>
      <c r="U52" s="342"/>
      <c r="V52" s="342"/>
      <c r="W52" s="342"/>
      <c r="X52" s="342"/>
    </row>
    <row r="53" spans="1:24" ht="12" customHeight="1" x14ac:dyDescent="0.2">
      <c r="A53" s="339" t="s">
        <v>587</v>
      </c>
      <c r="B53" s="48"/>
      <c r="C53" s="48"/>
      <c r="D53" s="48"/>
      <c r="E53" s="48"/>
      <c r="F53" s="48"/>
      <c r="G53" s="48"/>
      <c r="H53" s="48"/>
      <c r="I53" s="48"/>
      <c r="J53" s="342"/>
      <c r="K53" s="342"/>
      <c r="L53" s="342"/>
      <c r="M53" s="342"/>
      <c r="N53" s="342"/>
      <c r="O53" s="342"/>
      <c r="P53" s="342"/>
      <c r="Q53" s="342"/>
      <c r="R53" s="342"/>
      <c r="S53" s="342"/>
      <c r="T53" s="342"/>
      <c r="U53" s="342"/>
      <c r="V53" s="342"/>
      <c r="W53" s="342"/>
      <c r="X53" s="342"/>
    </row>
    <row r="54" spans="1:24" ht="12" customHeight="1" x14ac:dyDescent="0.2">
      <c r="A54" s="339"/>
      <c r="B54" s="48"/>
      <c r="C54" s="48"/>
      <c r="D54" s="48"/>
      <c r="E54" s="48"/>
      <c r="F54" s="48"/>
      <c r="G54" s="48"/>
      <c r="H54" s="48"/>
      <c r="I54" s="48"/>
      <c r="J54" s="342"/>
      <c r="K54" s="342"/>
      <c r="L54" s="342"/>
      <c r="M54" s="342"/>
      <c r="N54" s="342"/>
      <c r="O54" s="342"/>
      <c r="P54" s="342"/>
      <c r="Q54" s="342"/>
      <c r="R54" s="342"/>
      <c r="S54" s="342"/>
      <c r="T54" s="342"/>
      <c r="U54" s="342"/>
      <c r="V54" s="342"/>
      <c r="W54" s="342"/>
      <c r="X54" s="342"/>
    </row>
    <row r="55" spans="1:24" ht="12" customHeight="1" x14ac:dyDescent="0.2">
      <c r="A55" s="342"/>
      <c r="B55" s="342"/>
      <c r="C55" s="342"/>
      <c r="D55" s="342"/>
      <c r="E55" s="342"/>
      <c r="F55" s="342"/>
      <c r="G55" s="342"/>
      <c r="H55" s="342"/>
      <c r="I55" s="342"/>
      <c r="J55" s="342"/>
      <c r="K55" s="342"/>
      <c r="L55" s="342"/>
      <c r="M55" s="342"/>
      <c r="N55" s="342"/>
      <c r="O55" s="342"/>
      <c r="P55" s="342"/>
      <c r="Q55" s="342"/>
      <c r="R55" s="342"/>
      <c r="S55" s="342"/>
      <c r="T55" s="342"/>
      <c r="U55" s="342"/>
      <c r="V55" s="342"/>
      <c r="W55" s="342"/>
      <c r="X55" s="342"/>
    </row>
    <row r="56" spans="1:24" ht="12" customHeight="1" x14ac:dyDescent="0.2">
      <c r="A56" s="342"/>
      <c r="B56" s="342"/>
      <c r="C56" s="342"/>
      <c r="D56" s="342"/>
      <c r="E56" s="342"/>
      <c r="F56" s="342"/>
      <c r="G56" s="342"/>
      <c r="H56" s="342"/>
      <c r="I56" s="342"/>
      <c r="J56" s="342"/>
      <c r="K56" s="342"/>
      <c r="L56" s="342"/>
      <c r="M56" s="342"/>
      <c r="N56" s="342"/>
      <c r="O56" s="342"/>
      <c r="P56" s="342"/>
      <c r="Q56" s="342"/>
      <c r="R56" s="342"/>
      <c r="S56" s="342"/>
      <c r="T56" s="342"/>
      <c r="U56" s="342"/>
      <c r="V56" s="342"/>
      <c r="W56" s="342"/>
      <c r="X56" s="342"/>
    </row>
    <row r="57" spans="1:24" ht="12" customHeight="1" x14ac:dyDescent="0.2">
      <c r="A57" s="342"/>
      <c r="B57" s="342"/>
      <c r="C57" s="342"/>
      <c r="D57" s="342"/>
      <c r="E57" s="342"/>
      <c r="F57" s="342"/>
      <c r="G57" s="342"/>
      <c r="H57" s="342"/>
      <c r="I57" s="342"/>
      <c r="J57" s="342"/>
      <c r="K57" s="342"/>
      <c r="L57" s="342"/>
      <c r="M57" s="342"/>
      <c r="N57" s="342"/>
      <c r="O57" s="342"/>
      <c r="P57" s="342"/>
      <c r="Q57" s="342"/>
      <c r="R57" s="342"/>
      <c r="S57" s="342"/>
      <c r="T57" s="342"/>
      <c r="U57" s="342"/>
      <c r="V57" s="342"/>
      <c r="W57" s="342"/>
      <c r="X57" s="342"/>
    </row>
    <row r="58" spans="1:24" ht="12" customHeight="1" x14ac:dyDescent="0.2">
      <c r="A58" s="342"/>
      <c r="B58" s="342"/>
      <c r="C58" s="342"/>
      <c r="D58" s="342"/>
      <c r="E58" s="342"/>
      <c r="F58" s="342"/>
      <c r="G58" s="342"/>
      <c r="H58" s="342"/>
      <c r="I58" s="342"/>
      <c r="J58" s="342"/>
      <c r="K58" s="342"/>
      <c r="L58" s="342"/>
      <c r="M58" s="342"/>
      <c r="N58" s="342"/>
      <c r="O58" s="342"/>
      <c r="P58" s="342"/>
      <c r="Q58" s="342"/>
      <c r="R58" s="342"/>
      <c r="S58" s="342"/>
      <c r="T58" s="342"/>
      <c r="U58" s="342"/>
      <c r="V58" s="342"/>
      <c r="W58" s="342"/>
      <c r="X58" s="342"/>
    </row>
    <row r="59" spans="1:24" ht="12" customHeight="1" x14ac:dyDescent="0.2">
      <c r="A59" s="342"/>
      <c r="B59" s="342"/>
      <c r="C59" s="342"/>
      <c r="D59" s="342"/>
      <c r="E59" s="342"/>
      <c r="F59" s="342"/>
      <c r="G59" s="342"/>
      <c r="H59" s="342"/>
      <c r="I59" s="342"/>
      <c r="J59" s="342"/>
      <c r="K59" s="342"/>
      <c r="L59" s="342"/>
      <c r="M59" s="342"/>
      <c r="N59" s="342"/>
      <c r="O59" s="342"/>
      <c r="P59" s="342"/>
      <c r="Q59" s="342"/>
      <c r="R59" s="342"/>
      <c r="S59" s="342"/>
      <c r="T59" s="342"/>
      <c r="U59" s="342"/>
      <c r="V59" s="342"/>
      <c r="W59" s="342"/>
      <c r="X59" s="342"/>
    </row>
    <row r="60" spans="1:24" ht="12" customHeight="1" x14ac:dyDescent="0.2">
      <c r="A60" s="342"/>
      <c r="B60" s="342"/>
      <c r="C60" s="342"/>
      <c r="D60" s="342"/>
      <c r="E60" s="342"/>
      <c r="F60" s="342"/>
      <c r="G60" s="342"/>
      <c r="H60" s="342"/>
      <c r="I60" s="342"/>
      <c r="J60" s="342"/>
      <c r="K60" s="342"/>
      <c r="L60" s="342"/>
      <c r="M60" s="342"/>
      <c r="N60" s="342"/>
      <c r="O60" s="342"/>
      <c r="P60" s="342"/>
      <c r="Q60" s="342"/>
      <c r="R60" s="342"/>
      <c r="S60" s="342"/>
      <c r="T60" s="342"/>
      <c r="U60" s="342"/>
      <c r="V60" s="342"/>
      <c r="W60" s="342"/>
      <c r="X60" s="342"/>
    </row>
    <row r="61" spans="1:24" ht="12" customHeight="1" x14ac:dyDescent="0.2">
      <c r="A61" s="342"/>
      <c r="B61" s="342"/>
      <c r="C61" s="342"/>
      <c r="D61" s="342"/>
      <c r="E61" s="342"/>
      <c r="F61" s="342"/>
      <c r="G61" s="342"/>
      <c r="H61" s="342"/>
      <c r="I61" s="342"/>
      <c r="J61" s="342"/>
      <c r="K61" s="342"/>
      <c r="L61" s="342"/>
      <c r="M61" s="342"/>
      <c r="N61" s="342"/>
      <c r="O61" s="342"/>
      <c r="P61" s="342"/>
      <c r="Q61" s="342"/>
      <c r="R61" s="342"/>
      <c r="S61" s="342"/>
      <c r="T61" s="342"/>
      <c r="U61" s="342"/>
      <c r="V61" s="342"/>
      <c r="W61" s="342"/>
      <c r="X61" s="342"/>
    </row>
    <row r="62" spans="1:24" ht="12" customHeight="1" x14ac:dyDescent="0.2">
      <c r="A62" s="342"/>
      <c r="B62" s="342"/>
      <c r="C62" s="342"/>
      <c r="D62" s="342"/>
      <c r="E62" s="342"/>
      <c r="F62" s="342"/>
      <c r="G62" s="342"/>
      <c r="H62" s="342"/>
      <c r="I62" s="342"/>
      <c r="J62" s="342"/>
      <c r="K62" s="342"/>
      <c r="L62" s="342"/>
      <c r="M62" s="342"/>
      <c r="N62" s="342"/>
      <c r="O62" s="342"/>
      <c r="P62" s="342"/>
      <c r="Q62" s="342"/>
      <c r="R62" s="342"/>
      <c r="S62" s="342"/>
      <c r="T62" s="342"/>
      <c r="U62" s="342"/>
      <c r="V62" s="342"/>
      <c r="W62" s="342"/>
      <c r="X62" s="342"/>
    </row>
    <row r="63" spans="1:24" ht="12" customHeight="1" x14ac:dyDescent="0.2">
      <c r="A63" s="342"/>
      <c r="B63" s="342"/>
      <c r="C63" s="342"/>
      <c r="D63" s="342"/>
      <c r="E63" s="342"/>
      <c r="F63" s="342"/>
      <c r="G63" s="342"/>
      <c r="H63" s="342"/>
      <c r="I63" s="342"/>
      <c r="J63" s="342"/>
      <c r="K63" s="342"/>
      <c r="L63" s="342"/>
      <c r="M63" s="342"/>
      <c r="N63" s="342"/>
      <c r="O63" s="342"/>
      <c r="P63" s="342"/>
      <c r="Q63" s="342"/>
      <c r="R63" s="342"/>
      <c r="S63" s="342"/>
      <c r="T63" s="342"/>
      <c r="U63" s="342"/>
      <c r="V63" s="342"/>
      <c r="W63" s="342"/>
      <c r="X63" s="342"/>
    </row>
    <row r="64" spans="1:24" ht="12" customHeight="1" x14ac:dyDescent="0.2">
      <c r="A64" s="342"/>
      <c r="B64" s="342"/>
      <c r="C64" s="342"/>
      <c r="D64" s="342"/>
      <c r="E64" s="342"/>
      <c r="F64" s="342"/>
      <c r="G64" s="342"/>
      <c r="H64" s="342"/>
      <c r="I64" s="342"/>
      <c r="J64" s="342"/>
      <c r="K64" s="342"/>
      <c r="L64" s="342"/>
      <c r="M64" s="342"/>
      <c r="N64" s="342"/>
      <c r="O64" s="342"/>
      <c r="P64" s="342"/>
      <c r="Q64" s="342"/>
      <c r="R64" s="342"/>
      <c r="S64" s="342"/>
      <c r="T64" s="342"/>
      <c r="U64" s="342"/>
      <c r="V64" s="342"/>
      <c r="W64" s="342"/>
      <c r="X64" s="342"/>
    </row>
    <row r="65" spans="1:24" ht="12" customHeight="1" x14ac:dyDescent="0.2">
      <c r="A65" s="342"/>
      <c r="B65" s="342"/>
      <c r="C65" s="342"/>
      <c r="D65" s="342"/>
      <c r="E65" s="342"/>
      <c r="F65" s="342"/>
      <c r="G65" s="342"/>
      <c r="H65" s="342"/>
      <c r="I65" s="342"/>
      <c r="J65" s="342"/>
      <c r="K65" s="342"/>
      <c r="L65" s="342"/>
      <c r="M65" s="342"/>
      <c r="N65" s="342"/>
      <c r="O65" s="342"/>
      <c r="P65" s="342"/>
      <c r="Q65" s="342"/>
      <c r="R65" s="342"/>
      <c r="S65" s="342"/>
      <c r="T65" s="342"/>
      <c r="U65" s="342"/>
      <c r="V65" s="342"/>
      <c r="W65" s="342"/>
      <c r="X65" s="342"/>
    </row>
    <row r="66" spans="1:24" ht="12" customHeight="1" x14ac:dyDescent="0.2">
      <c r="A66" s="342"/>
      <c r="B66" s="342"/>
      <c r="C66" s="342"/>
      <c r="D66" s="342"/>
      <c r="E66" s="342"/>
      <c r="F66" s="342"/>
      <c r="G66" s="342"/>
      <c r="H66" s="342"/>
      <c r="I66" s="342"/>
      <c r="J66" s="342"/>
      <c r="K66" s="342"/>
      <c r="L66" s="342"/>
      <c r="M66" s="342"/>
      <c r="N66" s="342"/>
      <c r="O66" s="342"/>
      <c r="P66" s="342"/>
      <c r="Q66" s="342"/>
      <c r="R66" s="342"/>
      <c r="S66" s="342"/>
      <c r="T66" s="342"/>
      <c r="U66" s="342"/>
      <c r="V66" s="342"/>
      <c r="W66" s="342"/>
      <c r="X66" s="342"/>
    </row>
    <row r="67" spans="1:24" ht="12" customHeight="1" x14ac:dyDescent="0.2">
      <c r="A67" s="342"/>
      <c r="B67" s="342"/>
      <c r="C67" s="342"/>
      <c r="D67" s="342"/>
      <c r="E67" s="342"/>
      <c r="F67" s="342"/>
      <c r="G67" s="342"/>
      <c r="H67" s="342"/>
      <c r="I67" s="342"/>
      <c r="J67" s="342"/>
      <c r="K67" s="342"/>
      <c r="L67" s="342"/>
      <c r="M67" s="342"/>
      <c r="N67" s="342"/>
      <c r="O67" s="342"/>
      <c r="P67" s="342"/>
      <c r="Q67" s="342"/>
      <c r="R67" s="342"/>
      <c r="S67" s="342"/>
      <c r="T67" s="342"/>
      <c r="U67" s="342"/>
      <c r="V67" s="342"/>
      <c r="W67" s="342"/>
      <c r="X67" s="342"/>
    </row>
    <row r="68" spans="1:24" ht="12" customHeight="1" x14ac:dyDescent="0.2">
      <c r="A68" s="342"/>
      <c r="B68" s="342"/>
      <c r="C68" s="342"/>
      <c r="D68" s="342"/>
      <c r="E68" s="342"/>
      <c r="F68" s="342"/>
      <c r="G68" s="342"/>
      <c r="H68" s="342"/>
      <c r="I68" s="342"/>
      <c r="J68" s="342"/>
      <c r="K68" s="342"/>
      <c r="L68" s="342"/>
      <c r="M68" s="342"/>
      <c r="N68" s="342"/>
      <c r="O68" s="342"/>
      <c r="P68" s="342"/>
      <c r="Q68" s="342"/>
      <c r="R68" s="342"/>
      <c r="S68" s="342"/>
      <c r="T68" s="342"/>
      <c r="U68" s="342"/>
      <c r="V68" s="342"/>
      <c r="W68" s="342"/>
      <c r="X68" s="342"/>
    </row>
    <row r="69" spans="1:24" ht="12" customHeight="1" x14ac:dyDescent="0.2">
      <c r="A69" s="342"/>
      <c r="B69" s="342"/>
      <c r="C69" s="342"/>
      <c r="D69" s="342"/>
      <c r="E69" s="342"/>
      <c r="F69" s="342"/>
      <c r="G69" s="342"/>
      <c r="H69" s="342"/>
      <c r="I69" s="342"/>
      <c r="J69" s="342"/>
      <c r="K69" s="342"/>
      <c r="L69" s="342"/>
      <c r="M69" s="342"/>
      <c r="N69" s="342"/>
      <c r="O69" s="342"/>
      <c r="P69" s="342"/>
      <c r="Q69" s="342"/>
      <c r="R69" s="342"/>
      <c r="S69" s="342"/>
      <c r="T69" s="342"/>
      <c r="U69" s="342"/>
      <c r="V69" s="342"/>
      <c r="W69" s="342"/>
      <c r="X69" s="342"/>
    </row>
    <row r="70" spans="1:24" ht="12" customHeight="1" x14ac:dyDescent="0.2">
      <c r="A70" s="342"/>
      <c r="B70" s="342"/>
      <c r="C70" s="342"/>
      <c r="D70" s="342"/>
      <c r="E70" s="342"/>
      <c r="F70" s="342"/>
      <c r="G70" s="342"/>
      <c r="H70" s="342"/>
      <c r="I70" s="342"/>
      <c r="J70" s="342"/>
      <c r="K70" s="342"/>
      <c r="L70" s="342"/>
      <c r="M70" s="342"/>
      <c r="N70" s="342"/>
      <c r="O70" s="342"/>
      <c r="P70" s="342"/>
      <c r="Q70" s="342"/>
      <c r="R70" s="342"/>
      <c r="S70" s="342"/>
      <c r="T70" s="342"/>
      <c r="U70" s="342"/>
      <c r="V70" s="342"/>
      <c r="W70" s="342"/>
      <c r="X70" s="342"/>
    </row>
    <row r="71" spans="1:24" ht="12" customHeight="1" x14ac:dyDescent="0.2">
      <c r="A71" s="342"/>
      <c r="B71" s="342"/>
      <c r="C71" s="342"/>
      <c r="D71" s="342"/>
      <c r="E71" s="342"/>
      <c r="F71" s="342"/>
      <c r="G71" s="342"/>
      <c r="H71" s="342"/>
      <c r="I71" s="342"/>
      <c r="J71" s="342"/>
      <c r="K71" s="342"/>
      <c r="L71" s="342"/>
      <c r="M71" s="342"/>
      <c r="N71" s="342"/>
      <c r="O71" s="342"/>
      <c r="P71" s="342"/>
      <c r="Q71" s="342"/>
      <c r="R71" s="342"/>
      <c r="S71" s="342"/>
      <c r="T71" s="342"/>
      <c r="U71" s="342"/>
      <c r="V71" s="342"/>
      <c r="W71" s="342"/>
      <c r="X71" s="342"/>
    </row>
    <row r="72" spans="1:24" ht="12" customHeight="1" x14ac:dyDescent="0.2">
      <c r="A72" s="342"/>
      <c r="B72" s="342"/>
      <c r="C72" s="342"/>
      <c r="D72" s="342"/>
      <c r="E72" s="342"/>
      <c r="F72" s="342"/>
      <c r="G72" s="342"/>
      <c r="H72" s="342"/>
      <c r="I72" s="342"/>
      <c r="J72" s="342"/>
      <c r="K72" s="342"/>
      <c r="L72" s="342"/>
      <c r="M72" s="342"/>
      <c r="N72" s="342"/>
      <c r="O72" s="342"/>
      <c r="P72" s="342"/>
      <c r="Q72" s="342"/>
      <c r="R72" s="342"/>
      <c r="S72" s="342"/>
      <c r="T72" s="342"/>
      <c r="U72" s="342"/>
      <c r="V72" s="342"/>
      <c r="W72" s="342"/>
      <c r="X72" s="342"/>
    </row>
    <row r="73" spans="1:24" ht="12" customHeight="1" x14ac:dyDescent="0.2">
      <c r="A73" s="342"/>
      <c r="B73" s="342"/>
      <c r="C73" s="342"/>
      <c r="D73" s="342"/>
      <c r="E73" s="342"/>
      <c r="F73" s="342"/>
      <c r="G73" s="342"/>
      <c r="H73" s="342"/>
      <c r="I73" s="342"/>
      <c r="J73" s="342"/>
      <c r="K73" s="342"/>
      <c r="L73" s="342"/>
      <c r="M73" s="342"/>
      <c r="N73" s="342"/>
      <c r="O73" s="342"/>
      <c r="P73" s="342"/>
      <c r="Q73" s="342"/>
      <c r="R73" s="342"/>
      <c r="S73" s="342"/>
      <c r="T73" s="342"/>
      <c r="U73" s="342"/>
      <c r="V73" s="342"/>
      <c r="W73" s="342"/>
      <c r="X73" s="342"/>
    </row>
    <row r="74" spans="1:24" ht="12" customHeight="1" x14ac:dyDescent="0.2">
      <c r="A74" s="342"/>
      <c r="B74" s="342"/>
      <c r="C74" s="342"/>
      <c r="D74" s="342"/>
      <c r="E74" s="342"/>
      <c r="F74" s="342"/>
      <c r="G74" s="342"/>
      <c r="H74" s="342"/>
      <c r="I74" s="342"/>
      <c r="J74" s="342"/>
      <c r="K74" s="342"/>
      <c r="L74" s="342"/>
      <c r="M74" s="342"/>
      <c r="N74" s="342"/>
      <c r="O74" s="342"/>
      <c r="P74" s="342"/>
      <c r="Q74" s="342"/>
      <c r="R74" s="342"/>
      <c r="S74" s="342"/>
      <c r="T74" s="342"/>
      <c r="U74" s="342"/>
      <c r="V74" s="342"/>
      <c r="W74" s="342"/>
      <c r="X74" s="342"/>
    </row>
    <row r="75" spans="1:24" ht="12" customHeight="1" x14ac:dyDescent="0.2">
      <c r="A75" s="342"/>
      <c r="B75" s="342"/>
      <c r="C75" s="342"/>
      <c r="D75" s="342"/>
      <c r="E75" s="342"/>
      <c r="F75" s="342"/>
      <c r="G75" s="342"/>
      <c r="H75" s="342"/>
      <c r="I75" s="342"/>
      <c r="J75" s="342"/>
      <c r="K75" s="342"/>
      <c r="L75" s="342"/>
      <c r="M75" s="342"/>
      <c r="N75" s="342"/>
      <c r="O75" s="342"/>
      <c r="P75" s="342"/>
      <c r="Q75" s="342"/>
      <c r="R75" s="342"/>
      <c r="S75" s="342"/>
      <c r="T75" s="342"/>
      <c r="U75" s="342"/>
      <c r="V75" s="342"/>
      <c r="W75" s="342"/>
      <c r="X75" s="342"/>
    </row>
    <row r="76" spans="1:24" ht="12" customHeight="1" x14ac:dyDescent="0.2">
      <c r="A76" s="342"/>
      <c r="B76" s="342"/>
      <c r="C76" s="342"/>
      <c r="D76" s="342"/>
      <c r="E76" s="342"/>
      <c r="F76" s="342"/>
      <c r="G76" s="342"/>
      <c r="H76" s="342"/>
      <c r="I76" s="342"/>
      <c r="J76" s="342"/>
      <c r="K76" s="342"/>
      <c r="L76" s="342"/>
      <c r="M76" s="342"/>
      <c r="N76" s="342"/>
      <c r="O76" s="342"/>
      <c r="P76" s="342"/>
      <c r="Q76" s="342"/>
      <c r="R76" s="342"/>
      <c r="S76" s="342"/>
      <c r="T76" s="342"/>
      <c r="U76" s="342"/>
      <c r="V76" s="342"/>
      <c r="W76" s="342"/>
      <c r="X76" s="342"/>
    </row>
    <row r="77" spans="1:24" ht="12" customHeight="1" x14ac:dyDescent="0.2">
      <c r="A77" s="342"/>
      <c r="B77" s="342"/>
      <c r="C77" s="342"/>
      <c r="D77" s="342"/>
      <c r="E77" s="342"/>
      <c r="F77" s="342"/>
      <c r="G77" s="342"/>
      <c r="H77" s="342"/>
      <c r="I77" s="342"/>
      <c r="J77" s="342"/>
      <c r="K77" s="342"/>
      <c r="L77" s="342"/>
      <c r="M77" s="342"/>
      <c r="N77" s="342"/>
      <c r="O77" s="342"/>
      <c r="P77" s="342"/>
      <c r="Q77" s="342"/>
      <c r="R77" s="342"/>
      <c r="S77" s="342"/>
      <c r="T77" s="342"/>
      <c r="U77" s="342"/>
      <c r="V77" s="342"/>
      <c r="W77" s="342"/>
      <c r="X77" s="342"/>
    </row>
    <row r="78" spans="1:24" ht="12" customHeight="1" x14ac:dyDescent="0.2">
      <c r="A78" s="342"/>
      <c r="B78" s="342"/>
      <c r="C78" s="342"/>
      <c r="D78" s="342"/>
      <c r="E78" s="342"/>
      <c r="F78" s="342"/>
      <c r="G78" s="342"/>
      <c r="H78" s="342"/>
      <c r="I78" s="342"/>
      <c r="J78" s="342"/>
      <c r="K78" s="342"/>
      <c r="L78" s="342"/>
      <c r="M78" s="342"/>
      <c r="N78" s="342"/>
      <c r="O78" s="342"/>
      <c r="P78" s="342"/>
      <c r="Q78" s="342"/>
      <c r="R78" s="342"/>
      <c r="S78" s="342"/>
      <c r="T78" s="342"/>
      <c r="U78" s="342"/>
      <c r="V78" s="342"/>
      <c r="W78" s="342"/>
      <c r="X78" s="342"/>
    </row>
    <row r="79" spans="1:24" ht="12" customHeight="1" x14ac:dyDescent="0.2">
      <c r="A79" s="342"/>
      <c r="B79" s="342"/>
      <c r="C79" s="342"/>
      <c r="D79" s="342"/>
      <c r="E79" s="342"/>
      <c r="F79" s="342"/>
      <c r="G79" s="342"/>
      <c r="H79" s="342"/>
      <c r="I79" s="342"/>
      <c r="J79" s="342"/>
      <c r="K79" s="342"/>
      <c r="L79" s="342"/>
      <c r="M79" s="342"/>
      <c r="N79" s="342"/>
      <c r="O79" s="342"/>
      <c r="P79" s="342"/>
      <c r="Q79" s="342"/>
      <c r="R79" s="342"/>
      <c r="S79" s="342"/>
      <c r="T79" s="342"/>
      <c r="U79" s="342"/>
      <c r="V79" s="342"/>
      <c r="W79" s="342"/>
      <c r="X79" s="342"/>
    </row>
    <row r="80" spans="1:24" ht="12" customHeight="1" x14ac:dyDescent="0.2">
      <c r="A80" s="342"/>
      <c r="B80" s="342"/>
      <c r="C80" s="342"/>
      <c r="D80" s="342"/>
      <c r="E80" s="342"/>
      <c r="F80" s="342"/>
      <c r="G80" s="342"/>
      <c r="H80" s="342"/>
      <c r="I80" s="342"/>
      <c r="J80" s="342"/>
      <c r="K80" s="342"/>
      <c r="L80" s="342"/>
      <c r="M80" s="342"/>
      <c r="N80" s="342"/>
      <c r="O80" s="342"/>
      <c r="P80" s="342"/>
      <c r="Q80" s="342"/>
      <c r="R80" s="342"/>
      <c r="S80" s="342"/>
      <c r="T80" s="342"/>
      <c r="U80" s="342"/>
      <c r="V80" s="342"/>
      <c r="W80" s="342"/>
      <c r="X80" s="342"/>
    </row>
    <row r="81" spans="1:24" ht="12" customHeight="1" x14ac:dyDescent="0.2">
      <c r="A81" s="342"/>
      <c r="B81" s="342"/>
      <c r="C81" s="342"/>
      <c r="D81" s="342"/>
      <c r="E81" s="342"/>
      <c r="F81" s="342"/>
      <c r="G81" s="342"/>
      <c r="H81" s="342"/>
      <c r="I81" s="342"/>
      <c r="J81" s="342"/>
      <c r="K81" s="342"/>
      <c r="L81" s="342"/>
      <c r="M81" s="342"/>
      <c r="N81" s="342"/>
      <c r="O81" s="342"/>
      <c r="P81" s="342"/>
      <c r="Q81" s="342"/>
      <c r="R81" s="342"/>
      <c r="S81" s="342"/>
      <c r="T81" s="342"/>
      <c r="U81" s="342"/>
      <c r="V81" s="342"/>
      <c r="W81" s="342"/>
      <c r="X81" s="342"/>
    </row>
    <row r="82" spans="1:24" ht="12" customHeight="1" x14ac:dyDescent="0.2">
      <c r="A82" s="342"/>
      <c r="B82" s="342"/>
      <c r="C82" s="342"/>
      <c r="D82" s="342"/>
      <c r="E82" s="342"/>
      <c r="F82" s="342"/>
      <c r="G82" s="342"/>
      <c r="H82" s="342"/>
      <c r="I82" s="342"/>
      <c r="J82" s="342"/>
      <c r="K82" s="342"/>
      <c r="L82" s="342"/>
      <c r="M82" s="342"/>
      <c r="N82" s="342"/>
      <c r="O82" s="342"/>
      <c r="P82" s="342"/>
      <c r="Q82" s="342"/>
      <c r="R82" s="342"/>
      <c r="S82" s="342"/>
      <c r="T82" s="342"/>
      <c r="U82" s="342"/>
      <c r="V82" s="342"/>
      <c r="W82" s="342"/>
      <c r="X82" s="342"/>
    </row>
    <row r="83" spans="1:24" ht="12" customHeight="1" x14ac:dyDescent="0.2">
      <c r="A83" s="342"/>
      <c r="B83" s="342"/>
      <c r="C83" s="342"/>
      <c r="D83" s="342"/>
      <c r="E83" s="342"/>
      <c r="F83" s="342"/>
      <c r="G83" s="342"/>
      <c r="H83" s="342"/>
      <c r="I83" s="342"/>
      <c r="J83" s="342"/>
      <c r="K83" s="342"/>
      <c r="L83" s="342"/>
      <c r="M83" s="342"/>
      <c r="N83" s="342"/>
      <c r="O83" s="342"/>
      <c r="P83" s="342"/>
      <c r="Q83" s="342"/>
      <c r="R83" s="342"/>
      <c r="S83" s="342"/>
      <c r="T83" s="342"/>
      <c r="U83" s="342"/>
      <c r="V83" s="342"/>
      <c r="W83" s="342"/>
      <c r="X83" s="342"/>
    </row>
    <row r="84" spans="1:24" ht="12" customHeight="1" x14ac:dyDescent="0.2">
      <c r="A84" s="342"/>
      <c r="B84" s="342"/>
      <c r="C84" s="342"/>
      <c r="D84" s="342"/>
      <c r="E84" s="342"/>
      <c r="F84" s="342"/>
      <c r="G84" s="342"/>
      <c r="H84" s="342"/>
      <c r="I84" s="342"/>
      <c r="J84" s="342"/>
      <c r="K84" s="342"/>
      <c r="L84" s="342"/>
      <c r="M84" s="342"/>
      <c r="N84" s="342"/>
      <c r="O84" s="342"/>
      <c r="P84" s="342"/>
      <c r="Q84" s="342"/>
      <c r="R84" s="342"/>
      <c r="S84" s="342"/>
      <c r="T84" s="342"/>
      <c r="U84" s="342"/>
      <c r="V84" s="342"/>
      <c r="W84" s="342"/>
      <c r="X84" s="342"/>
    </row>
    <row r="85" spans="1:24" ht="12" customHeight="1" x14ac:dyDescent="0.2">
      <c r="A85" s="342"/>
      <c r="B85" s="342"/>
      <c r="C85" s="342"/>
      <c r="D85" s="342"/>
      <c r="E85" s="342"/>
      <c r="F85" s="342"/>
      <c r="G85" s="342"/>
      <c r="H85" s="342"/>
      <c r="I85" s="342"/>
      <c r="J85" s="342"/>
      <c r="K85" s="342"/>
      <c r="L85" s="342"/>
      <c r="M85" s="342"/>
      <c r="N85" s="342"/>
      <c r="O85" s="342"/>
      <c r="P85" s="342"/>
      <c r="Q85" s="342"/>
      <c r="R85" s="342"/>
      <c r="S85" s="342"/>
      <c r="T85" s="342"/>
      <c r="U85" s="342"/>
      <c r="V85" s="342"/>
      <c r="W85" s="342"/>
      <c r="X85" s="342"/>
    </row>
    <row r="86" spans="1:24" ht="12" customHeight="1" x14ac:dyDescent="0.2">
      <c r="A86" s="342"/>
      <c r="B86" s="342"/>
      <c r="C86" s="342"/>
      <c r="D86" s="342"/>
      <c r="E86" s="342"/>
      <c r="F86" s="342"/>
      <c r="G86" s="342"/>
      <c r="H86" s="342"/>
      <c r="I86" s="342"/>
      <c r="J86" s="342"/>
      <c r="K86" s="342"/>
      <c r="L86" s="342"/>
      <c r="M86" s="342"/>
      <c r="N86" s="342"/>
      <c r="O86" s="342"/>
      <c r="P86" s="342"/>
      <c r="Q86" s="342"/>
      <c r="R86" s="342"/>
      <c r="S86" s="342"/>
      <c r="T86" s="342"/>
      <c r="U86" s="342"/>
      <c r="V86" s="342"/>
      <c r="W86" s="342"/>
      <c r="X86" s="342"/>
    </row>
    <row r="87" spans="1:24" ht="12" customHeight="1" x14ac:dyDescent="0.2">
      <c r="A87" s="342"/>
      <c r="B87" s="342"/>
      <c r="C87" s="342"/>
      <c r="D87" s="342"/>
      <c r="E87" s="342"/>
      <c r="F87" s="342"/>
      <c r="G87" s="342"/>
      <c r="H87" s="342"/>
      <c r="I87" s="342"/>
      <c r="J87" s="342"/>
      <c r="K87" s="342"/>
      <c r="L87" s="342"/>
      <c r="M87" s="342"/>
      <c r="N87" s="342"/>
      <c r="O87" s="342"/>
      <c r="P87" s="342"/>
      <c r="Q87" s="342"/>
      <c r="R87" s="342"/>
      <c r="S87" s="342"/>
      <c r="T87" s="342"/>
      <c r="U87" s="342"/>
      <c r="V87" s="342"/>
      <c r="W87" s="342"/>
      <c r="X87" s="342"/>
    </row>
    <row r="88" spans="1:24" ht="12" customHeight="1" x14ac:dyDescent="0.2">
      <c r="A88" s="342"/>
      <c r="B88" s="342"/>
      <c r="C88" s="342"/>
      <c r="D88" s="342"/>
      <c r="E88" s="342"/>
      <c r="F88" s="342"/>
      <c r="G88" s="342"/>
      <c r="H88" s="342"/>
      <c r="I88" s="342"/>
      <c r="J88" s="342"/>
      <c r="K88" s="342"/>
      <c r="L88" s="342"/>
      <c r="M88" s="342"/>
      <c r="N88" s="342"/>
      <c r="O88" s="342"/>
      <c r="P88" s="342"/>
      <c r="Q88" s="342"/>
      <c r="R88" s="342"/>
      <c r="S88" s="342"/>
      <c r="T88" s="342"/>
      <c r="U88" s="342"/>
      <c r="V88" s="342"/>
      <c r="W88" s="342"/>
      <c r="X88" s="342"/>
    </row>
    <row r="89" spans="1:24" ht="12" customHeight="1" x14ac:dyDescent="0.2">
      <c r="A89" s="342"/>
      <c r="B89" s="342"/>
      <c r="C89" s="342"/>
      <c r="D89" s="342"/>
      <c r="E89" s="342"/>
      <c r="F89" s="342"/>
      <c r="G89" s="342"/>
      <c r="H89" s="342"/>
      <c r="I89" s="342"/>
      <c r="J89" s="342"/>
      <c r="K89" s="342"/>
      <c r="L89" s="342"/>
      <c r="M89" s="342"/>
      <c r="N89" s="342"/>
      <c r="O89" s="342"/>
      <c r="P89" s="342"/>
      <c r="Q89" s="342"/>
      <c r="R89" s="342"/>
      <c r="S89" s="342"/>
      <c r="T89" s="342"/>
      <c r="U89" s="342"/>
      <c r="V89" s="342"/>
      <c r="W89" s="342"/>
      <c r="X89" s="342"/>
    </row>
    <row r="90" spans="1:24" ht="12" customHeight="1" x14ac:dyDescent="0.2">
      <c r="A90" s="342"/>
      <c r="B90" s="342"/>
      <c r="C90" s="342"/>
      <c r="D90" s="342"/>
      <c r="E90" s="342"/>
      <c r="F90" s="342"/>
      <c r="G90" s="342"/>
      <c r="H90" s="342"/>
      <c r="I90" s="342"/>
      <c r="J90" s="342"/>
      <c r="K90" s="342"/>
      <c r="L90" s="342"/>
      <c r="M90" s="342"/>
      <c r="N90" s="342"/>
      <c r="O90" s="342"/>
      <c r="P90" s="342"/>
      <c r="Q90" s="342"/>
      <c r="R90" s="342"/>
      <c r="S90" s="342"/>
      <c r="T90" s="342"/>
      <c r="U90" s="342"/>
      <c r="V90" s="342"/>
      <c r="W90" s="342"/>
      <c r="X90" s="342"/>
    </row>
    <row r="91" spans="1:24" ht="12" customHeight="1" x14ac:dyDescent="0.2">
      <c r="A91" s="342"/>
      <c r="B91" s="342"/>
      <c r="C91" s="342"/>
      <c r="D91" s="342"/>
      <c r="E91" s="342"/>
      <c r="F91" s="342"/>
      <c r="G91" s="342"/>
      <c r="H91" s="342"/>
      <c r="I91" s="342"/>
      <c r="J91" s="342"/>
      <c r="K91" s="342"/>
      <c r="L91" s="342"/>
      <c r="M91" s="342"/>
      <c r="N91" s="342"/>
      <c r="O91" s="342"/>
      <c r="P91" s="342"/>
      <c r="Q91" s="342"/>
      <c r="R91" s="342"/>
      <c r="S91" s="342"/>
      <c r="T91" s="342"/>
      <c r="U91" s="342"/>
      <c r="V91" s="342"/>
      <c r="W91" s="342"/>
      <c r="X91" s="342"/>
    </row>
    <row r="92" spans="1:24" ht="12" customHeight="1" x14ac:dyDescent="0.2">
      <c r="A92" s="342"/>
      <c r="B92" s="342"/>
      <c r="C92" s="342"/>
      <c r="D92" s="342"/>
      <c r="E92" s="342"/>
      <c r="F92" s="342"/>
      <c r="G92" s="342"/>
      <c r="H92" s="342"/>
      <c r="I92" s="342"/>
      <c r="J92" s="342"/>
      <c r="K92" s="342"/>
      <c r="L92" s="342"/>
      <c r="M92" s="342"/>
      <c r="N92" s="342"/>
      <c r="O92" s="342"/>
      <c r="P92" s="342"/>
      <c r="Q92" s="342"/>
      <c r="R92" s="342"/>
      <c r="S92" s="342"/>
      <c r="T92" s="342"/>
      <c r="U92" s="342"/>
      <c r="V92" s="342"/>
      <c r="W92" s="342"/>
      <c r="X92" s="342"/>
    </row>
    <row r="93" spans="1:24" ht="12" customHeight="1" x14ac:dyDescent="0.2">
      <c r="A93" s="342"/>
      <c r="B93" s="342"/>
      <c r="C93" s="342"/>
      <c r="D93" s="342"/>
      <c r="E93" s="342"/>
      <c r="F93" s="342"/>
      <c r="G93" s="342"/>
      <c r="H93" s="342"/>
      <c r="I93" s="342"/>
      <c r="J93" s="342"/>
      <c r="K93" s="342"/>
      <c r="L93" s="342"/>
      <c r="M93" s="342"/>
      <c r="N93" s="342"/>
      <c r="O93" s="342"/>
      <c r="P93" s="342"/>
      <c r="Q93" s="342"/>
      <c r="R93" s="342"/>
      <c r="S93" s="342"/>
      <c r="T93" s="342"/>
      <c r="U93" s="342"/>
      <c r="V93" s="342"/>
      <c r="W93" s="342"/>
      <c r="X93" s="342"/>
    </row>
    <row r="94" spans="1:24" ht="12" customHeight="1" x14ac:dyDescent="0.2">
      <c r="A94" s="342"/>
      <c r="B94" s="342"/>
      <c r="C94" s="342"/>
      <c r="D94" s="342"/>
      <c r="E94" s="342"/>
      <c r="F94" s="342"/>
      <c r="G94" s="342"/>
      <c r="H94" s="342"/>
      <c r="I94" s="342"/>
      <c r="J94" s="342"/>
      <c r="K94" s="342"/>
      <c r="L94" s="342"/>
      <c r="M94" s="342"/>
      <c r="N94" s="342"/>
      <c r="O94" s="342"/>
      <c r="P94" s="342"/>
      <c r="Q94" s="342"/>
      <c r="R94" s="342"/>
      <c r="S94" s="342"/>
      <c r="T94" s="342"/>
      <c r="U94" s="342"/>
      <c r="V94" s="342"/>
      <c r="W94" s="342"/>
      <c r="X94" s="342"/>
    </row>
    <row r="95" spans="1:24" ht="12" customHeight="1" x14ac:dyDescent="0.2">
      <c r="A95" s="342"/>
      <c r="B95" s="342"/>
      <c r="C95" s="342"/>
      <c r="D95" s="342"/>
      <c r="E95" s="342"/>
      <c r="F95" s="342"/>
      <c r="G95" s="342"/>
      <c r="H95" s="342"/>
      <c r="I95" s="342"/>
      <c r="J95" s="342"/>
      <c r="K95" s="342"/>
      <c r="L95" s="342"/>
      <c r="M95" s="342"/>
      <c r="N95" s="342"/>
      <c r="O95" s="342"/>
      <c r="P95" s="342"/>
      <c r="Q95" s="342"/>
      <c r="R95" s="342"/>
      <c r="S95" s="342"/>
      <c r="T95" s="342"/>
      <c r="U95" s="342"/>
      <c r="V95" s="342"/>
      <c r="W95" s="342"/>
      <c r="X95" s="342"/>
    </row>
    <row r="96" spans="1:24" ht="12" customHeight="1" x14ac:dyDescent="0.2">
      <c r="A96" s="342"/>
      <c r="B96" s="342"/>
      <c r="C96" s="342"/>
      <c r="D96" s="342"/>
      <c r="E96" s="342"/>
      <c r="F96" s="342"/>
      <c r="G96" s="342"/>
      <c r="H96" s="342"/>
      <c r="I96" s="342"/>
      <c r="J96" s="342"/>
      <c r="K96" s="342"/>
      <c r="L96" s="342"/>
      <c r="M96" s="342"/>
      <c r="N96" s="342"/>
      <c r="O96" s="342"/>
      <c r="P96" s="342"/>
      <c r="Q96" s="342"/>
      <c r="R96" s="342"/>
      <c r="S96" s="342"/>
      <c r="T96" s="342"/>
      <c r="U96" s="342"/>
      <c r="V96" s="342"/>
      <c r="W96" s="342"/>
      <c r="X96" s="342"/>
    </row>
    <row r="97" spans="1:24" ht="12" customHeight="1" x14ac:dyDescent="0.2">
      <c r="A97" s="342"/>
      <c r="B97" s="342"/>
      <c r="C97" s="342"/>
      <c r="D97" s="342"/>
      <c r="E97" s="342"/>
      <c r="F97" s="342"/>
      <c r="G97" s="342"/>
      <c r="H97" s="342"/>
      <c r="I97" s="342"/>
      <c r="J97" s="342"/>
      <c r="K97" s="342"/>
      <c r="L97" s="342"/>
      <c r="M97" s="342"/>
      <c r="N97" s="342"/>
      <c r="O97" s="342"/>
      <c r="P97" s="342"/>
      <c r="Q97" s="342"/>
      <c r="R97" s="342"/>
      <c r="S97" s="342"/>
      <c r="T97" s="342"/>
      <c r="U97" s="342"/>
      <c r="V97" s="342"/>
      <c r="W97" s="342"/>
      <c r="X97" s="342"/>
    </row>
    <row r="98" spans="1:24" ht="12" customHeight="1" x14ac:dyDescent="0.2">
      <c r="A98" s="342"/>
      <c r="B98" s="342"/>
      <c r="C98" s="342"/>
      <c r="D98" s="342"/>
      <c r="E98" s="342"/>
      <c r="F98" s="342"/>
      <c r="G98" s="342"/>
      <c r="H98" s="342"/>
      <c r="I98" s="342"/>
      <c r="J98" s="342"/>
      <c r="K98" s="342"/>
      <c r="L98" s="342"/>
      <c r="M98" s="342"/>
      <c r="N98" s="342"/>
      <c r="O98" s="342"/>
      <c r="P98" s="342"/>
      <c r="Q98" s="342"/>
      <c r="R98" s="342"/>
      <c r="S98" s="342"/>
      <c r="T98" s="342"/>
      <c r="U98" s="342"/>
      <c r="V98" s="342"/>
      <c r="W98" s="342"/>
      <c r="X98" s="342"/>
    </row>
    <row r="99" spans="1:24" ht="12" customHeight="1" x14ac:dyDescent="0.2">
      <c r="A99" s="342"/>
      <c r="B99" s="342"/>
      <c r="C99" s="342"/>
      <c r="D99" s="342"/>
      <c r="E99" s="342"/>
      <c r="F99" s="342"/>
      <c r="G99" s="342"/>
      <c r="H99" s="342"/>
      <c r="I99" s="342"/>
      <c r="J99" s="342"/>
      <c r="K99" s="342"/>
      <c r="L99" s="342"/>
      <c r="M99" s="342"/>
      <c r="N99" s="342"/>
      <c r="O99" s="342"/>
      <c r="P99" s="342"/>
      <c r="Q99" s="342"/>
      <c r="R99" s="342"/>
      <c r="S99" s="342"/>
      <c r="T99" s="342"/>
      <c r="U99" s="342"/>
      <c r="V99" s="342"/>
      <c r="W99" s="342"/>
      <c r="X99" s="342"/>
    </row>
    <row r="100" spans="1:24" ht="12" customHeight="1" x14ac:dyDescent="0.2">
      <c r="A100" s="342"/>
      <c r="B100" s="342"/>
      <c r="C100" s="342"/>
      <c r="D100" s="342"/>
      <c r="E100" s="342"/>
      <c r="F100" s="342"/>
      <c r="G100" s="342"/>
      <c r="H100" s="342"/>
      <c r="I100" s="342"/>
      <c r="J100" s="342"/>
      <c r="K100" s="342"/>
      <c r="L100" s="342"/>
      <c r="M100" s="342"/>
      <c r="N100" s="342"/>
      <c r="O100" s="342"/>
      <c r="P100" s="342"/>
      <c r="Q100" s="342"/>
      <c r="R100" s="342"/>
      <c r="S100" s="342"/>
      <c r="T100" s="342"/>
      <c r="U100" s="342"/>
      <c r="V100" s="342"/>
      <c r="W100" s="342"/>
      <c r="X100" s="342"/>
    </row>
  </sheetData>
  <mergeCells count="4">
    <mergeCell ref="B4:C4"/>
    <mergeCell ref="D4:E4"/>
    <mergeCell ref="F4:G4"/>
    <mergeCell ref="H4:I4"/>
  </mergeCells>
  <printOptions horizontalCentered="1"/>
  <pageMargins left="0.25" right="0.25" top="0.75" bottom="0.75" header="0" footer="0"/>
  <pageSetup paperSize="9" orientation="landscape"/>
  <headerFooter>
    <oddHeader>&amp;CPROYECTO DE PRESUPUESTO 2021</oddHeader>
    <oddFooter>&amp;LPROYECTO DE PRESUPUESTO PARA EL AÑO FISCAL 2020 INFORMACIÓN PARA LA COMISIÓN DE PRESUPUESTO Y CUENTA GENERAL DE LA REPÚBLICA DEL CONGRESO DE LA REPÚBLICA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pageSetUpPr fitToPage="1"/>
  </sheetPr>
  <dimension ref="A1:AL149"/>
  <sheetViews>
    <sheetView showGridLines="0" workbookViewId="0">
      <pane ySplit="6" topLeftCell="A7" activePane="bottomLeft" state="frozen"/>
      <selection pane="bottomLeft" activeCell="B8" sqref="B8"/>
    </sheetView>
  </sheetViews>
  <sheetFormatPr baseColWidth="10" defaultColWidth="14.42578125" defaultRowHeight="15" customHeight="1" x14ac:dyDescent="0.2"/>
  <cols>
    <col min="1" max="1" width="50.5703125" customWidth="1"/>
    <col min="2" max="2" width="6.28515625" customWidth="1"/>
    <col min="3" max="3" width="12" customWidth="1"/>
    <col min="4" max="4" width="9.140625" customWidth="1"/>
    <col min="5" max="5" width="4.42578125" customWidth="1"/>
    <col min="6" max="6" width="5.42578125" customWidth="1"/>
    <col min="7" max="9" width="4.42578125" customWidth="1"/>
    <col min="10" max="10" width="9.7109375" customWidth="1"/>
    <col min="11" max="12" width="11.85546875" customWidth="1"/>
    <col min="13" max="13" width="10.42578125" customWidth="1"/>
    <col min="14" max="14" width="12" customWidth="1"/>
    <col min="15" max="15" width="13.140625" customWidth="1"/>
    <col min="16" max="16" width="13.85546875" customWidth="1"/>
    <col min="17" max="17" width="6.28515625" customWidth="1"/>
    <col min="18" max="18" width="11.85546875" customWidth="1"/>
    <col min="19" max="19" width="9.7109375" customWidth="1"/>
    <col min="20" max="20" width="4.42578125" customWidth="1"/>
    <col min="21" max="21" width="5.42578125" customWidth="1"/>
    <col min="22" max="24" width="4.42578125" customWidth="1"/>
    <col min="25" max="25" width="9.28515625" customWidth="1"/>
    <col min="26" max="26" width="12" customWidth="1"/>
    <col min="27" max="27" width="11.85546875" customWidth="1"/>
    <col min="28" max="28" width="10.7109375" customWidth="1"/>
    <col min="29" max="29" width="11.7109375" customWidth="1"/>
    <col min="30" max="30" width="12.7109375" customWidth="1"/>
    <col min="31" max="31" width="14.140625" customWidth="1"/>
    <col min="32" max="32" width="12.5703125" customWidth="1"/>
    <col min="33" max="33" width="12.85546875" customWidth="1"/>
    <col min="34" max="34" width="6.85546875" customWidth="1"/>
    <col min="35" max="35" width="14.140625" customWidth="1"/>
    <col min="36" max="38" width="11.42578125" customWidth="1"/>
  </cols>
  <sheetData>
    <row r="1" spans="1:38" ht="12" customHeight="1" x14ac:dyDescent="0.2">
      <c r="A1" s="250" t="s">
        <v>588</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214"/>
      <c r="AL1" s="214"/>
    </row>
    <row r="2" spans="1:38" ht="12" customHeight="1" x14ac:dyDescent="0.2">
      <c r="A2" s="16" t="s">
        <v>422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370"/>
      <c r="AF2" s="370"/>
      <c r="AG2" s="370"/>
      <c r="AH2" s="370"/>
      <c r="AI2" s="370"/>
      <c r="AJ2" s="370"/>
      <c r="AK2" s="214"/>
      <c r="AL2" s="214"/>
    </row>
    <row r="3" spans="1:38" ht="12" customHeight="1" x14ac:dyDescent="0.2">
      <c r="A3" s="251" t="s">
        <v>589</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48"/>
      <c r="AL3" s="48"/>
    </row>
    <row r="4" spans="1:38" ht="30.75" customHeight="1" x14ac:dyDescent="0.2">
      <c r="A4" s="831" t="s">
        <v>590</v>
      </c>
      <c r="B4" s="842" t="s">
        <v>591</v>
      </c>
      <c r="C4" s="824"/>
      <c r="D4" s="824"/>
      <c r="E4" s="824"/>
      <c r="F4" s="824"/>
      <c r="G4" s="824"/>
      <c r="H4" s="824"/>
      <c r="I4" s="824"/>
      <c r="J4" s="824"/>
      <c r="K4" s="824"/>
      <c r="L4" s="824"/>
      <c r="M4" s="824"/>
      <c r="N4" s="824"/>
      <c r="O4" s="824"/>
      <c r="P4" s="840"/>
      <c r="Q4" s="839" t="s">
        <v>592</v>
      </c>
      <c r="R4" s="824"/>
      <c r="S4" s="824"/>
      <c r="T4" s="824"/>
      <c r="U4" s="824"/>
      <c r="V4" s="824"/>
      <c r="W4" s="824"/>
      <c r="X4" s="824"/>
      <c r="Y4" s="824"/>
      <c r="Z4" s="824"/>
      <c r="AA4" s="824"/>
      <c r="AB4" s="824"/>
      <c r="AC4" s="824"/>
      <c r="AD4" s="824"/>
      <c r="AE4" s="814"/>
      <c r="AF4" s="843" t="s">
        <v>593</v>
      </c>
      <c r="AG4" s="814"/>
      <c r="AH4" s="843" t="s">
        <v>594</v>
      </c>
      <c r="AI4" s="814"/>
      <c r="AJ4" s="214"/>
      <c r="AK4" s="214"/>
      <c r="AL4" s="214"/>
    </row>
    <row r="5" spans="1:38" ht="148.5" customHeight="1" x14ac:dyDescent="0.2">
      <c r="A5" s="841"/>
      <c r="B5" s="371" t="s">
        <v>595</v>
      </c>
      <c r="C5" s="372" t="s">
        <v>596</v>
      </c>
      <c r="D5" s="373" t="s">
        <v>597</v>
      </c>
      <c r="E5" s="373" t="s">
        <v>598</v>
      </c>
      <c r="F5" s="373" t="s">
        <v>599</v>
      </c>
      <c r="G5" s="373" t="s">
        <v>600</v>
      </c>
      <c r="H5" s="373" t="s">
        <v>601</v>
      </c>
      <c r="I5" s="373" t="s">
        <v>602</v>
      </c>
      <c r="J5" s="373" t="s">
        <v>603</v>
      </c>
      <c r="K5" s="373" t="s">
        <v>604</v>
      </c>
      <c r="L5" s="373" t="s">
        <v>605</v>
      </c>
      <c r="M5" s="373" t="s">
        <v>606</v>
      </c>
      <c r="N5" s="374" t="s">
        <v>607</v>
      </c>
      <c r="O5" s="375" t="s">
        <v>608</v>
      </c>
      <c r="P5" s="376" t="s">
        <v>609</v>
      </c>
      <c r="Q5" s="371" t="s">
        <v>595</v>
      </c>
      <c r="R5" s="372" t="s">
        <v>596</v>
      </c>
      <c r="S5" s="373" t="s">
        <v>610</v>
      </c>
      <c r="T5" s="373" t="s">
        <v>598</v>
      </c>
      <c r="U5" s="373" t="s">
        <v>599</v>
      </c>
      <c r="V5" s="373" t="s">
        <v>600</v>
      </c>
      <c r="W5" s="373" t="s">
        <v>601</v>
      </c>
      <c r="X5" s="373" t="s">
        <v>602</v>
      </c>
      <c r="Y5" s="373" t="s">
        <v>603</v>
      </c>
      <c r="Z5" s="373" t="s">
        <v>604</v>
      </c>
      <c r="AA5" s="373" t="s">
        <v>605</v>
      </c>
      <c r="AB5" s="373" t="s">
        <v>606</v>
      </c>
      <c r="AC5" s="374" t="s">
        <v>607</v>
      </c>
      <c r="AD5" s="375" t="s">
        <v>608</v>
      </c>
      <c r="AE5" s="376" t="s">
        <v>611</v>
      </c>
      <c r="AF5" s="377" t="s">
        <v>612</v>
      </c>
      <c r="AG5" s="377" t="s">
        <v>613</v>
      </c>
      <c r="AH5" s="377" t="s">
        <v>595</v>
      </c>
      <c r="AI5" s="376" t="s">
        <v>614</v>
      </c>
      <c r="AJ5" s="214"/>
      <c r="AK5" s="214"/>
      <c r="AL5" s="214"/>
    </row>
    <row r="6" spans="1:38" ht="15.75" customHeight="1" x14ac:dyDescent="0.2">
      <c r="A6" s="820"/>
      <c r="B6" s="378" t="s">
        <v>615</v>
      </c>
      <c r="C6" s="379" t="s">
        <v>616</v>
      </c>
      <c r="D6" s="380" t="s">
        <v>617</v>
      </c>
      <c r="E6" s="380" t="s">
        <v>618</v>
      </c>
      <c r="F6" s="381" t="s">
        <v>619</v>
      </c>
      <c r="G6" s="381" t="s">
        <v>620</v>
      </c>
      <c r="H6" s="381" t="s">
        <v>621</v>
      </c>
      <c r="I6" s="381" t="s">
        <v>622</v>
      </c>
      <c r="J6" s="381" t="s">
        <v>623</v>
      </c>
      <c r="K6" s="381" t="s">
        <v>624</v>
      </c>
      <c r="L6" s="381" t="s">
        <v>625</v>
      </c>
      <c r="M6" s="381" t="s">
        <v>626</v>
      </c>
      <c r="N6" s="382" t="s">
        <v>627</v>
      </c>
      <c r="O6" s="383" t="s">
        <v>628</v>
      </c>
      <c r="P6" s="384" t="s">
        <v>629</v>
      </c>
      <c r="Q6" s="378" t="s">
        <v>615</v>
      </c>
      <c r="R6" s="379" t="s">
        <v>616</v>
      </c>
      <c r="S6" s="380" t="s">
        <v>617</v>
      </c>
      <c r="T6" s="380" t="s">
        <v>618</v>
      </c>
      <c r="U6" s="381" t="s">
        <v>619</v>
      </c>
      <c r="V6" s="381" t="s">
        <v>620</v>
      </c>
      <c r="W6" s="381" t="s">
        <v>621</v>
      </c>
      <c r="X6" s="381" t="s">
        <v>622</v>
      </c>
      <c r="Y6" s="381" t="s">
        <v>623</v>
      </c>
      <c r="Z6" s="381" t="s">
        <v>624</v>
      </c>
      <c r="AA6" s="381" t="s">
        <v>625</v>
      </c>
      <c r="AB6" s="381" t="s">
        <v>626</v>
      </c>
      <c r="AC6" s="382" t="s">
        <v>627</v>
      </c>
      <c r="AD6" s="383" t="s">
        <v>628</v>
      </c>
      <c r="AE6" s="384" t="s">
        <v>629</v>
      </c>
      <c r="AF6" s="385"/>
      <c r="AG6" s="378"/>
      <c r="AH6" s="385"/>
      <c r="AI6" s="378"/>
      <c r="AJ6" s="214"/>
      <c r="AK6" s="214"/>
      <c r="AL6" s="214"/>
    </row>
    <row r="7" spans="1:38" ht="24" customHeight="1" x14ac:dyDescent="0.2">
      <c r="A7" s="386" t="s">
        <v>440</v>
      </c>
      <c r="B7" s="387"/>
      <c r="C7" s="388"/>
      <c r="D7" s="388"/>
      <c r="E7" s="388"/>
      <c r="F7" s="388"/>
      <c r="G7" s="388"/>
      <c r="H7" s="388"/>
      <c r="I7" s="388"/>
      <c r="J7" s="388"/>
      <c r="K7" s="388"/>
      <c r="L7" s="388"/>
      <c r="M7" s="388"/>
      <c r="N7" s="388"/>
      <c r="O7" s="388"/>
      <c r="P7" s="389"/>
      <c r="Q7" s="388"/>
      <c r="R7" s="388"/>
      <c r="S7" s="388"/>
      <c r="T7" s="388"/>
      <c r="U7" s="388"/>
      <c r="V7" s="388"/>
      <c r="W7" s="388"/>
      <c r="X7" s="388"/>
      <c r="Y7" s="388"/>
      <c r="Z7" s="388"/>
      <c r="AA7" s="388"/>
      <c r="AB7" s="388"/>
      <c r="AC7" s="388"/>
      <c r="AD7" s="388"/>
      <c r="AE7" s="388"/>
      <c r="AF7" s="388"/>
      <c r="AG7" s="388"/>
      <c r="AH7" s="388"/>
      <c r="AI7" s="390"/>
      <c r="AJ7" s="214"/>
      <c r="AK7" s="214"/>
      <c r="AL7" s="214"/>
    </row>
    <row r="8" spans="1:38" ht="12" customHeight="1" x14ac:dyDescent="0.2">
      <c r="A8" s="391" t="s">
        <v>630</v>
      </c>
      <c r="B8" s="392"/>
      <c r="C8" s="393"/>
      <c r="D8" s="393"/>
      <c r="E8" s="393"/>
      <c r="F8" s="393"/>
      <c r="G8" s="393"/>
      <c r="H8" s="393"/>
      <c r="I8" s="393"/>
      <c r="J8" s="393"/>
      <c r="K8" s="393"/>
      <c r="L8" s="393"/>
      <c r="M8" s="393"/>
      <c r="N8" s="394"/>
      <c r="O8" s="395"/>
      <c r="P8" s="396"/>
      <c r="Q8" s="222"/>
      <c r="R8" s="393"/>
      <c r="S8" s="393"/>
      <c r="T8" s="393"/>
      <c r="U8" s="393"/>
      <c r="V8" s="393"/>
      <c r="W8" s="393"/>
      <c r="X8" s="393"/>
      <c r="Y8" s="393"/>
      <c r="Z8" s="393"/>
      <c r="AA8" s="393"/>
      <c r="AB8" s="393"/>
      <c r="AC8" s="394"/>
      <c r="AD8" s="395"/>
      <c r="AE8" s="397"/>
      <c r="AF8" s="397"/>
      <c r="AG8" s="222"/>
      <c r="AH8" s="397"/>
      <c r="AI8" s="222"/>
      <c r="AJ8" s="214"/>
      <c r="AK8" s="214"/>
      <c r="AL8" s="214"/>
    </row>
    <row r="9" spans="1:38" ht="12" customHeight="1" x14ac:dyDescent="0.2">
      <c r="A9" s="280" t="s">
        <v>441</v>
      </c>
      <c r="B9" s="277"/>
      <c r="C9" s="398"/>
      <c r="D9" s="398"/>
      <c r="E9" s="398"/>
      <c r="F9" s="398"/>
      <c r="G9" s="398"/>
      <c r="H9" s="398"/>
      <c r="I9" s="398"/>
      <c r="J9" s="398"/>
      <c r="K9" s="398"/>
      <c r="L9" s="398"/>
      <c r="M9" s="398"/>
      <c r="N9" s="214"/>
      <c r="O9" s="399"/>
      <c r="P9" s="279"/>
      <c r="Q9" s="229"/>
      <c r="R9" s="398"/>
      <c r="S9" s="398"/>
      <c r="T9" s="398"/>
      <c r="U9" s="398"/>
      <c r="V9" s="398"/>
      <c r="W9" s="398"/>
      <c r="X9" s="398"/>
      <c r="Y9" s="398"/>
      <c r="Z9" s="398"/>
      <c r="AA9" s="398"/>
      <c r="AB9" s="398"/>
      <c r="AC9" s="214"/>
      <c r="AD9" s="399"/>
      <c r="AE9" s="400"/>
      <c r="AF9" s="400"/>
      <c r="AG9" s="229"/>
      <c r="AH9" s="400"/>
      <c r="AI9" s="229"/>
      <c r="AJ9" s="214"/>
      <c r="AK9" s="214"/>
      <c r="AL9" s="214"/>
    </row>
    <row r="10" spans="1:38" ht="12" customHeight="1" x14ac:dyDescent="0.2">
      <c r="A10" s="401" t="s">
        <v>442</v>
      </c>
      <c r="B10" s="402">
        <v>1</v>
      </c>
      <c r="C10" s="403">
        <v>30000</v>
      </c>
      <c r="D10" s="403"/>
      <c r="E10" s="398"/>
      <c r="F10" s="398"/>
      <c r="G10" s="398"/>
      <c r="H10" s="398"/>
      <c r="I10" s="398"/>
      <c r="J10" s="398"/>
      <c r="K10" s="404">
        <f t="shared" ref="K10:K25" si="0">SUM(C10:J10)</f>
        <v>30000</v>
      </c>
      <c r="L10" s="404">
        <v>60000</v>
      </c>
      <c r="M10" s="398"/>
      <c r="N10" s="279">
        <f t="shared" ref="N10:N19" si="1">SUM(L10:M10)</f>
        <v>60000</v>
      </c>
      <c r="O10" s="405">
        <f t="shared" ref="O10:O25" si="2">(K10*12)+N10</f>
        <v>420000</v>
      </c>
      <c r="P10" s="279">
        <f t="shared" ref="P10:P18" si="3">B10*O10</f>
        <v>420000</v>
      </c>
      <c r="Q10" s="402">
        <v>1</v>
      </c>
      <c r="R10" s="403">
        <v>30000</v>
      </c>
      <c r="S10" s="403"/>
      <c r="T10" s="398"/>
      <c r="U10" s="406"/>
      <c r="V10" s="406"/>
      <c r="W10" s="406"/>
      <c r="X10" s="406"/>
      <c r="Y10" s="407"/>
      <c r="Z10" s="408">
        <f t="shared" ref="Z10:Z13" si="4">SUM(R10:Y10)</f>
        <v>30000</v>
      </c>
      <c r="AA10" s="408">
        <v>60000</v>
      </c>
      <c r="AB10" s="409"/>
      <c r="AC10" s="410">
        <f t="shared" ref="AC10:AC18" si="5">SUM(AA10:AB10)</f>
        <v>60000</v>
      </c>
      <c r="AD10" s="411">
        <f t="shared" ref="AD10:AD18" si="6">(Z10*12)+AC10</f>
        <v>420000</v>
      </c>
      <c r="AE10" s="412">
        <f t="shared" ref="AE10:AE18" si="7">Q10*AD10</f>
        <v>420000</v>
      </c>
      <c r="AF10" s="412">
        <f t="shared" ref="AF10:AG10" si="8">O10-AD10</f>
        <v>0</v>
      </c>
      <c r="AG10" s="413">
        <f t="shared" si="8"/>
        <v>0</v>
      </c>
      <c r="AH10" s="414">
        <v>1</v>
      </c>
      <c r="AI10" s="412">
        <v>420000</v>
      </c>
      <c r="AJ10" s="214"/>
      <c r="AK10" s="214"/>
      <c r="AL10" s="214"/>
    </row>
    <row r="11" spans="1:38" ht="12" customHeight="1" x14ac:dyDescent="0.2">
      <c r="A11" s="401" t="s">
        <v>443</v>
      </c>
      <c r="B11" s="277">
        <v>2</v>
      </c>
      <c r="C11" s="403">
        <v>28000</v>
      </c>
      <c r="D11" s="403"/>
      <c r="E11" s="398"/>
      <c r="F11" s="398"/>
      <c r="G11" s="398"/>
      <c r="H11" s="398"/>
      <c r="I11" s="398"/>
      <c r="J11" s="398"/>
      <c r="K11" s="404">
        <f t="shared" si="0"/>
        <v>28000</v>
      </c>
      <c r="L11" s="404">
        <v>56000</v>
      </c>
      <c r="M11" s="398"/>
      <c r="N11" s="279">
        <f t="shared" si="1"/>
        <v>56000</v>
      </c>
      <c r="O11" s="405">
        <f t="shared" si="2"/>
        <v>392000</v>
      </c>
      <c r="P11" s="279">
        <f t="shared" si="3"/>
        <v>784000</v>
      </c>
      <c r="Q11" s="277">
        <v>2</v>
      </c>
      <c r="R11" s="403">
        <v>28000</v>
      </c>
      <c r="S11" s="403"/>
      <c r="T11" s="398"/>
      <c r="U11" s="406"/>
      <c r="V11" s="406"/>
      <c r="W11" s="406"/>
      <c r="X11" s="406"/>
      <c r="Y11" s="409"/>
      <c r="Z11" s="408">
        <f t="shared" si="4"/>
        <v>28000</v>
      </c>
      <c r="AA11" s="408">
        <v>56000</v>
      </c>
      <c r="AB11" s="409"/>
      <c r="AC11" s="410">
        <f t="shared" si="5"/>
        <v>56000</v>
      </c>
      <c r="AD11" s="411">
        <f t="shared" si="6"/>
        <v>392000</v>
      </c>
      <c r="AE11" s="412">
        <f t="shared" si="7"/>
        <v>784000</v>
      </c>
      <c r="AF11" s="412">
        <f t="shared" ref="AF11:AG11" si="9">O11-AD11</f>
        <v>0</v>
      </c>
      <c r="AG11" s="413">
        <f t="shared" si="9"/>
        <v>0</v>
      </c>
      <c r="AH11" s="415">
        <v>2</v>
      </c>
      <c r="AI11" s="412">
        <v>784000</v>
      </c>
      <c r="AJ11" s="214"/>
      <c r="AK11" s="214"/>
      <c r="AL11" s="214"/>
    </row>
    <row r="12" spans="1:38" ht="12" customHeight="1" x14ac:dyDescent="0.2">
      <c r="A12" s="401" t="s">
        <v>444</v>
      </c>
      <c r="B12" s="277">
        <v>1</v>
      </c>
      <c r="C12" s="403">
        <v>25000</v>
      </c>
      <c r="D12" s="403"/>
      <c r="E12" s="398"/>
      <c r="F12" s="398"/>
      <c r="G12" s="398"/>
      <c r="H12" s="398"/>
      <c r="I12" s="398"/>
      <c r="J12" s="398"/>
      <c r="K12" s="404">
        <f t="shared" si="0"/>
        <v>25000</v>
      </c>
      <c r="L12" s="404">
        <v>50000</v>
      </c>
      <c r="M12" s="398"/>
      <c r="N12" s="279">
        <f t="shared" si="1"/>
        <v>50000</v>
      </c>
      <c r="O12" s="405">
        <f t="shared" si="2"/>
        <v>350000</v>
      </c>
      <c r="P12" s="279">
        <f t="shared" si="3"/>
        <v>350000</v>
      </c>
      <c r="Q12" s="277">
        <v>1</v>
      </c>
      <c r="R12" s="403">
        <v>25000</v>
      </c>
      <c r="S12" s="403"/>
      <c r="T12" s="398"/>
      <c r="U12" s="406"/>
      <c r="V12" s="406"/>
      <c r="W12" s="406"/>
      <c r="X12" s="406"/>
      <c r="Y12" s="409"/>
      <c r="Z12" s="408">
        <f t="shared" si="4"/>
        <v>25000</v>
      </c>
      <c r="AA12" s="408">
        <v>50000</v>
      </c>
      <c r="AB12" s="409"/>
      <c r="AC12" s="410">
        <f t="shared" si="5"/>
        <v>50000</v>
      </c>
      <c r="AD12" s="411">
        <f t="shared" si="6"/>
        <v>350000</v>
      </c>
      <c r="AE12" s="412">
        <f t="shared" si="7"/>
        <v>350000</v>
      </c>
      <c r="AF12" s="412">
        <f t="shared" ref="AF12:AG12" si="10">O12-AD12</f>
        <v>0</v>
      </c>
      <c r="AG12" s="413">
        <f t="shared" si="10"/>
        <v>0</v>
      </c>
      <c r="AH12" s="415">
        <v>1</v>
      </c>
      <c r="AI12" s="412">
        <v>350000</v>
      </c>
      <c r="AJ12" s="214"/>
      <c r="AK12" s="214"/>
      <c r="AL12" s="214"/>
    </row>
    <row r="13" spans="1:38" ht="12" customHeight="1" x14ac:dyDescent="0.2">
      <c r="A13" s="401" t="s">
        <v>445</v>
      </c>
      <c r="B13" s="277">
        <v>6</v>
      </c>
      <c r="C13" s="403">
        <v>1004.9</v>
      </c>
      <c r="D13" s="403">
        <v>5231</v>
      </c>
      <c r="E13" s="398"/>
      <c r="F13" s="398"/>
      <c r="G13" s="398"/>
      <c r="H13" s="398"/>
      <c r="I13" s="398"/>
      <c r="J13" s="398">
        <v>563.66</v>
      </c>
      <c r="K13" s="404">
        <f t="shared" si="0"/>
        <v>6799.5599999999995</v>
      </c>
      <c r="L13" s="404">
        <v>1000</v>
      </c>
      <c r="M13" s="398"/>
      <c r="N13" s="279">
        <f t="shared" si="1"/>
        <v>1000</v>
      </c>
      <c r="O13" s="405">
        <f t="shared" si="2"/>
        <v>82594.720000000001</v>
      </c>
      <c r="P13" s="279">
        <f t="shared" si="3"/>
        <v>495568.32</v>
      </c>
      <c r="Q13" s="277">
        <v>6</v>
      </c>
      <c r="R13" s="408">
        <f>59842.2/6/12</f>
        <v>831.14166666666654</v>
      </c>
      <c r="S13" s="416">
        <f>376632/12/6</f>
        <v>5231</v>
      </c>
      <c r="T13" s="398"/>
      <c r="U13" s="406"/>
      <c r="V13" s="406"/>
      <c r="W13" s="406"/>
      <c r="X13" s="406"/>
      <c r="Y13" s="417">
        <v>1096.33</v>
      </c>
      <c r="Z13" s="408">
        <f t="shared" si="4"/>
        <v>7158.4716666666664</v>
      </c>
      <c r="AA13" s="408">
        <v>1000</v>
      </c>
      <c r="AB13" s="409"/>
      <c r="AC13" s="410">
        <f t="shared" si="5"/>
        <v>1000</v>
      </c>
      <c r="AD13" s="411">
        <f t="shared" si="6"/>
        <v>86901.66</v>
      </c>
      <c r="AE13" s="412">
        <f t="shared" si="7"/>
        <v>521409.96</v>
      </c>
      <c r="AF13" s="412">
        <f t="shared" ref="AF13:AG13" si="11">O13-AD13</f>
        <v>-4306.9400000000023</v>
      </c>
      <c r="AG13" s="413">
        <f t="shared" si="11"/>
        <v>-25841.640000000014</v>
      </c>
      <c r="AH13" s="415">
        <v>6</v>
      </c>
      <c r="AI13" s="412">
        <v>514196.46</v>
      </c>
      <c r="AJ13" s="214"/>
      <c r="AK13" s="214"/>
      <c r="AL13" s="214"/>
    </row>
    <row r="14" spans="1:38" ht="12" customHeight="1" x14ac:dyDescent="0.2">
      <c r="A14" s="401" t="s">
        <v>631</v>
      </c>
      <c r="B14" s="277">
        <v>1</v>
      </c>
      <c r="C14" s="403">
        <f>3192.15-39.12+1.21</f>
        <v>3154.2400000000002</v>
      </c>
      <c r="D14" s="403">
        <v>5151</v>
      </c>
      <c r="E14" s="398"/>
      <c r="F14" s="398"/>
      <c r="G14" s="398"/>
      <c r="H14" s="398"/>
      <c r="I14" s="398"/>
      <c r="J14" s="398">
        <v>563.66</v>
      </c>
      <c r="K14" s="404">
        <f t="shared" si="0"/>
        <v>8868.9</v>
      </c>
      <c r="L14" s="404">
        <v>1000</v>
      </c>
      <c r="M14" s="398"/>
      <c r="N14" s="279">
        <f t="shared" si="1"/>
        <v>1000</v>
      </c>
      <c r="O14" s="405">
        <f t="shared" si="2"/>
        <v>107426.79999999999</v>
      </c>
      <c r="P14" s="279">
        <f t="shared" si="3"/>
        <v>107426.79999999999</v>
      </c>
      <c r="Q14" s="277">
        <v>0</v>
      </c>
      <c r="R14" s="403">
        <v>0</v>
      </c>
      <c r="S14" s="403">
        <v>0</v>
      </c>
      <c r="T14" s="398"/>
      <c r="U14" s="406"/>
      <c r="V14" s="406"/>
      <c r="W14" s="406"/>
      <c r="X14" s="406"/>
      <c r="Y14" s="418">
        <v>0</v>
      </c>
      <c r="Z14" s="408">
        <v>0</v>
      </c>
      <c r="AA14" s="408">
        <v>0</v>
      </c>
      <c r="AB14" s="409"/>
      <c r="AC14" s="410">
        <f t="shared" si="5"/>
        <v>0</v>
      </c>
      <c r="AD14" s="411">
        <f t="shared" si="6"/>
        <v>0</v>
      </c>
      <c r="AE14" s="412">
        <f t="shared" si="7"/>
        <v>0</v>
      </c>
      <c r="AF14" s="412">
        <f t="shared" ref="AF14:AG14" si="12">O14-AD14</f>
        <v>107426.79999999999</v>
      </c>
      <c r="AG14" s="413">
        <f t="shared" si="12"/>
        <v>107426.79999999999</v>
      </c>
      <c r="AH14" s="415"/>
      <c r="AI14" s="412"/>
      <c r="AJ14" s="214"/>
      <c r="AK14" s="214"/>
      <c r="AL14" s="214"/>
    </row>
    <row r="15" spans="1:38" ht="12" customHeight="1" x14ac:dyDescent="0.2">
      <c r="A15" s="401" t="s">
        <v>446</v>
      </c>
      <c r="B15" s="277">
        <v>2</v>
      </c>
      <c r="C15" s="403">
        <v>1015.7</v>
      </c>
      <c r="D15" s="403">
        <v>5151</v>
      </c>
      <c r="E15" s="398"/>
      <c r="F15" s="398"/>
      <c r="G15" s="398"/>
      <c r="H15" s="398"/>
      <c r="I15" s="398"/>
      <c r="J15" s="398">
        <v>563.66</v>
      </c>
      <c r="K15" s="404">
        <f t="shared" si="0"/>
        <v>6730.36</v>
      </c>
      <c r="L15" s="404">
        <v>1000</v>
      </c>
      <c r="M15" s="398"/>
      <c r="N15" s="279">
        <f t="shared" si="1"/>
        <v>1000</v>
      </c>
      <c r="O15" s="405">
        <f t="shared" si="2"/>
        <v>81764.319999999992</v>
      </c>
      <c r="P15" s="279">
        <f t="shared" si="3"/>
        <v>163528.63999999998</v>
      </c>
      <c r="Q15" s="277">
        <v>2</v>
      </c>
      <c r="R15" s="408">
        <f>22132.32/12/2</f>
        <v>922.18</v>
      </c>
      <c r="S15" s="416">
        <f>123624/12/2</f>
        <v>5151</v>
      </c>
      <c r="T15" s="398"/>
      <c r="U15" s="406"/>
      <c r="V15" s="406"/>
      <c r="W15" s="406"/>
      <c r="X15" s="406"/>
      <c r="Y15" s="417">
        <v>1096.33</v>
      </c>
      <c r="Z15" s="408">
        <f t="shared" ref="Z15:Z18" si="13">SUM(R15:Y15)</f>
        <v>7169.51</v>
      </c>
      <c r="AA15" s="408">
        <v>1000</v>
      </c>
      <c r="AB15" s="409"/>
      <c r="AC15" s="410">
        <f t="shared" si="5"/>
        <v>1000</v>
      </c>
      <c r="AD15" s="411">
        <f t="shared" si="6"/>
        <v>87034.12</v>
      </c>
      <c r="AE15" s="412">
        <f t="shared" si="7"/>
        <v>174068.24</v>
      </c>
      <c r="AF15" s="412">
        <f t="shared" ref="AF15:AG15" si="14">O15-AD15</f>
        <v>-5269.8000000000029</v>
      </c>
      <c r="AG15" s="413">
        <f t="shared" si="14"/>
        <v>-10539.600000000006</v>
      </c>
      <c r="AH15" s="415">
        <v>2</v>
      </c>
      <c r="AI15" s="412">
        <v>171663.74</v>
      </c>
      <c r="AJ15" s="214"/>
      <c r="AK15" s="214"/>
      <c r="AL15" s="214"/>
    </row>
    <row r="16" spans="1:38" ht="12" customHeight="1" x14ac:dyDescent="0.2">
      <c r="A16" s="401" t="s">
        <v>632</v>
      </c>
      <c r="B16" s="277">
        <f>12+6</f>
        <v>18</v>
      </c>
      <c r="C16" s="403">
        <v>916</v>
      </c>
      <c r="D16" s="403">
        <v>5071</v>
      </c>
      <c r="E16" s="398"/>
      <c r="F16" s="398"/>
      <c r="G16" s="398"/>
      <c r="H16" s="398"/>
      <c r="I16" s="398"/>
      <c r="J16" s="398">
        <v>563.66</v>
      </c>
      <c r="K16" s="404">
        <f t="shared" si="0"/>
        <v>6550.66</v>
      </c>
      <c r="L16" s="404">
        <v>1000</v>
      </c>
      <c r="M16" s="398"/>
      <c r="N16" s="279">
        <f t="shared" si="1"/>
        <v>1000</v>
      </c>
      <c r="O16" s="405">
        <f t="shared" si="2"/>
        <v>79607.92</v>
      </c>
      <c r="P16" s="279">
        <f t="shared" si="3"/>
        <v>1432942.56</v>
      </c>
      <c r="Q16" s="277">
        <v>14</v>
      </c>
      <c r="R16" s="408">
        <f>134167.92/12/14</f>
        <v>798.6185714285715</v>
      </c>
      <c r="S16" s="416">
        <f>851928/12/14</f>
        <v>5071</v>
      </c>
      <c r="T16" s="398"/>
      <c r="U16" s="406"/>
      <c r="V16" s="406"/>
      <c r="W16" s="406"/>
      <c r="X16" s="406"/>
      <c r="Y16" s="417">
        <v>1096.33</v>
      </c>
      <c r="Z16" s="408">
        <f t="shared" si="13"/>
        <v>6965.9485714285711</v>
      </c>
      <c r="AA16" s="408">
        <v>1000</v>
      </c>
      <c r="AB16" s="409"/>
      <c r="AC16" s="410">
        <f t="shared" si="5"/>
        <v>1000</v>
      </c>
      <c r="AD16" s="411">
        <f t="shared" si="6"/>
        <v>84591.38285714286</v>
      </c>
      <c r="AE16" s="412">
        <f t="shared" si="7"/>
        <v>1184279.3600000001</v>
      </c>
      <c r="AF16" s="412">
        <f t="shared" ref="AF16:AG16" si="15">O16-AD16</f>
        <v>-4983.462857142862</v>
      </c>
      <c r="AG16" s="413">
        <f t="shared" si="15"/>
        <v>248663.19999999995</v>
      </c>
      <c r="AH16" s="415">
        <v>14</v>
      </c>
      <c r="AI16" s="412">
        <v>1167447.8599999999</v>
      </c>
      <c r="AJ16" s="214"/>
      <c r="AK16" s="214"/>
      <c r="AL16" s="214"/>
    </row>
    <row r="17" spans="1:38" ht="12" customHeight="1" x14ac:dyDescent="0.2">
      <c r="A17" s="401" t="s">
        <v>448</v>
      </c>
      <c r="B17" s="277">
        <v>12</v>
      </c>
      <c r="C17" s="403">
        <v>915</v>
      </c>
      <c r="D17" s="403">
        <v>4198</v>
      </c>
      <c r="E17" s="398"/>
      <c r="F17" s="398"/>
      <c r="G17" s="398"/>
      <c r="H17" s="398"/>
      <c r="I17" s="398"/>
      <c r="J17" s="398">
        <v>563.66</v>
      </c>
      <c r="K17" s="404">
        <f t="shared" si="0"/>
        <v>5676.66</v>
      </c>
      <c r="L17" s="404">
        <v>1000</v>
      </c>
      <c r="M17" s="398"/>
      <c r="N17" s="279">
        <f t="shared" si="1"/>
        <v>1000</v>
      </c>
      <c r="O17" s="405">
        <f t="shared" si="2"/>
        <v>69119.92</v>
      </c>
      <c r="P17" s="279">
        <f t="shared" si="3"/>
        <v>829439.04</v>
      </c>
      <c r="Q17" s="277">
        <v>12</v>
      </c>
      <c r="R17" s="408">
        <f>126913.68/12/12</f>
        <v>881.34499999999991</v>
      </c>
      <c r="S17" s="416">
        <f>604512/12/12</f>
        <v>4198</v>
      </c>
      <c r="T17" s="398"/>
      <c r="U17" s="406"/>
      <c r="V17" s="406"/>
      <c r="W17" s="406"/>
      <c r="X17" s="406"/>
      <c r="Y17" s="417">
        <v>1096.33</v>
      </c>
      <c r="Z17" s="408">
        <f t="shared" si="13"/>
        <v>6175.6750000000002</v>
      </c>
      <c r="AA17" s="408">
        <v>1000</v>
      </c>
      <c r="AB17" s="409"/>
      <c r="AC17" s="410">
        <f t="shared" si="5"/>
        <v>1000</v>
      </c>
      <c r="AD17" s="411">
        <f t="shared" si="6"/>
        <v>75108.100000000006</v>
      </c>
      <c r="AE17" s="412">
        <f t="shared" si="7"/>
        <v>901297.20000000007</v>
      </c>
      <c r="AF17" s="412">
        <f t="shared" ref="AF17:AG17" si="16">O17-AD17</f>
        <v>-5988.1800000000076</v>
      </c>
      <c r="AG17" s="413">
        <f t="shared" si="16"/>
        <v>-71858.160000000033</v>
      </c>
      <c r="AH17" s="415">
        <v>12</v>
      </c>
      <c r="AI17" s="412">
        <v>886870.2</v>
      </c>
      <c r="AJ17" s="214"/>
      <c r="AK17" s="214"/>
      <c r="AL17" s="214"/>
    </row>
    <row r="18" spans="1:38" ht="12" customHeight="1" x14ac:dyDescent="0.2">
      <c r="A18" s="401" t="s">
        <v>449</v>
      </c>
      <c r="B18" s="277">
        <f>5+1</f>
        <v>6</v>
      </c>
      <c r="C18" s="403">
        <v>799.27</v>
      </c>
      <c r="D18" s="403">
        <v>3101</v>
      </c>
      <c r="E18" s="398"/>
      <c r="F18" s="398"/>
      <c r="G18" s="398"/>
      <c r="H18" s="398"/>
      <c r="I18" s="398"/>
      <c r="J18" s="398">
        <v>563.66</v>
      </c>
      <c r="K18" s="404">
        <f t="shared" si="0"/>
        <v>4463.93</v>
      </c>
      <c r="L18" s="404">
        <v>1000</v>
      </c>
      <c r="M18" s="398"/>
      <c r="N18" s="279">
        <f t="shared" si="1"/>
        <v>1000</v>
      </c>
      <c r="O18" s="405">
        <f t="shared" si="2"/>
        <v>54567.16</v>
      </c>
      <c r="P18" s="279">
        <f t="shared" si="3"/>
        <v>327402.96000000002</v>
      </c>
      <c r="Q18" s="277">
        <f>5+1</f>
        <v>6</v>
      </c>
      <c r="R18" s="408">
        <f>56749.32/12/6</f>
        <v>788.18499999999995</v>
      </c>
      <c r="S18" s="416">
        <f>223272/12/6</f>
        <v>3101</v>
      </c>
      <c r="T18" s="398"/>
      <c r="U18" s="406"/>
      <c r="V18" s="406"/>
      <c r="W18" s="406"/>
      <c r="X18" s="406"/>
      <c r="Y18" s="417">
        <v>1096.33</v>
      </c>
      <c r="Z18" s="408">
        <f t="shared" si="13"/>
        <v>4985.5149999999994</v>
      </c>
      <c r="AA18" s="408">
        <v>1000</v>
      </c>
      <c r="AB18" s="409"/>
      <c r="AC18" s="410">
        <f t="shared" si="5"/>
        <v>1000</v>
      </c>
      <c r="AD18" s="411">
        <f t="shared" si="6"/>
        <v>60826.179999999993</v>
      </c>
      <c r="AE18" s="412">
        <f t="shared" si="7"/>
        <v>364957.07999999996</v>
      </c>
      <c r="AF18" s="412">
        <f t="shared" ref="AF18:AG18" si="17">O18-AD18</f>
        <v>-6259.0199999999895</v>
      </c>
      <c r="AG18" s="413">
        <f t="shared" si="17"/>
        <v>-37554.119999999937</v>
      </c>
      <c r="AH18" s="415">
        <f>5+1</f>
        <v>6</v>
      </c>
      <c r="AI18" s="412">
        <v>357743.58</v>
      </c>
      <c r="AJ18" s="214"/>
      <c r="AK18" s="214"/>
      <c r="AL18" s="214"/>
    </row>
    <row r="19" spans="1:38" ht="12" customHeight="1" x14ac:dyDescent="0.2">
      <c r="A19" s="401" t="s">
        <v>633</v>
      </c>
      <c r="B19" s="277">
        <v>55</v>
      </c>
      <c r="C19" s="403">
        <v>794950</v>
      </c>
      <c r="D19" s="403">
        <v>0</v>
      </c>
      <c r="E19" s="398">
        <v>0</v>
      </c>
      <c r="F19" s="398">
        <v>0</v>
      </c>
      <c r="G19" s="398">
        <v>0</v>
      </c>
      <c r="H19" s="398">
        <v>0</v>
      </c>
      <c r="I19" s="398">
        <v>0</v>
      </c>
      <c r="J19" s="398">
        <v>0</v>
      </c>
      <c r="K19" s="404">
        <f t="shared" si="0"/>
        <v>794950</v>
      </c>
      <c r="L19" s="404">
        <v>33800</v>
      </c>
      <c r="M19" s="398">
        <v>19250</v>
      </c>
      <c r="N19" s="279">
        <f t="shared" si="1"/>
        <v>53050</v>
      </c>
      <c r="O19" s="405">
        <f t="shared" si="2"/>
        <v>9592450</v>
      </c>
      <c r="P19" s="279">
        <v>9744500</v>
      </c>
      <c r="Q19" s="277">
        <v>55</v>
      </c>
      <c r="R19" s="408">
        <v>804250</v>
      </c>
      <c r="S19" s="416">
        <v>0</v>
      </c>
      <c r="T19" s="398"/>
      <c r="U19" s="406"/>
      <c r="V19" s="406"/>
      <c r="W19" s="406"/>
      <c r="X19" s="406"/>
      <c r="Y19" s="417">
        <v>0</v>
      </c>
      <c r="Z19" s="408">
        <v>804250</v>
      </c>
      <c r="AA19" s="408">
        <v>33800</v>
      </c>
      <c r="AB19" s="409">
        <v>19250</v>
      </c>
      <c r="AC19" s="410">
        <v>53050</v>
      </c>
      <c r="AD19" s="411">
        <v>9704050</v>
      </c>
      <c r="AE19" s="412">
        <v>9856100</v>
      </c>
      <c r="AF19" s="412">
        <v>-111600</v>
      </c>
      <c r="AG19" s="413">
        <v>-111600</v>
      </c>
      <c r="AH19" s="415">
        <v>61</v>
      </c>
      <c r="AI19" s="412">
        <v>11184896.120000001</v>
      </c>
      <c r="AJ19" s="214"/>
      <c r="AK19" s="214"/>
      <c r="AL19" s="214"/>
    </row>
    <row r="20" spans="1:38" ht="12" customHeight="1" x14ac:dyDescent="0.2">
      <c r="A20" s="419" t="s">
        <v>452</v>
      </c>
      <c r="B20" s="420"/>
      <c r="C20" s="403"/>
      <c r="D20" s="403"/>
      <c r="E20" s="398"/>
      <c r="F20" s="398"/>
      <c r="G20" s="398"/>
      <c r="H20" s="398"/>
      <c r="I20" s="398"/>
      <c r="J20" s="398"/>
      <c r="K20" s="404">
        <f t="shared" si="0"/>
        <v>0</v>
      </c>
      <c r="L20" s="404"/>
      <c r="M20" s="398"/>
      <c r="N20" s="214"/>
      <c r="O20" s="405">
        <f t="shared" si="2"/>
        <v>0</v>
      </c>
      <c r="P20" s="279"/>
      <c r="Q20" s="277"/>
      <c r="R20" s="403"/>
      <c r="S20" s="403"/>
      <c r="T20" s="398"/>
      <c r="U20" s="406"/>
      <c r="V20" s="406"/>
      <c r="W20" s="406"/>
      <c r="X20" s="406"/>
      <c r="Y20" s="418"/>
      <c r="Z20" s="408">
        <f t="shared" ref="Z20:Z25" si="18">SUM(R20:Y20)</f>
        <v>0</v>
      </c>
      <c r="AA20" s="408"/>
      <c r="AB20" s="409"/>
      <c r="AC20" s="421"/>
      <c r="AD20" s="411"/>
      <c r="AE20" s="412"/>
      <c r="AF20" s="412">
        <f t="shared" ref="AF20:AG20" si="19">O20-AD20</f>
        <v>0</v>
      </c>
      <c r="AG20" s="413">
        <f t="shared" si="19"/>
        <v>0</v>
      </c>
      <c r="AH20" s="415"/>
      <c r="AI20" s="412"/>
      <c r="AJ20" s="214"/>
      <c r="AK20" s="214"/>
      <c r="AL20" s="214"/>
    </row>
    <row r="21" spans="1:38" ht="12" customHeight="1" x14ac:dyDescent="0.2">
      <c r="A21" s="401" t="s">
        <v>453</v>
      </c>
      <c r="B21" s="277">
        <f>2+1</f>
        <v>3</v>
      </c>
      <c r="C21" s="403">
        <v>2048</v>
      </c>
      <c r="D21" s="403">
        <v>3021</v>
      </c>
      <c r="E21" s="398"/>
      <c r="F21" s="398"/>
      <c r="G21" s="398"/>
      <c r="H21" s="398"/>
      <c r="I21" s="398"/>
      <c r="J21" s="398">
        <v>563.66</v>
      </c>
      <c r="K21" s="404">
        <f t="shared" si="0"/>
        <v>5632.66</v>
      </c>
      <c r="L21" s="404">
        <v>1000</v>
      </c>
      <c r="M21" s="398"/>
      <c r="N21" s="279">
        <f t="shared" ref="N21:N25" si="20">SUM(L21:M21)</f>
        <v>1000</v>
      </c>
      <c r="O21" s="405">
        <f t="shared" si="2"/>
        <v>68591.92</v>
      </c>
      <c r="P21" s="279">
        <f t="shared" ref="P21:P25" si="21">B21*O21</f>
        <v>205775.76</v>
      </c>
      <c r="Q21" s="277">
        <v>2</v>
      </c>
      <c r="R21" s="408">
        <f>65131.56/12/2</f>
        <v>2713.8150000000001</v>
      </c>
      <c r="S21" s="416">
        <f t="shared" ref="S21:S25" si="22">72504/12/2</f>
        <v>3021</v>
      </c>
      <c r="T21" s="398"/>
      <c r="U21" s="406"/>
      <c r="V21" s="406"/>
      <c r="W21" s="406"/>
      <c r="X21" s="406"/>
      <c r="Y21" s="417">
        <v>1096.33</v>
      </c>
      <c r="Z21" s="408">
        <f t="shared" si="18"/>
        <v>6831.1450000000004</v>
      </c>
      <c r="AA21" s="408">
        <v>1000</v>
      </c>
      <c r="AB21" s="409"/>
      <c r="AC21" s="410">
        <f t="shared" ref="AC21:AC25" si="23">SUM(AA21:AB21)</f>
        <v>1000</v>
      </c>
      <c r="AD21" s="411">
        <f t="shared" ref="AD21:AD26" si="24">(Z21*12)+AC21</f>
        <v>82973.740000000005</v>
      </c>
      <c r="AE21" s="412">
        <f t="shared" ref="AE21:AE25" si="25">Q21*AD21</f>
        <v>165947.48000000001</v>
      </c>
      <c r="AF21" s="412">
        <f t="shared" ref="AF21:AG21" si="26">O21-AD21</f>
        <v>-14381.820000000007</v>
      </c>
      <c r="AG21" s="413">
        <f t="shared" si="26"/>
        <v>39828.28</v>
      </c>
      <c r="AH21" s="415">
        <v>2</v>
      </c>
      <c r="AI21" s="412">
        <v>163542.97999999998</v>
      </c>
      <c r="AJ21" s="214"/>
      <c r="AK21" s="214"/>
      <c r="AL21" s="214"/>
    </row>
    <row r="22" spans="1:38" ht="12" customHeight="1" x14ac:dyDescent="0.2">
      <c r="A22" s="401" t="s">
        <v>454</v>
      </c>
      <c r="B22" s="277">
        <f>1+1</f>
        <v>2</v>
      </c>
      <c r="C22" s="403">
        <v>1850</v>
      </c>
      <c r="D22" s="403">
        <v>3021</v>
      </c>
      <c r="E22" s="398"/>
      <c r="F22" s="398"/>
      <c r="G22" s="398"/>
      <c r="H22" s="398"/>
      <c r="I22" s="398"/>
      <c r="J22" s="398">
        <v>563.66</v>
      </c>
      <c r="K22" s="404">
        <f t="shared" si="0"/>
        <v>5434.66</v>
      </c>
      <c r="L22" s="404">
        <v>1000</v>
      </c>
      <c r="M22" s="398"/>
      <c r="N22" s="279">
        <f t="shared" si="20"/>
        <v>1000</v>
      </c>
      <c r="O22" s="405">
        <f t="shared" si="2"/>
        <v>66215.92</v>
      </c>
      <c r="P22" s="279">
        <f t="shared" si="21"/>
        <v>132431.84</v>
      </c>
      <c r="Q22" s="277">
        <f>1+1</f>
        <v>2</v>
      </c>
      <c r="R22" s="408">
        <f>44389.44/12/2</f>
        <v>1849.5600000000002</v>
      </c>
      <c r="S22" s="416">
        <f t="shared" si="22"/>
        <v>3021</v>
      </c>
      <c r="T22" s="398"/>
      <c r="U22" s="406"/>
      <c r="V22" s="406"/>
      <c r="W22" s="406"/>
      <c r="X22" s="406"/>
      <c r="Y22" s="417">
        <v>1096.33</v>
      </c>
      <c r="Z22" s="408">
        <f t="shared" si="18"/>
        <v>5966.89</v>
      </c>
      <c r="AA22" s="408">
        <v>1000</v>
      </c>
      <c r="AB22" s="409"/>
      <c r="AC22" s="410">
        <f t="shared" si="23"/>
        <v>1000</v>
      </c>
      <c r="AD22" s="411">
        <f t="shared" si="24"/>
        <v>72602.680000000008</v>
      </c>
      <c r="AE22" s="412">
        <f t="shared" si="25"/>
        <v>145205.36000000002</v>
      </c>
      <c r="AF22" s="412">
        <f t="shared" ref="AF22:AG22" si="27">O22-AD22</f>
        <v>-6386.7600000000093</v>
      </c>
      <c r="AG22" s="413">
        <f t="shared" si="27"/>
        <v>-12773.520000000019</v>
      </c>
      <c r="AH22" s="415">
        <f>1+1</f>
        <v>2</v>
      </c>
      <c r="AI22" s="412">
        <v>142800.85999999999</v>
      </c>
      <c r="AJ22" s="214"/>
      <c r="AK22" s="214"/>
      <c r="AL22" s="214"/>
    </row>
    <row r="23" spans="1:38" ht="12" customHeight="1" x14ac:dyDescent="0.2">
      <c r="A23" s="401" t="s">
        <v>455</v>
      </c>
      <c r="B23" s="277">
        <v>3</v>
      </c>
      <c r="C23" s="403">
        <v>610.54</v>
      </c>
      <c r="D23" s="403">
        <v>3021</v>
      </c>
      <c r="E23" s="398"/>
      <c r="F23" s="398"/>
      <c r="G23" s="398"/>
      <c r="H23" s="398"/>
      <c r="I23" s="398"/>
      <c r="J23" s="398">
        <v>563.66</v>
      </c>
      <c r="K23" s="404">
        <f t="shared" si="0"/>
        <v>4195.2</v>
      </c>
      <c r="L23" s="404">
        <v>1000</v>
      </c>
      <c r="M23" s="398"/>
      <c r="N23" s="279">
        <f t="shared" si="20"/>
        <v>1000</v>
      </c>
      <c r="O23" s="405">
        <f t="shared" si="2"/>
        <v>51342.399999999994</v>
      </c>
      <c r="P23" s="279">
        <f t="shared" si="21"/>
        <v>154027.19999999998</v>
      </c>
      <c r="Q23" s="277">
        <v>2</v>
      </c>
      <c r="R23" s="408">
        <f>15570.48/12/2</f>
        <v>648.77</v>
      </c>
      <c r="S23" s="416">
        <f t="shared" si="22"/>
        <v>3021</v>
      </c>
      <c r="T23" s="398"/>
      <c r="U23" s="406"/>
      <c r="V23" s="406"/>
      <c r="W23" s="406"/>
      <c r="X23" s="406"/>
      <c r="Y23" s="417">
        <v>1096.33</v>
      </c>
      <c r="Z23" s="408">
        <f t="shared" si="18"/>
        <v>4766.1000000000004</v>
      </c>
      <c r="AA23" s="408">
        <v>1000</v>
      </c>
      <c r="AB23" s="409"/>
      <c r="AC23" s="410">
        <f t="shared" si="23"/>
        <v>1000</v>
      </c>
      <c r="AD23" s="411">
        <f t="shared" si="24"/>
        <v>58193.200000000004</v>
      </c>
      <c r="AE23" s="412">
        <f t="shared" si="25"/>
        <v>116386.40000000001</v>
      </c>
      <c r="AF23" s="412">
        <f t="shared" ref="AF23:AG23" si="28">O23-AD23</f>
        <v>-6850.8000000000102</v>
      </c>
      <c r="AG23" s="413">
        <f t="shared" si="28"/>
        <v>37640.799999999974</v>
      </c>
      <c r="AH23" s="415">
        <v>2</v>
      </c>
      <c r="AI23" s="412">
        <v>113981.9</v>
      </c>
      <c r="AJ23" s="214"/>
      <c r="AK23" s="214"/>
      <c r="AL23" s="214"/>
    </row>
    <row r="24" spans="1:38" ht="12" customHeight="1" x14ac:dyDescent="0.2">
      <c r="A24" s="401" t="s">
        <v>456</v>
      </c>
      <c r="B24" s="277">
        <v>2</v>
      </c>
      <c r="C24" s="403">
        <v>623.11</v>
      </c>
      <c r="D24" s="403">
        <v>3021</v>
      </c>
      <c r="E24" s="398"/>
      <c r="F24" s="398"/>
      <c r="G24" s="398"/>
      <c r="H24" s="398"/>
      <c r="I24" s="398"/>
      <c r="J24" s="398">
        <v>563.66</v>
      </c>
      <c r="K24" s="404">
        <f t="shared" si="0"/>
        <v>4207.7700000000004</v>
      </c>
      <c r="L24" s="404">
        <v>1000</v>
      </c>
      <c r="M24" s="398"/>
      <c r="N24" s="279">
        <f t="shared" si="20"/>
        <v>1000</v>
      </c>
      <c r="O24" s="405">
        <f t="shared" si="2"/>
        <v>51493.240000000005</v>
      </c>
      <c r="P24" s="279">
        <f t="shared" si="21"/>
        <v>102986.48000000001</v>
      </c>
      <c r="Q24" s="277">
        <v>2</v>
      </c>
      <c r="R24" s="408">
        <f>15243.48/12/2</f>
        <v>635.14499999999998</v>
      </c>
      <c r="S24" s="416">
        <f t="shared" si="22"/>
        <v>3021</v>
      </c>
      <c r="T24" s="398"/>
      <c r="U24" s="406"/>
      <c r="V24" s="406"/>
      <c r="W24" s="406"/>
      <c r="X24" s="406"/>
      <c r="Y24" s="417">
        <v>1096.33</v>
      </c>
      <c r="Z24" s="408">
        <f t="shared" si="18"/>
        <v>4752.4750000000004</v>
      </c>
      <c r="AA24" s="408">
        <v>1000</v>
      </c>
      <c r="AB24" s="409"/>
      <c r="AC24" s="410">
        <f t="shared" si="23"/>
        <v>1000</v>
      </c>
      <c r="AD24" s="411">
        <f t="shared" si="24"/>
        <v>58029.700000000004</v>
      </c>
      <c r="AE24" s="412">
        <f t="shared" si="25"/>
        <v>116059.40000000001</v>
      </c>
      <c r="AF24" s="412">
        <f t="shared" ref="AF24:AG24" si="29">O24-AD24</f>
        <v>-6536.4599999999991</v>
      </c>
      <c r="AG24" s="413">
        <f t="shared" si="29"/>
        <v>-13072.919999999998</v>
      </c>
      <c r="AH24" s="415">
        <v>2</v>
      </c>
      <c r="AI24" s="412">
        <v>113654.9</v>
      </c>
      <c r="AJ24" s="214"/>
      <c r="AK24" s="214"/>
      <c r="AL24" s="214"/>
    </row>
    <row r="25" spans="1:38" ht="12" customHeight="1" x14ac:dyDescent="0.2">
      <c r="A25" s="401" t="s">
        <v>457</v>
      </c>
      <c r="B25" s="277">
        <v>2</v>
      </c>
      <c r="C25" s="403">
        <v>794.12</v>
      </c>
      <c r="D25" s="403">
        <v>3021</v>
      </c>
      <c r="E25" s="398"/>
      <c r="F25" s="398"/>
      <c r="G25" s="398"/>
      <c r="H25" s="398"/>
      <c r="I25" s="398"/>
      <c r="J25" s="398">
        <v>563.66</v>
      </c>
      <c r="K25" s="404">
        <f t="shared" si="0"/>
        <v>4378.78</v>
      </c>
      <c r="L25" s="404">
        <v>1000</v>
      </c>
      <c r="M25" s="398"/>
      <c r="N25" s="279">
        <f t="shared" si="20"/>
        <v>1000</v>
      </c>
      <c r="O25" s="405">
        <f t="shared" si="2"/>
        <v>53545.36</v>
      </c>
      <c r="P25" s="279">
        <f t="shared" si="21"/>
        <v>107090.72</v>
      </c>
      <c r="Q25" s="277">
        <v>2</v>
      </c>
      <c r="R25" s="408">
        <f>19358.4/12/2</f>
        <v>806.6</v>
      </c>
      <c r="S25" s="416">
        <f t="shared" si="22"/>
        <v>3021</v>
      </c>
      <c r="T25" s="398"/>
      <c r="U25" s="406"/>
      <c r="V25" s="406"/>
      <c r="W25" s="406"/>
      <c r="X25" s="406"/>
      <c r="Y25" s="417">
        <v>1096.33</v>
      </c>
      <c r="Z25" s="408">
        <f t="shared" si="18"/>
        <v>4923.93</v>
      </c>
      <c r="AA25" s="408">
        <v>1000</v>
      </c>
      <c r="AB25" s="409"/>
      <c r="AC25" s="410">
        <f t="shared" si="23"/>
        <v>1000</v>
      </c>
      <c r="AD25" s="411">
        <f t="shared" si="24"/>
        <v>60087.16</v>
      </c>
      <c r="AE25" s="412">
        <f t="shared" si="25"/>
        <v>120174.32</v>
      </c>
      <c r="AF25" s="412">
        <f t="shared" ref="AF25:AG25" si="30">O25-AD25</f>
        <v>-6541.8000000000029</v>
      </c>
      <c r="AG25" s="413">
        <f t="shared" si="30"/>
        <v>-13083.600000000006</v>
      </c>
      <c r="AH25" s="415">
        <v>2</v>
      </c>
      <c r="AI25" s="412">
        <v>117769.81999999999</v>
      </c>
      <c r="AJ25" s="214"/>
      <c r="AK25" s="214"/>
      <c r="AL25" s="214"/>
    </row>
    <row r="26" spans="1:38" ht="12" customHeight="1" x14ac:dyDescent="0.2">
      <c r="A26" s="401" t="s">
        <v>634</v>
      </c>
      <c r="B26" s="420"/>
      <c r="C26" s="403"/>
      <c r="D26" s="403"/>
      <c r="E26" s="398"/>
      <c r="F26" s="398"/>
      <c r="G26" s="398"/>
      <c r="H26" s="398"/>
      <c r="I26" s="398"/>
      <c r="J26" s="398"/>
      <c r="K26" s="404"/>
      <c r="L26" s="404"/>
      <c r="M26" s="398"/>
      <c r="N26" s="279"/>
      <c r="O26" s="405"/>
      <c r="P26" s="279"/>
      <c r="Q26" s="277"/>
      <c r="R26" s="403"/>
      <c r="S26" s="403"/>
      <c r="T26" s="398"/>
      <c r="U26" s="406"/>
      <c r="V26" s="406"/>
      <c r="W26" s="406"/>
      <c r="X26" s="406"/>
      <c r="Y26" s="418"/>
      <c r="Z26" s="408"/>
      <c r="AA26" s="408"/>
      <c r="AB26" s="409"/>
      <c r="AC26" s="421"/>
      <c r="AD26" s="411">
        <f t="shared" si="24"/>
        <v>0</v>
      </c>
      <c r="AE26" s="412"/>
      <c r="AF26" s="412">
        <f t="shared" ref="AF26:AG26" si="31">O26-AD26</f>
        <v>0</v>
      </c>
      <c r="AG26" s="413">
        <f t="shared" si="31"/>
        <v>0</v>
      </c>
      <c r="AH26" s="415"/>
      <c r="AI26" s="412"/>
      <c r="AJ26" s="214"/>
      <c r="AK26" s="214"/>
      <c r="AL26" s="214"/>
    </row>
    <row r="27" spans="1:38" ht="12" customHeight="1" x14ac:dyDescent="0.2">
      <c r="A27" s="277" t="s">
        <v>635</v>
      </c>
      <c r="B27" s="277">
        <v>33</v>
      </c>
      <c r="C27" s="398"/>
      <c r="D27" s="398"/>
      <c r="E27" s="398"/>
      <c r="F27" s="398"/>
      <c r="G27" s="398"/>
      <c r="H27" s="398"/>
      <c r="I27" s="398"/>
      <c r="J27" s="398"/>
      <c r="K27" s="404"/>
      <c r="L27" s="398"/>
      <c r="M27" s="398"/>
      <c r="N27" s="279"/>
      <c r="O27" s="405"/>
      <c r="P27" s="279">
        <v>3851905</v>
      </c>
      <c r="Q27" s="277">
        <v>52</v>
      </c>
      <c r="R27" s="408"/>
      <c r="S27" s="416"/>
      <c r="T27" s="398"/>
      <c r="U27" s="406"/>
      <c r="V27" s="406"/>
      <c r="W27" s="406"/>
      <c r="X27" s="406"/>
      <c r="Y27" s="417"/>
      <c r="Z27" s="408"/>
      <c r="AA27" s="408"/>
      <c r="AB27" s="409"/>
      <c r="AC27" s="410"/>
      <c r="AD27" s="411"/>
      <c r="AE27" s="412">
        <v>5978000</v>
      </c>
      <c r="AF27" s="412">
        <f t="shared" ref="AF27:AG27" si="32">O27-AD27</f>
        <v>0</v>
      </c>
      <c r="AG27" s="413">
        <f t="shared" si="32"/>
        <v>-2126095</v>
      </c>
      <c r="AH27" s="415">
        <v>52</v>
      </c>
      <c r="AI27" s="412">
        <v>5978000</v>
      </c>
      <c r="AJ27" s="214"/>
      <c r="AK27" s="214"/>
      <c r="AL27" s="214"/>
    </row>
    <row r="28" spans="1:38" ht="12" customHeight="1" x14ac:dyDescent="0.2">
      <c r="A28" s="401" t="s">
        <v>633</v>
      </c>
      <c r="B28" s="277">
        <v>471</v>
      </c>
      <c r="C28" s="403">
        <v>3995591.8</v>
      </c>
      <c r="D28" s="403"/>
      <c r="E28" s="398"/>
      <c r="F28" s="398"/>
      <c r="G28" s="398"/>
      <c r="H28" s="398"/>
      <c r="I28" s="398"/>
      <c r="J28" s="398"/>
      <c r="K28" s="404">
        <f t="shared" ref="K28:K33" si="33">SUM(C28:J28)</f>
        <v>3995591.8</v>
      </c>
      <c r="L28" s="404">
        <v>68918</v>
      </c>
      <c r="M28" s="403">
        <v>39035.5</v>
      </c>
      <c r="N28" s="279">
        <f>SUM(L28:M28)</f>
        <v>107953.5</v>
      </c>
      <c r="O28" s="405">
        <f t="shared" ref="O28:O51" si="34">(K28*12)+N28</f>
        <v>48055055.099999994</v>
      </c>
      <c r="P28" s="279">
        <v>48808075.5</v>
      </c>
      <c r="Q28" s="277">
        <v>524</v>
      </c>
      <c r="R28" s="408">
        <v>4302691.8</v>
      </c>
      <c r="S28" s="416"/>
      <c r="T28" s="398"/>
      <c r="U28" s="406"/>
      <c r="V28" s="406"/>
      <c r="W28" s="406"/>
      <c r="X28" s="406"/>
      <c r="Y28" s="417"/>
      <c r="Z28" s="408">
        <v>4302691.8</v>
      </c>
      <c r="AA28" s="408">
        <v>68918</v>
      </c>
      <c r="AB28" s="409">
        <v>39035.5</v>
      </c>
      <c r="AC28" s="410">
        <v>107953.5</v>
      </c>
      <c r="AD28" s="411">
        <v>51740255.100000001</v>
      </c>
      <c r="AE28" s="412">
        <v>52493275.5</v>
      </c>
      <c r="AF28" s="412">
        <v>-3685200</v>
      </c>
      <c r="AG28" s="413">
        <v>-3685200</v>
      </c>
      <c r="AH28" s="415">
        <v>530</v>
      </c>
      <c r="AI28" s="412">
        <v>55754879.379990004</v>
      </c>
      <c r="AJ28" s="214"/>
      <c r="AK28" s="214"/>
      <c r="AL28" s="214"/>
    </row>
    <row r="29" spans="1:38" ht="12" customHeight="1" x14ac:dyDescent="0.2">
      <c r="A29" s="280" t="s">
        <v>458</v>
      </c>
      <c r="B29" s="420"/>
      <c r="C29" s="403"/>
      <c r="D29" s="403"/>
      <c r="E29" s="398"/>
      <c r="F29" s="398"/>
      <c r="G29" s="398"/>
      <c r="H29" s="398"/>
      <c r="I29" s="398"/>
      <c r="J29" s="398"/>
      <c r="K29" s="404">
        <f t="shared" si="33"/>
        <v>0</v>
      </c>
      <c r="L29" s="404"/>
      <c r="M29" s="398"/>
      <c r="N29" s="214"/>
      <c r="O29" s="405">
        <f t="shared" si="34"/>
        <v>0</v>
      </c>
      <c r="P29" s="279"/>
      <c r="Q29" s="277"/>
      <c r="R29" s="403"/>
      <c r="S29" s="403"/>
      <c r="T29" s="398"/>
      <c r="U29" s="406"/>
      <c r="V29" s="406"/>
      <c r="W29" s="406"/>
      <c r="X29" s="406"/>
      <c r="Y29" s="409"/>
      <c r="Z29" s="408"/>
      <c r="AA29" s="408"/>
      <c r="AB29" s="409"/>
      <c r="AC29" s="421"/>
      <c r="AD29" s="411">
        <f t="shared" ref="AD29:AD33" si="35">(Z29*12)+AC29</f>
        <v>0</v>
      </c>
      <c r="AE29" s="412"/>
      <c r="AF29" s="412">
        <f t="shared" ref="AF29:AG29" si="36">O29-AD29</f>
        <v>0</v>
      </c>
      <c r="AG29" s="413">
        <f t="shared" si="36"/>
        <v>0</v>
      </c>
      <c r="AH29" s="415"/>
      <c r="AI29" s="412"/>
      <c r="AJ29" s="214"/>
      <c r="AK29" s="214"/>
      <c r="AL29" s="214"/>
    </row>
    <row r="30" spans="1:38" ht="12" customHeight="1" x14ac:dyDescent="0.2">
      <c r="A30" s="277" t="s">
        <v>636</v>
      </c>
      <c r="B30" s="280">
        <f>27+1</f>
        <v>28</v>
      </c>
      <c r="C30" s="403">
        <v>610</v>
      </c>
      <c r="D30" s="403">
        <v>2401</v>
      </c>
      <c r="E30" s="398"/>
      <c r="F30" s="398"/>
      <c r="G30" s="398"/>
      <c r="H30" s="398"/>
      <c r="I30" s="398"/>
      <c r="J30" s="398">
        <v>563.66</v>
      </c>
      <c r="K30" s="404">
        <f t="shared" si="33"/>
        <v>3574.66</v>
      </c>
      <c r="L30" s="404">
        <v>1000</v>
      </c>
      <c r="M30" s="398"/>
      <c r="N30" s="279">
        <f t="shared" ref="N30:N35" si="37">SUM(L30:M30)</f>
        <v>1000</v>
      </c>
      <c r="O30" s="405">
        <f t="shared" si="34"/>
        <v>43895.92</v>
      </c>
      <c r="P30" s="279">
        <f t="shared" ref="P30:P33" si="38">B30*O30</f>
        <v>1229085.76</v>
      </c>
      <c r="Q30" s="277">
        <v>24</v>
      </c>
      <c r="R30" s="408">
        <f>179778.96/12/24</f>
        <v>624.23249999999996</v>
      </c>
      <c r="S30" s="416">
        <f>691488/12/24</f>
        <v>2401</v>
      </c>
      <c r="T30" s="398"/>
      <c r="U30" s="406"/>
      <c r="V30" s="406"/>
      <c r="W30" s="406"/>
      <c r="X30" s="406"/>
      <c r="Y30" s="408">
        <v>1096.3543055549999</v>
      </c>
      <c r="Z30" s="408">
        <f t="shared" ref="Z30:Z33" si="39">SUM(R30:Y30)</f>
        <v>4121.586805555</v>
      </c>
      <c r="AA30" s="408">
        <v>1000</v>
      </c>
      <c r="AB30" s="409"/>
      <c r="AC30" s="410">
        <f t="shared" ref="AC30:AC33" si="40">SUM(AA30:AB30)</f>
        <v>1000</v>
      </c>
      <c r="AD30" s="411">
        <f t="shared" si="35"/>
        <v>50459.041666659999</v>
      </c>
      <c r="AE30" s="412">
        <f>Q30*AD30-1000</f>
        <v>1210016.99999984</v>
      </c>
      <c r="AF30" s="412">
        <f t="shared" ref="AF30:AG30" si="41">O30-AD30</f>
        <v>-6563.1216666600012</v>
      </c>
      <c r="AG30" s="413">
        <f t="shared" si="41"/>
        <v>19068.760000159964</v>
      </c>
      <c r="AH30" s="415">
        <v>24</v>
      </c>
      <c r="AI30" s="412">
        <f>1181156+0.25</f>
        <v>1181156.25</v>
      </c>
      <c r="AJ30" s="214"/>
      <c r="AK30" s="214"/>
      <c r="AL30" s="214"/>
    </row>
    <row r="31" spans="1:38" ht="12" customHeight="1" x14ac:dyDescent="0.2">
      <c r="A31" s="277" t="s">
        <v>637</v>
      </c>
      <c r="B31" s="277">
        <f>14+1</f>
        <v>15</v>
      </c>
      <c r="C31" s="403">
        <v>588</v>
      </c>
      <c r="D31" s="403">
        <v>2401</v>
      </c>
      <c r="E31" s="398"/>
      <c r="F31" s="398"/>
      <c r="G31" s="398"/>
      <c r="H31" s="398"/>
      <c r="I31" s="398"/>
      <c r="J31" s="398">
        <v>563.66</v>
      </c>
      <c r="K31" s="404">
        <f t="shared" si="33"/>
        <v>3552.66</v>
      </c>
      <c r="L31" s="404">
        <v>1000</v>
      </c>
      <c r="M31" s="398"/>
      <c r="N31" s="279">
        <f t="shared" si="37"/>
        <v>1000</v>
      </c>
      <c r="O31" s="405">
        <f t="shared" si="34"/>
        <v>43631.92</v>
      </c>
      <c r="P31" s="279">
        <f t="shared" si="38"/>
        <v>654478.79999999993</v>
      </c>
      <c r="Q31" s="277">
        <v>13</v>
      </c>
      <c r="R31" s="408">
        <f>90618.72/12/13</f>
        <v>580.88923076923083</v>
      </c>
      <c r="S31" s="416">
        <f>374556/12/13</f>
        <v>2401</v>
      </c>
      <c r="T31" s="398"/>
      <c r="U31" s="406"/>
      <c r="V31" s="406"/>
      <c r="W31" s="406"/>
      <c r="X31" s="406"/>
      <c r="Y31" s="408">
        <v>1096.33</v>
      </c>
      <c r="Z31" s="408">
        <f t="shared" si="39"/>
        <v>4078.2192307692308</v>
      </c>
      <c r="AA31" s="408">
        <v>1000</v>
      </c>
      <c r="AB31" s="409"/>
      <c r="AC31" s="410">
        <f t="shared" si="40"/>
        <v>1000</v>
      </c>
      <c r="AD31" s="411">
        <f t="shared" si="35"/>
        <v>49938.630769230767</v>
      </c>
      <c r="AE31" s="412">
        <f t="shared" ref="AE31:AE33" si="42">Q31*AD31</f>
        <v>649202.19999999995</v>
      </c>
      <c r="AF31" s="412">
        <f t="shared" ref="AF31:AG31" si="43">O31-AD31</f>
        <v>-6306.7107692307691</v>
      </c>
      <c r="AG31" s="413">
        <f t="shared" si="43"/>
        <v>5276.5999999999767</v>
      </c>
      <c r="AH31" s="415">
        <v>13</v>
      </c>
      <c r="AI31" s="412">
        <v>633572.94999999995</v>
      </c>
      <c r="AJ31" s="214"/>
      <c r="AK31" s="214"/>
      <c r="AL31" s="214"/>
    </row>
    <row r="32" spans="1:38" ht="12" customHeight="1" x14ac:dyDescent="0.2">
      <c r="A32" s="277" t="s">
        <v>461</v>
      </c>
      <c r="B32" s="277">
        <f>4+1</f>
        <v>5</v>
      </c>
      <c r="C32" s="403">
        <v>639</v>
      </c>
      <c r="D32" s="403">
        <v>2401</v>
      </c>
      <c r="E32" s="398"/>
      <c r="F32" s="398"/>
      <c r="G32" s="398"/>
      <c r="H32" s="398"/>
      <c r="I32" s="398"/>
      <c r="J32" s="398">
        <v>563.66</v>
      </c>
      <c r="K32" s="404">
        <f t="shared" si="33"/>
        <v>3603.66</v>
      </c>
      <c r="L32" s="404">
        <v>1000</v>
      </c>
      <c r="M32" s="398"/>
      <c r="N32" s="279">
        <f t="shared" si="37"/>
        <v>1000</v>
      </c>
      <c r="O32" s="405">
        <f t="shared" si="34"/>
        <v>44243.92</v>
      </c>
      <c r="P32" s="279">
        <f t="shared" si="38"/>
        <v>221219.59999999998</v>
      </c>
      <c r="Q32" s="277">
        <f>4+1</f>
        <v>5</v>
      </c>
      <c r="R32" s="408">
        <f>39666/12/5</f>
        <v>661.1</v>
      </c>
      <c r="S32" s="416">
        <f>144060/12/5</f>
        <v>2401</v>
      </c>
      <c r="T32" s="398"/>
      <c r="U32" s="406"/>
      <c r="V32" s="406"/>
      <c r="W32" s="406"/>
      <c r="X32" s="406"/>
      <c r="Y32" s="408">
        <v>1096.33</v>
      </c>
      <c r="Z32" s="408">
        <f t="shared" si="39"/>
        <v>4158.43</v>
      </c>
      <c r="AA32" s="408">
        <v>1000</v>
      </c>
      <c r="AB32" s="409"/>
      <c r="AC32" s="410">
        <f t="shared" si="40"/>
        <v>1000</v>
      </c>
      <c r="AD32" s="411">
        <f t="shared" si="35"/>
        <v>50901.16</v>
      </c>
      <c r="AE32" s="412">
        <f t="shared" si="42"/>
        <v>254505.80000000002</v>
      </c>
      <c r="AF32" s="412">
        <f t="shared" ref="AF32:AG32" si="44">O32-AD32</f>
        <v>-6657.2400000000052</v>
      </c>
      <c r="AG32" s="413">
        <f t="shared" si="44"/>
        <v>-33286.200000000041</v>
      </c>
      <c r="AH32" s="415">
        <f>4+1</f>
        <v>5</v>
      </c>
      <c r="AI32" s="412">
        <v>248494.55</v>
      </c>
      <c r="AJ32" s="214"/>
      <c r="AK32" s="214"/>
      <c r="AL32" s="214"/>
    </row>
    <row r="33" spans="1:38" ht="12" customHeight="1" x14ac:dyDescent="0.2">
      <c r="A33" s="277" t="s">
        <v>462</v>
      </c>
      <c r="B33" s="277">
        <v>2</v>
      </c>
      <c r="C33" s="403">
        <v>524.04</v>
      </c>
      <c r="D33" s="403">
        <v>2401</v>
      </c>
      <c r="E33" s="398"/>
      <c r="F33" s="398"/>
      <c r="G33" s="398"/>
      <c r="H33" s="398"/>
      <c r="I33" s="398"/>
      <c r="J33" s="398">
        <v>563.66</v>
      </c>
      <c r="K33" s="404">
        <f t="shared" si="33"/>
        <v>3488.7</v>
      </c>
      <c r="L33" s="404">
        <v>1000</v>
      </c>
      <c r="M33" s="398"/>
      <c r="N33" s="279">
        <f t="shared" si="37"/>
        <v>1000</v>
      </c>
      <c r="O33" s="405">
        <f t="shared" si="34"/>
        <v>42864.399999999994</v>
      </c>
      <c r="P33" s="279">
        <f t="shared" si="38"/>
        <v>85728.799999999988</v>
      </c>
      <c r="Q33" s="277">
        <v>1</v>
      </c>
      <c r="R33" s="408">
        <f>6656.16/12/1</f>
        <v>554.67999999999995</v>
      </c>
      <c r="S33" s="416">
        <f>28812/12/1</f>
        <v>2401</v>
      </c>
      <c r="T33" s="398"/>
      <c r="U33" s="406"/>
      <c r="V33" s="406"/>
      <c r="W33" s="406"/>
      <c r="X33" s="406"/>
      <c r="Y33" s="417">
        <v>1096.33</v>
      </c>
      <c r="Z33" s="408">
        <f t="shared" si="39"/>
        <v>4052.0099999999998</v>
      </c>
      <c r="AA33" s="408">
        <v>1000</v>
      </c>
      <c r="AB33" s="409"/>
      <c r="AC33" s="410">
        <f t="shared" si="40"/>
        <v>1000</v>
      </c>
      <c r="AD33" s="411">
        <f t="shared" si="35"/>
        <v>49624.119999999995</v>
      </c>
      <c r="AE33" s="412">
        <f t="shared" si="42"/>
        <v>49624.119999999995</v>
      </c>
      <c r="AF33" s="412">
        <f t="shared" ref="AF33:AG33" si="45">O33-AD33</f>
        <v>-6759.7200000000012</v>
      </c>
      <c r="AG33" s="413">
        <f t="shared" si="45"/>
        <v>36104.679999999993</v>
      </c>
      <c r="AH33" s="415">
        <v>1</v>
      </c>
      <c r="AI33" s="412">
        <v>48421.869999999995</v>
      </c>
      <c r="AJ33" s="214"/>
      <c r="AK33" s="214"/>
      <c r="AL33" s="214"/>
    </row>
    <row r="34" spans="1:38" ht="12" customHeight="1" x14ac:dyDescent="0.2">
      <c r="A34" s="277" t="s">
        <v>463</v>
      </c>
      <c r="B34" s="420"/>
      <c r="C34" s="403"/>
      <c r="D34" s="403"/>
      <c r="E34" s="398"/>
      <c r="F34" s="398"/>
      <c r="G34" s="398"/>
      <c r="H34" s="398"/>
      <c r="I34" s="398"/>
      <c r="J34" s="398"/>
      <c r="K34" s="404"/>
      <c r="L34" s="404"/>
      <c r="M34" s="398"/>
      <c r="N34" s="279">
        <f t="shared" si="37"/>
        <v>0</v>
      </c>
      <c r="O34" s="405">
        <f t="shared" si="34"/>
        <v>0</v>
      </c>
      <c r="P34" s="279"/>
      <c r="Q34" s="277"/>
      <c r="R34" s="408"/>
      <c r="S34" s="416"/>
      <c r="T34" s="398"/>
      <c r="U34" s="406"/>
      <c r="V34" s="406"/>
      <c r="W34" s="406"/>
      <c r="X34" s="406"/>
      <c r="Y34" s="417"/>
      <c r="Z34" s="408"/>
      <c r="AA34" s="408"/>
      <c r="AB34" s="409"/>
      <c r="AC34" s="410"/>
      <c r="AD34" s="411"/>
      <c r="AE34" s="412"/>
      <c r="AF34" s="412">
        <f t="shared" ref="AF34:AG34" si="46">O34-AD34</f>
        <v>0</v>
      </c>
      <c r="AG34" s="413">
        <f t="shared" si="46"/>
        <v>0</v>
      </c>
      <c r="AH34" s="415"/>
      <c r="AI34" s="412"/>
      <c r="AJ34" s="214"/>
      <c r="AK34" s="214"/>
      <c r="AL34" s="214"/>
    </row>
    <row r="35" spans="1:38" ht="12" customHeight="1" x14ac:dyDescent="0.2">
      <c r="A35" s="422" t="s">
        <v>633</v>
      </c>
      <c r="B35" s="277">
        <v>190</v>
      </c>
      <c r="C35" s="403">
        <v>824066.66666666663</v>
      </c>
      <c r="D35" s="403"/>
      <c r="E35" s="398"/>
      <c r="F35" s="398"/>
      <c r="G35" s="398"/>
      <c r="H35" s="398"/>
      <c r="I35" s="398"/>
      <c r="J35" s="398"/>
      <c r="K35" s="404">
        <f t="shared" ref="K35:K52" si="47">SUM(C35:J35)</f>
        <v>824066.66666666663</v>
      </c>
      <c r="L35" s="404">
        <v>20800</v>
      </c>
      <c r="M35" s="398">
        <v>11433.33</v>
      </c>
      <c r="N35" s="279">
        <f t="shared" si="37"/>
        <v>32233.33</v>
      </c>
      <c r="O35" s="405">
        <f t="shared" si="34"/>
        <v>9921033.3300000001</v>
      </c>
      <c r="P35" s="279">
        <v>10063899.99</v>
      </c>
      <c r="Q35" s="277">
        <v>158</v>
      </c>
      <c r="R35" s="408">
        <v>653066.66666666663</v>
      </c>
      <c r="S35" s="416"/>
      <c r="T35" s="398"/>
      <c r="U35" s="406"/>
      <c r="V35" s="406"/>
      <c r="W35" s="406"/>
      <c r="X35" s="406"/>
      <c r="Y35" s="417"/>
      <c r="Z35" s="408">
        <v>653066.66666666663</v>
      </c>
      <c r="AA35" s="408">
        <v>20800</v>
      </c>
      <c r="AB35" s="409">
        <v>11433.33</v>
      </c>
      <c r="AC35" s="410">
        <v>32233.33</v>
      </c>
      <c r="AD35" s="411">
        <v>7869033.3300000001</v>
      </c>
      <c r="AE35" s="412">
        <v>8011899.9900000002</v>
      </c>
      <c r="AF35" s="412">
        <v>2052000</v>
      </c>
      <c r="AG35" s="413">
        <v>2052000</v>
      </c>
      <c r="AH35" s="415">
        <v>158</v>
      </c>
      <c r="AI35" s="412">
        <v>8548425.3899999987</v>
      </c>
      <c r="AJ35" s="214"/>
      <c r="AK35" s="214"/>
      <c r="AL35" s="214"/>
    </row>
    <row r="36" spans="1:38" ht="12" customHeight="1" x14ac:dyDescent="0.2">
      <c r="A36" s="280" t="s">
        <v>464</v>
      </c>
      <c r="B36" s="420"/>
      <c r="C36" s="403"/>
      <c r="D36" s="403"/>
      <c r="E36" s="398"/>
      <c r="F36" s="398"/>
      <c r="G36" s="398"/>
      <c r="H36" s="398"/>
      <c r="I36" s="398"/>
      <c r="J36" s="398"/>
      <c r="K36" s="404">
        <f t="shared" si="47"/>
        <v>0</v>
      </c>
      <c r="L36" s="404"/>
      <c r="M36" s="398"/>
      <c r="N36" s="214"/>
      <c r="O36" s="405">
        <f t="shared" si="34"/>
        <v>0</v>
      </c>
      <c r="P36" s="279"/>
      <c r="Q36" s="277"/>
      <c r="R36" s="403"/>
      <c r="S36" s="403"/>
      <c r="T36" s="398"/>
      <c r="U36" s="406"/>
      <c r="V36" s="406"/>
      <c r="W36" s="406"/>
      <c r="X36" s="406"/>
      <c r="Y36" s="409"/>
      <c r="Z36" s="408"/>
      <c r="AA36" s="408"/>
      <c r="AB36" s="409"/>
      <c r="AC36" s="421"/>
      <c r="AD36" s="411"/>
      <c r="AE36" s="412"/>
      <c r="AF36" s="412">
        <f t="shared" ref="AF36:AG36" si="48">O36-AD36</f>
        <v>0</v>
      </c>
      <c r="AG36" s="413">
        <f t="shared" si="48"/>
        <v>0</v>
      </c>
      <c r="AH36" s="415"/>
      <c r="AI36" s="412"/>
      <c r="AJ36" s="214"/>
      <c r="AK36" s="214"/>
      <c r="AL36" s="214"/>
    </row>
    <row r="37" spans="1:38" ht="12" customHeight="1" x14ac:dyDescent="0.2">
      <c r="A37" s="277" t="s">
        <v>465</v>
      </c>
      <c r="B37" s="277">
        <f>4-1</f>
        <v>3</v>
      </c>
      <c r="C37" s="403">
        <v>517</v>
      </c>
      <c r="D37" s="403">
        <v>2331</v>
      </c>
      <c r="E37" s="398"/>
      <c r="F37" s="398"/>
      <c r="G37" s="398"/>
      <c r="H37" s="398"/>
      <c r="I37" s="398"/>
      <c r="J37" s="398">
        <v>563.66</v>
      </c>
      <c r="K37" s="404">
        <f t="shared" si="47"/>
        <v>3411.66</v>
      </c>
      <c r="L37" s="404">
        <v>1000</v>
      </c>
      <c r="M37" s="398"/>
      <c r="N37" s="279">
        <f t="shared" ref="N37:N40" si="49">SUM(L37:M37)</f>
        <v>1000</v>
      </c>
      <c r="O37" s="405">
        <f t="shared" si="34"/>
        <v>41939.919999999998</v>
      </c>
      <c r="P37" s="279">
        <f t="shared" ref="P37:P40" si="50">B37*O37</f>
        <v>125819.76</v>
      </c>
      <c r="Q37" s="277">
        <v>1</v>
      </c>
      <c r="R37" s="408">
        <f>6620.16/12/1</f>
        <v>551.67999999999995</v>
      </c>
      <c r="S37" s="416">
        <f t="shared" ref="S37:S38" si="51">27972/12/1</f>
        <v>2331</v>
      </c>
      <c r="T37" s="398"/>
      <c r="U37" s="406"/>
      <c r="V37" s="406"/>
      <c r="W37" s="406"/>
      <c r="X37" s="406"/>
      <c r="Y37" s="408">
        <v>1096.33</v>
      </c>
      <c r="Z37" s="408">
        <f t="shared" ref="Z37:Z40" si="52">SUM(R37:Y37)</f>
        <v>3979.0099999999998</v>
      </c>
      <c r="AA37" s="408">
        <v>1000</v>
      </c>
      <c r="AB37" s="409"/>
      <c r="AC37" s="410">
        <f t="shared" ref="AC37:AC40" si="53">SUM(AA37:AB37)</f>
        <v>1000</v>
      </c>
      <c r="AD37" s="411">
        <f t="shared" ref="AD37:AD40" si="54">(Z37*12)+AC37</f>
        <v>48748.119999999995</v>
      </c>
      <c r="AE37" s="412">
        <f t="shared" ref="AE37:AE40" si="55">Q37*AD37</f>
        <v>48748.119999999995</v>
      </c>
      <c r="AF37" s="412">
        <f t="shared" ref="AF37:AG37" si="56">O37-AD37</f>
        <v>-6808.1999999999971</v>
      </c>
      <c r="AG37" s="413">
        <f t="shared" si="56"/>
        <v>77071.64</v>
      </c>
      <c r="AH37" s="415">
        <v>1</v>
      </c>
      <c r="AI37" s="412">
        <v>47545.869999999995</v>
      </c>
      <c r="AJ37" s="214"/>
      <c r="AK37" s="214"/>
      <c r="AL37" s="214"/>
    </row>
    <row r="38" spans="1:38" ht="12" customHeight="1" x14ac:dyDescent="0.2">
      <c r="A38" s="277" t="s">
        <v>466</v>
      </c>
      <c r="B38" s="277">
        <v>1</v>
      </c>
      <c r="C38" s="403">
        <v>560.77</v>
      </c>
      <c r="D38" s="403">
        <v>2331</v>
      </c>
      <c r="E38" s="398"/>
      <c r="F38" s="398"/>
      <c r="G38" s="398"/>
      <c r="H38" s="398"/>
      <c r="I38" s="398"/>
      <c r="J38" s="398">
        <v>563.66</v>
      </c>
      <c r="K38" s="404">
        <f t="shared" si="47"/>
        <v>3455.43</v>
      </c>
      <c r="L38" s="404">
        <v>1000</v>
      </c>
      <c r="M38" s="398"/>
      <c r="N38" s="279">
        <f t="shared" si="49"/>
        <v>1000</v>
      </c>
      <c r="O38" s="405">
        <f t="shared" si="34"/>
        <v>42465.159999999996</v>
      </c>
      <c r="P38" s="279">
        <f t="shared" si="50"/>
        <v>42465.159999999996</v>
      </c>
      <c r="Q38" s="277">
        <v>1</v>
      </c>
      <c r="R38" s="408">
        <f>6729.24/12/1</f>
        <v>560.77</v>
      </c>
      <c r="S38" s="416">
        <f t="shared" si="51"/>
        <v>2331</v>
      </c>
      <c r="T38" s="398"/>
      <c r="U38" s="406"/>
      <c r="V38" s="406"/>
      <c r="W38" s="406"/>
      <c r="X38" s="406"/>
      <c r="Y38" s="408">
        <v>1096.33</v>
      </c>
      <c r="Z38" s="408">
        <f t="shared" si="52"/>
        <v>3988.1</v>
      </c>
      <c r="AA38" s="408">
        <v>1000</v>
      </c>
      <c r="AB38" s="409"/>
      <c r="AC38" s="410">
        <f t="shared" si="53"/>
        <v>1000</v>
      </c>
      <c r="AD38" s="411">
        <f t="shared" si="54"/>
        <v>48857.2</v>
      </c>
      <c r="AE38" s="412">
        <f t="shared" si="55"/>
        <v>48857.2</v>
      </c>
      <c r="AF38" s="412">
        <f t="shared" ref="AF38:AG38" si="57">O38-AD38</f>
        <v>-6392.0400000000009</v>
      </c>
      <c r="AG38" s="413">
        <f t="shared" si="57"/>
        <v>-6392.0400000000009</v>
      </c>
      <c r="AH38" s="415">
        <v>1</v>
      </c>
      <c r="AI38" s="412">
        <v>47654.95</v>
      </c>
      <c r="AJ38" s="214"/>
      <c r="AK38" s="214"/>
      <c r="AL38" s="214"/>
    </row>
    <row r="39" spans="1:38" ht="12" customHeight="1" x14ac:dyDescent="0.2">
      <c r="A39" s="277" t="s">
        <v>467</v>
      </c>
      <c r="B39" s="277">
        <v>5</v>
      </c>
      <c r="C39" s="403">
        <v>646.07000000000005</v>
      </c>
      <c r="D39" s="403">
        <v>2331</v>
      </c>
      <c r="E39" s="398"/>
      <c r="F39" s="398"/>
      <c r="G39" s="398"/>
      <c r="H39" s="398"/>
      <c r="I39" s="398"/>
      <c r="J39" s="398">
        <v>563.66</v>
      </c>
      <c r="K39" s="404">
        <f t="shared" si="47"/>
        <v>3540.73</v>
      </c>
      <c r="L39" s="404">
        <v>1000</v>
      </c>
      <c r="M39" s="398"/>
      <c r="N39" s="279">
        <f t="shared" si="49"/>
        <v>1000</v>
      </c>
      <c r="O39" s="405">
        <f t="shared" si="34"/>
        <v>43488.76</v>
      </c>
      <c r="P39" s="279">
        <f t="shared" si="50"/>
        <v>217443.80000000002</v>
      </c>
      <c r="Q39" s="277">
        <v>5</v>
      </c>
      <c r="R39" s="408">
        <f>38824.92/12/5</f>
        <v>647.08199999999999</v>
      </c>
      <c r="S39" s="416">
        <f>139860/12/5</f>
        <v>2331</v>
      </c>
      <c r="T39" s="398"/>
      <c r="U39" s="406"/>
      <c r="V39" s="406"/>
      <c r="W39" s="406"/>
      <c r="X39" s="406"/>
      <c r="Y39" s="408">
        <v>1096.33</v>
      </c>
      <c r="Z39" s="408">
        <f t="shared" si="52"/>
        <v>4074.4119999999998</v>
      </c>
      <c r="AA39" s="408">
        <v>1000</v>
      </c>
      <c r="AB39" s="409"/>
      <c r="AC39" s="410">
        <f t="shared" si="53"/>
        <v>1000</v>
      </c>
      <c r="AD39" s="411">
        <f t="shared" si="54"/>
        <v>49892.943999999996</v>
      </c>
      <c r="AE39" s="412">
        <f t="shared" si="55"/>
        <v>249464.71999999997</v>
      </c>
      <c r="AF39" s="412">
        <f t="shared" ref="AF39:AG39" si="58">O39-AD39</f>
        <v>-6404.1839999999938</v>
      </c>
      <c r="AG39" s="413">
        <f t="shared" si="58"/>
        <v>-32020.919999999955</v>
      </c>
      <c r="AH39" s="415">
        <v>5</v>
      </c>
      <c r="AI39" s="412">
        <v>243453.46999999997</v>
      </c>
      <c r="AJ39" s="214"/>
      <c r="AK39" s="214"/>
      <c r="AL39" s="214"/>
    </row>
    <row r="40" spans="1:38" ht="12" customHeight="1" x14ac:dyDescent="0.2">
      <c r="A40" s="277" t="s">
        <v>469</v>
      </c>
      <c r="B40" s="277">
        <v>1</v>
      </c>
      <c r="C40" s="403">
        <v>476.07</v>
      </c>
      <c r="D40" s="403">
        <v>2331</v>
      </c>
      <c r="E40" s="398"/>
      <c r="F40" s="398"/>
      <c r="G40" s="398"/>
      <c r="H40" s="398"/>
      <c r="I40" s="398"/>
      <c r="J40" s="398">
        <v>563.66</v>
      </c>
      <c r="K40" s="404">
        <f t="shared" si="47"/>
        <v>3370.73</v>
      </c>
      <c r="L40" s="404">
        <v>1000</v>
      </c>
      <c r="M40" s="398"/>
      <c r="N40" s="279">
        <f t="shared" si="49"/>
        <v>1000</v>
      </c>
      <c r="O40" s="405">
        <f t="shared" si="34"/>
        <v>41448.76</v>
      </c>
      <c r="P40" s="279">
        <f t="shared" si="50"/>
        <v>41448.76</v>
      </c>
      <c r="Q40" s="277">
        <v>1</v>
      </c>
      <c r="R40" s="408">
        <f>6246.72/12/1</f>
        <v>520.56000000000006</v>
      </c>
      <c r="S40" s="416">
        <f>27972/12/1</f>
        <v>2331</v>
      </c>
      <c r="T40" s="398"/>
      <c r="U40" s="406"/>
      <c r="V40" s="406"/>
      <c r="W40" s="406"/>
      <c r="X40" s="406"/>
      <c r="Y40" s="408">
        <v>1096.33</v>
      </c>
      <c r="Z40" s="408">
        <f t="shared" si="52"/>
        <v>3947.89</v>
      </c>
      <c r="AA40" s="408">
        <v>1000</v>
      </c>
      <c r="AB40" s="409"/>
      <c r="AC40" s="410">
        <f t="shared" si="53"/>
        <v>1000</v>
      </c>
      <c r="AD40" s="411">
        <f t="shared" si="54"/>
        <v>48374.68</v>
      </c>
      <c r="AE40" s="412">
        <f t="shared" si="55"/>
        <v>48374.68</v>
      </c>
      <c r="AF40" s="412">
        <f t="shared" ref="AF40:AG40" si="59">O40-AD40</f>
        <v>-6925.9199999999983</v>
      </c>
      <c r="AG40" s="413">
        <f t="shared" si="59"/>
        <v>-6925.9199999999983</v>
      </c>
      <c r="AH40" s="415">
        <v>1</v>
      </c>
      <c r="AI40" s="412">
        <v>47172.43</v>
      </c>
      <c r="AJ40" s="214"/>
      <c r="AK40" s="214"/>
      <c r="AL40" s="214"/>
    </row>
    <row r="41" spans="1:38" ht="12" customHeight="1" x14ac:dyDescent="0.2">
      <c r="A41" s="277" t="s">
        <v>638</v>
      </c>
      <c r="B41" s="420"/>
      <c r="C41" s="403"/>
      <c r="D41" s="403"/>
      <c r="E41" s="398"/>
      <c r="F41" s="398"/>
      <c r="G41" s="398"/>
      <c r="H41" s="398"/>
      <c r="I41" s="398"/>
      <c r="J41" s="398"/>
      <c r="K41" s="404">
        <f t="shared" si="47"/>
        <v>0</v>
      </c>
      <c r="L41" s="404"/>
      <c r="M41" s="398"/>
      <c r="N41" s="214"/>
      <c r="O41" s="405">
        <f t="shared" si="34"/>
        <v>0</v>
      </c>
      <c r="P41" s="279"/>
      <c r="Q41" s="277"/>
      <c r="R41" s="403"/>
      <c r="S41" s="403"/>
      <c r="T41" s="398"/>
      <c r="U41" s="406"/>
      <c r="V41" s="406"/>
      <c r="W41" s="406"/>
      <c r="X41" s="406"/>
      <c r="Y41" s="409"/>
      <c r="Z41" s="408"/>
      <c r="AA41" s="408"/>
      <c r="AB41" s="409"/>
      <c r="AC41" s="421"/>
      <c r="AD41" s="411"/>
      <c r="AE41" s="412"/>
      <c r="AF41" s="412">
        <f t="shared" ref="AF41:AG41" si="60">O41-AD41</f>
        <v>0</v>
      </c>
      <c r="AG41" s="413">
        <f t="shared" si="60"/>
        <v>0</v>
      </c>
      <c r="AH41" s="415"/>
      <c r="AI41" s="412"/>
      <c r="AJ41" s="214"/>
      <c r="AK41" s="214"/>
      <c r="AL41" s="214"/>
    </row>
    <row r="42" spans="1:38" ht="12" customHeight="1" x14ac:dyDescent="0.2">
      <c r="A42" s="277" t="s">
        <v>633</v>
      </c>
      <c r="B42" s="277">
        <v>139</v>
      </c>
      <c r="C42" s="405">
        <v>384300</v>
      </c>
      <c r="D42" s="403"/>
      <c r="E42" s="398"/>
      <c r="F42" s="398"/>
      <c r="G42" s="398"/>
      <c r="H42" s="398"/>
      <c r="I42" s="398"/>
      <c r="J42" s="398"/>
      <c r="K42" s="404">
        <f t="shared" si="47"/>
        <v>384300</v>
      </c>
      <c r="L42" s="404"/>
      <c r="M42" s="398"/>
      <c r="N42" s="214"/>
      <c r="O42" s="405">
        <f t="shared" si="34"/>
        <v>4611600</v>
      </c>
      <c r="P42" s="279">
        <f>(L42*12)+O42</f>
        <v>4611600</v>
      </c>
      <c r="Q42" s="277">
        <v>146</v>
      </c>
      <c r="R42" s="405">
        <v>496000</v>
      </c>
      <c r="S42" s="403"/>
      <c r="T42" s="398"/>
      <c r="U42" s="406"/>
      <c r="V42" s="406"/>
      <c r="W42" s="406"/>
      <c r="X42" s="406"/>
      <c r="Y42" s="409"/>
      <c r="Z42" s="408">
        <f>SUM(R42:Y42)</f>
        <v>496000</v>
      </c>
      <c r="AA42" s="408"/>
      <c r="AB42" s="409"/>
      <c r="AC42" s="410">
        <f>SUM(AA42:AB42)</f>
        <v>0</v>
      </c>
      <c r="AD42" s="411">
        <f t="shared" ref="AD42:AE42" si="61">(Z42*12)+AC42</f>
        <v>5952000</v>
      </c>
      <c r="AE42" s="412">
        <f t="shared" si="61"/>
        <v>5952000</v>
      </c>
      <c r="AF42" s="412">
        <f t="shared" ref="AF42:AG42" si="62">O42-AD42</f>
        <v>-1340400</v>
      </c>
      <c r="AG42" s="413">
        <f t="shared" si="62"/>
        <v>-1340400</v>
      </c>
      <c r="AH42" s="415">
        <v>145</v>
      </c>
      <c r="AI42" s="412">
        <f>6393274.2+(145*12*22.8)+3932.4</f>
        <v>6436878.6000000006</v>
      </c>
      <c r="AJ42" s="214"/>
      <c r="AK42" s="214"/>
      <c r="AL42" s="214"/>
    </row>
    <row r="43" spans="1:38" ht="12" customHeight="1" x14ac:dyDescent="0.2">
      <c r="A43" s="280" t="s">
        <v>470</v>
      </c>
      <c r="B43" s="420"/>
      <c r="C43" s="403"/>
      <c r="D43" s="403"/>
      <c r="E43" s="398"/>
      <c r="F43" s="398"/>
      <c r="G43" s="398"/>
      <c r="H43" s="398"/>
      <c r="I43" s="398"/>
      <c r="J43" s="398"/>
      <c r="K43" s="404">
        <f t="shared" si="47"/>
        <v>0</v>
      </c>
      <c r="L43" s="404"/>
      <c r="M43" s="398"/>
      <c r="N43" s="214"/>
      <c r="O43" s="405">
        <f t="shared" si="34"/>
        <v>0</v>
      </c>
      <c r="P43" s="279"/>
      <c r="Q43" s="277"/>
      <c r="R43" s="403"/>
      <c r="S43" s="403"/>
      <c r="T43" s="398"/>
      <c r="U43" s="406"/>
      <c r="V43" s="406"/>
      <c r="W43" s="406"/>
      <c r="X43" s="406"/>
      <c r="Y43" s="409"/>
      <c r="Z43" s="408"/>
      <c r="AA43" s="408"/>
      <c r="AB43" s="409"/>
      <c r="AC43" s="421"/>
      <c r="AD43" s="411"/>
      <c r="AE43" s="412"/>
      <c r="AF43" s="412">
        <f t="shared" ref="AF43:AG43" si="63">O43-AD43</f>
        <v>0</v>
      </c>
      <c r="AG43" s="413">
        <f t="shared" si="63"/>
        <v>0</v>
      </c>
      <c r="AH43" s="415"/>
      <c r="AI43" s="412"/>
      <c r="AJ43" s="214"/>
      <c r="AK43" s="214"/>
      <c r="AL43" s="214"/>
    </row>
    <row r="44" spans="1:38" ht="12" customHeight="1" x14ac:dyDescent="0.2">
      <c r="A44" s="423" t="s">
        <v>639</v>
      </c>
      <c r="B44" s="277"/>
      <c r="C44" s="403"/>
      <c r="D44" s="403"/>
      <c r="E44" s="398"/>
      <c r="F44" s="398"/>
      <c r="G44" s="398"/>
      <c r="H44" s="398"/>
      <c r="I44" s="398"/>
      <c r="J44" s="398"/>
      <c r="K44" s="404">
        <f t="shared" si="47"/>
        <v>0</v>
      </c>
      <c r="L44" s="404"/>
      <c r="M44" s="398"/>
      <c r="N44" s="214"/>
      <c r="O44" s="405">
        <f t="shared" si="34"/>
        <v>0</v>
      </c>
      <c r="P44" s="279"/>
      <c r="Q44" s="277"/>
      <c r="R44" s="403"/>
      <c r="S44" s="403"/>
      <c r="T44" s="398"/>
      <c r="U44" s="406"/>
      <c r="V44" s="406"/>
      <c r="W44" s="406"/>
      <c r="X44" s="406"/>
      <c r="Y44" s="409"/>
      <c r="Z44" s="408"/>
      <c r="AA44" s="408"/>
      <c r="AB44" s="409"/>
      <c r="AC44" s="421"/>
      <c r="AD44" s="411"/>
      <c r="AE44" s="412"/>
      <c r="AF44" s="412">
        <f t="shared" ref="AF44:AG44" si="64">O44-AD44</f>
        <v>0</v>
      </c>
      <c r="AG44" s="413">
        <f t="shared" si="64"/>
        <v>0</v>
      </c>
      <c r="AH44" s="415"/>
      <c r="AI44" s="412"/>
      <c r="AJ44" s="214"/>
      <c r="AK44" s="214"/>
      <c r="AL44" s="214"/>
    </row>
    <row r="45" spans="1:38" ht="12" customHeight="1" x14ac:dyDescent="0.2">
      <c r="A45" s="423" t="s">
        <v>459</v>
      </c>
      <c r="B45" s="277">
        <v>1</v>
      </c>
      <c r="C45" s="403">
        <v>583.52</v>
      </c>
      <c r="D45" s="403">
        <v>2401</v>
      </c>
      <c r="E45" s="398"/>
      <c r="F45" s="398"/>
      <c r="G45" s="398"/>
      <c r="H45" s="398"/>
      <c r="I45" s="398"/>
      <c r="J45" s="398">
        <v>563.66</v>
      </c>
      <c r="K45" s="404">
        <f t="shared" si="47"/>
        <v>3548.18</v>
      </c>
      <c r="L45" s="404">
        <v>1000</v>
      </c>
      <c r="M45" s="398"/>
      <c r="N45" s="279">
        <f t="shared" ref="N45:N47" si="65">SUM(L45:M45)</f>
        <v>1000</v>
      </c>
      <c r="O45" s="405">
        <f t="shared" si="34"/>
        <v>43578.159999999996</v>
      </c>
      <c r="P45" s="279">
        <f t="shared" ref="P45:P47" si="66">B45*O45</f>
        <v>43578.159999999996</v>
      </c>
      <c r="Q45" s="277">
        <v>1</v>
      </c>
      <c r="R45" s="424">
        <f>7002.24/12/1</f>
        <v>583.52</v>
      </c>
      <c r="S45" s="425">
        <f>28812/12/1</f>
        <v>2401</v>
      </c>
      <c r="T45" s="398"/>
      <c r="U45" s="406"/>
      <c r="V45" s="406"/>
      <c r="W45" s="406"/>
      <c r="X45" s="406"/>
      <c r="Y45" s="408">
        <v>1096.33</v>
      </c>
      <c r="Z45" s="408">
        <f t="shared" ref="Z45:Z52" si="67">SUM(R45:Y45)</f>
        <v>4080.85</v>
      </c>
      <c r="AA45" s="408">
        <v>1000</v>
      </c>
      <c r="AB45" s="409"/>
      <c r="AC45" s="410">
        <f t="shared" ref="AC45:AC47" si="68">SUM(AA45:AB45)</f>
        <v>1000</v>
      </c>
      <c r="AD45" s="411">
        <f t="shared" ref="AD45:AD47" si="69">(Z45*12)+AC45</f>
        <v>49970.2</v>
      </c>
      <c r="AE45" s="412">
        <f t="shared" ref="AE45:AE47" si="70">Q45*AD45</f>
        <v>49970.2</v>
      </c>
      <c r="AF45" s="412">
        <f t="shared" ref="AF45:AG45" si="71">O45-AD45</f>
        <v>-6392.0400000000009</v>
      </c>
      <c r="AG45" s="413">
        <f t="shared" si="71"/>
        <v>-6392.0400000000009</v>
      </c>
      <c r="AH45" s="415">
        <v>1</v>
      </c>
      <c r="AI45" s="412">
        <v>48767.95</v>
      </c>
      <c r="AJ45" s="214"/>
      <c r="AK45" s="214"/>
      <c r="AL45" s="214"/>
    </row>
    <row r="46" spans="1:38" ht="12" customHeight="1" x14ac:dyDescent="0.2">
      <c r="A46" s="423" t="s">
        <v>460</v>
      </c>
      <c r="B46" s="277">
        <v>11</v>
      </c>
      <c r="C46" s="403">
        <v>541.42999999999995</v>
      </c>
      <c r="D46" s="403">
        <v>2401</v>
      </c>
      <c r="E46" s="398"/>
      <c r="F46" s="398"/>
      <c r="G46" s="398"/>
      <c r="H46" s="398"/>
      <c r="I46" s="398"/>
      <c r="J46" s="398">
        <v>563.66</v>
      </c>
      <c r="K46" s="404">
        <f t="shared" si="47"/>
        <v>3506.0899999999997</v>
      </c>
      <c r="L46" s="404">
        <v>1000</v>
      </c>
      <c r="M46" s="398"/>
      <c r="N46" s="279">
        <f t="shared" si="65"/>
        <v>1000</v>
      </c>
      <c r="O46" s="405">
        <f t="shared" si="34"/>
        <v>43073.079999999994</v>
      </c>
      <c r="P46" s="279">
        <f t="shared" si="66"/>
        <v>473803.87999999995</v>
      </c>
      <c r="Q46" s="277">
        <v>11</v>
      </c>
      <c r="R46" s="424">
        <f>74968.92/12/11</f>
        <v>567.94636363636357</v>
      </c>
      <c r="S46" s="425">
        <f>316932/12/11</f>
        <v>2401</v>
      </c>
      <c r="T46" s="398"/>
      <c r="U46" s="406"/>
      <c r="V46" s="406"/>
      <c r="W46" s="406"/>
      <c r="X46" s="406"/>
      <c r="Y46" s="408">
        <v>1096.33</v>
      </c>
      <c r="Z46" s="408">
        <f t="shared" si="67"/>
        <v>4065.2763636363634</v>
      </c>
      <c r="AA46" s="408">
        <v>1000</v>
      </c>
      <c r="AB46" s="409"/>
      <c r="AC46" s="410">
        <f t="shared" si="68"/>
        <v>1000</v>
      </c>
      <c r="AD46" s="411">
        <f t="shared" si="69"/>
        <v>49783.316363636361</v>
      </c>
      <c r="AE46" s="412">
        <f t="shared" si="70"/>
        <v>547616.48</v>
      </c>
      <c r="AF46" s="412">
        <f t="shared" ref="AF46:AG46" si="72">O46-AD46</f>
        <v>-6710.2363636363661</v>
      </c>
      <c r="AG46" s="413">
        <f t="shared" si="72"/>
        <v>-73812.600000000035</v>
      </c>
      <c r="AH46" s="415">
        <v>11</v>
      </c>
      <c r="AI46" s="412">
        <v>534391.73</v>
      </c>
      <c r="AJ46" s="214"/>
      <c r="AK46" s="214"/>
      <c r="AL46" s="214"/>
    </row>
    <row r="47" spans="1:38" ht="12" customHeight="1" x14ac:dyDescent="0.2">
      <c r="A47" s="423" t="s">
        <v>462</v>
      </c>
      <c r="B47" s="277">
        <v>7</v>
      </c>
      <c r="C47" s="403">
        <v>532.85</v>
      </c>
      <c r="D47" s="403">
        <v>2401</v>
      </c>
      <c r="E47" s="398"/>
      <c r="F47" s="398"/>
      <c r="G47" s="398"/>
      <c r="H47" s="398"/>
      <c r="I47" s="398"/>
      <c r="J47" s="398">
        <v>563.66</v>
      </c>
      <c r="K47" s="404">
        <f t="shared" si="47"/>
        <v>3497.5099999999998</v>
      </c>
      <c r="L47" s="404">
        <v>1000</v>
      </c>
      <c r="M47" s="398"/>
      <c r="N47" s="279">
        <f t="shared" si="65"/>
        <v>1000</v>
      </c>
      <c r="O47" s="405">
        <f t="shared" si="34"/>
        <v>42970.119999999995</v>
      </c>
      <c r="P47" s="279">
        <f t="shared" si="66"/>
        <v>300790.83999999997</v>
      </c>
      <c r="Q47" s="277">
        <v>5</v>
      </c>
      <c r="R47" s="424">
        <f>33345.96/12/5</f>
        <v>555.76599999999996</v>
      </c>
      <c r="S47" s="425">
        <f>144060/12/5</f>
        <v>2401</v>
      </c>
      <c r="T47" s="398"/>
      <c r="U47" s="406"/>
      <c r="V47" s="406"/>
      <c r="W47" s="406"/>
      <c r="X47" s="406"/>
      <c r="Y47" s="408">
        <v>1096.33</v>
      </c>
      <c r="Z47" s="408">
        <f t="shared" si="67"/>
        <v>4053.096</v>
      </c>
      <c r="AA47" s="408">
        <v>1000</v>
      </c>
      <c r="AB47" s="409"/>
      <c r="AC47" s="410">
        <f t="shared" si="68"/>
        <v>1000</v>
      </c>
      <c r="AD47" s="411">
        <f t="shared" si="69"/>
        <v>49637.152000000002</v>
      </c>
      <c r="AE47" s="412">
        <f t="shared" si="70"/>
        <v>248185.76</v>
      </c>
      <c r="AF47" s="412">
        <f t="shared" ref="AF47:AG47" si="73">O47-AD47</f>
        <v>-6667.0320000000065</v>
      </c>
      <c r="AG47" s="413">
        <f t="shared" si="73"/>
        <v>52605.079999999958</v>
      </c>
      <c r="AH47" s="415">
        <v>5</v>
      </c>
      <c r="AI47" s="412">
        <v>242174.51</v>
      </c>
      <c r="AJ47" s="214"/>
      <c r="AK47" s="214"/>
      <c r="AL47" s="214"/>
    </row>
    <row r="48" spans="1:38" ht="12" customHeight="1" x14ac:dyDescent="0.2">
      <c r="A48" s="422" t="s">
        <v>640</v>
      </c>
      <c r="B48" s="277"/>
      <c r="C48" s="403"/>
      <c r="D48" s="403"/>
      <c r="E48" s="398"/>
      <c r="F48" s="398"/>
      <c r="G48" s="398"/>
      <c r="H48" s="398"/>
      <c r="I48" s="398"/>
      <c r="J48" s="398"/>
      <c r="K48" s="404">
        <f t="shared" si="47"/>
        <v>0</v>
      </c>
      <c r="L48" s="404"/>
      <c r="M48" s="398"/>
      <c r="N48" s="214"/>
      <c r="O48" s="405">
        <f t="shared" si="34"/>
        <v>0</v>
      </c>
      <c r="P48" s="279"/>
      <c r="Q48" s="277"/>
      <c r="R48" s="403"/>
      <c r="S48" s="403"/>
      <c r="T48" s="398"/>
      <c r="U48" s="406"/>
      <c r="V48" s="406"/>
      <c r="W48" s="406"/>
      <c r="X48" s="406"/>
      <c r="Y48" s="409"/>
      <c r="Z48" s="408">
        <f t="shared" si="67"/>
        <v>0</v>
      </c>
      <c r="AA48" s="408"/>
      <c r="AB48" s="409"/>
      <c r="AC48" s="421"/>
      <c r="AD48" s="411"/>
      <c r="AE48" s="412"/>
      <c r="AF48" s="412">
        <f t="shared" ref="AF48:AG48" si="74">O48-AD48</f>
        <v>0</v>
      </c>
      <c r="AG48" s="413">
        <f t="shared" si="74"/>
        <v>0</v>
      </c>
      <c r="AH48" s="415"/>
      <c r="AI48" s="412"/>
      <c r="AJ48" s="214"/>
      <c r="AK48" s="214"/>
      <c r="AL48" s="214"/>
    </row>
    <row r="49" spans="1:38" ht="12" customHeight="1" x14ac:dyDescent="0.2">
      <c r="A49" s="423" t="s">
        <v>465</v>
      </c>
      <c r="B49" s="277"/>
      <c r="C49" s="403"/>
      <c r="D49" s="403"/>
      <c r="E49" s="398"/>
      <c r="F49" s="398"/>
      <c r="G49" s="398"/>
      <c r="H49" s="398"/>
      <c r="I49" s="398"/>
      <c r="J49" s="398"/>
      <c r="K49" s="404">
        <f t="shared" si="47"/>
        <v>0</v>
      </c>
      <c r="L49" s="404"/>
      <c r="M49" s="398"/>
      <c r="N49" s="214"/>
      <c r="O49" s="405">
        <f t="shared" si="34"/>
        <v>0</v>
      </c>
      <c r="P49" s="279"/>
      <c r="Q49" s="277"/>
      <c r="R49" s="403"/>
      <c r="S49" s="403"/>
      <c r="T49" s="398"/>
      <c r="U49" s="406"/>
      <c r="V49" s="406"/>
      <c r="W49" s="406"/>
      <c r="X49" s="406"/>
      <c r="Y49" s="409"/>
      <c r="Z49" s="408">
        <f t="shared" si="67"/>
        <v>0</v>
      </c>
      <c r="AA49" s="408"/>
      <c r="AB49" s="409"/>
      <c r="AC49" s="421"/>
      <c r="AD49" s="411"/>
      <c r="AE49" s="412"/>
      <c r="AF49" s="412">
        <f t="shared" ref="AF49:AG49" si="75">O49-AD49</f>
        <v>0</v>
      </c>
      <c r="AG49" s="413">
        <f t="shared" si="75"/>
        <v>0</v>
      </c>
      <c r="AH49" s="415"/>
      <c r="AI49" s="412"/>
      <c r="AJ49" s="214"/>
      <c r="AK49" s="214"/>
      <c r="AL49" s="214"/>
    </row>
    <row r="50" spans="1:38" ht="12" customHeight="1" x14ac:dyDescent="0.2">
      <c r="A50" s="423" t="s">
        <v>466</v>
      </c>
      <c r="B50" s="277"/>
      <c r="C50" s="403"/>
      <c r="D50" s="403"/>
      <c r="E50" s="398"/>
      <c r="F50" s="398"/>
      <c r="G50" s="398"/>
      <c r="H50" s="398"/>
      <c r="I50" s="214"/>
      <c r="J50" s="426"/>
      <c r="K50" s="404">
        <f t="shared" si="47"/>
        <v>0</v>
      </c>
      <c r="L50" s="404"/>
      <c r="M50" s="398"/>
      <c r="N50" s="214"/>
      <c r="O50" s="405">
        <f t="shared" si="34"/>
        <v>0</v>
      </c>
      <c r="P50" s="279"/>
      <c r="Q50" s="277"/>
      <c r="R50" s="403"/>
      <c r="S50" s="403"/>
      <c r="T50" s="398"/>
      <c r="U50" s="406"/>
      <c r="V50" s="406"/>
      <c r="W50" s="406"/>
      <c r="X50" s="427"/>
      <c r="Y50" s="428"/>
      <c r="Z50" s="408">
        <f t="shared" si="67"/>
        <v>0</v>
      </c>
      <c r="AA50" s="408"/>
      <c r="AB50" s="409"/>
      <c r="AC50" s="421"/>
      <c r="AD50" s="411"/>
      <c r="AE50" s="412"/>
      <c r="AF50" s="412">
        <f t="shared" ref="AF50:AG50" si="76">O50-AD50</f>
        <v>0</v>
      </c>
      <c r="AG50" s="413">
        <f t="shared" si="76"/>
        <v>0</v>
      </c>
      <c r="AH50" s="415"/>
      <c r="AI50" s="412"/>
      <c r="AJ50" s="214"/>
      <c r="AK50" s="214"/>
      <c r="AL50" s="214"/>
    </row>
    <row r="51" spans="1:38" ht="12" customHeight="1" x14ac:dyDescent="0.2">
      <c r="A51" s="423" t="s">
        <v>467</v>
      </c>
      <c r="B51" s="277">
        <f>10-2</f>
        <v>8</v>
      </c>
      <c r="C51" s="403">
        <v>520</v>
      </c>
      <c r="D51" s="403">
        <v>2331</v>
      </c>
      <c r="E51" s="398"/>
      <c r="F51" s="398"/>
      <c r="G51" s="398"/>
      <c r="H51" s="398"/>
      <c r="I51" s="398"/>
      <c r="J51" s="398">
        <v>563.66</v>
      </c>
      <c r="K51" s="404">
        <f t="shared" si="47"/>
        <v>3414.66</v>
      </c>
      <c r="L51" s="404">
        <v>1000</v>
      </c>
      <c r="M51" s="398"/>
      <c r="N51" s="279">
        <f t="shared" ref="N51:N52" si="77">SUM(L51:M51)</f>
        <v>1000</v>
      </c>
      <c r="O51" s="405">
        <f t="shared" si="34"/>
        <v>41975.92</v>
      </c>
      <c r="P51" s="279">
        <f t="shared" ref="P51:P52" si="78">B51*O51</f>
        <v>335807.36</v>
      </c>
      <c r="Q51" s="277">
        <v>7</v>
      </c>
      <c r="R51" s="424">
        <f>45082.2/12/7</f>
        <v>536.69285714285718</v>
      </c>
      <c r="S51" s="425">
        <f>195804/12/7</f>
        <v>2331</v>
      </c>
      <c r="T51" s="398"/>
      <c r="U51" s="406"/>
      <c r="V51" s="406"/>
      <c r="W51" s="406"/>
      <c r="X51" s="406"/>
      <c r="Y51" s="408">
        <v>1096.33</v>
      </c>
      <c r="Z51" s="408">
        <f t="shared" si="67"/>
        <v>3964.022857142857</v>
      </c>
      <c r="AA51" s="408">
        <v>1000</v>
      </c>
      <c r="AB51" s="409"/>
      <c r="AC51" s="410">
        <f t="shared" ref="AC51:AC52" si="79">SUM(AA51:AB51)</f>
        <v>1000</v>
      </c>
      <c r="AD51" s="411">
        <f>(Z51*12)+AC51</f>
        <v>48568.274285714288</v>
      </c>
      <c r="AE51" s="412">
        <f t="shared" ref="AE51:AE52" si="80">Q51*AD51</f>
        <v>339977.92000000004</v>
      </c>
      <c r="AF51" s="412">
        <f t="shared" ref="AF51:AG51" si="81">O51-AD51</f>
        <v>-6592.3542857142893</v>
      </c>
      <c r="AG51" s="413">
        <f t="shared" si="81"/>
        <v>-4170.5600000000559</v>
      </c>
      <c r="AH51" s="415">
        <v>7</v>
      </c>
      <c r="AI51" s="412">
        <v>331562.16999999993</v>
      </c>
      <c r="AJ51" s="214"/>
      <c r="AK51" s="214"/>
      <c r="AL51" s="214"/>
    </row>
    <row r="52" spans="1:38" ht="12" customHeight="1" x14ac:dyDescent="0.2">
      <c r="A52" s="277" t="s">
        <v>464</v>
      </c>
      <c r="B52" s="277">
        <v>1</v>
      </c>
      <c r="C52" s="403">
        <v>2000</v>
      </c>
      <c r="D52" s="403"/>
      <c r="E52" s="398"/>
      <c r="F52" s="398"/>
      <c r="G52" s="398"/>
      <c r="H52" s="398"/>
      <c r="I52" s="398"/>
      <c r="J52" s="398"/>
      <c r="K52" s="404">
        <f t="shared" si="47"/>
        <v>2000</v>
      </c>
      <c r="L52" s="404">
        <f>2000*2+400</f>
        <v>4400</v>
      </c>
      <c r="M52" s="398">
        <v>2333.33</v>
      </c>
      <c r="N52" s="279">
        <f t="shared" si="77"/>
        <v>6733.33</v>
      </c>
      <c r="O52" s="405">
        <f>K52*12+N52</f>
        <v>30733.33</v>
      </c>
      <c r="P52" s="279">
        <f t="shared" si="78"/>
        <v>30733.33</v>
      </c>
      <c r="Q52" s="277">
        <v>1</v>
      </c>
      <c r="R52" s="404">
        <v>2000</v>
      </c>
      <c r="S52" s="404"/>
      <c r="T52" s="404"/>
      <c r="U52" s="404"/>
      <c r="V52" s="404"/>
      <c r="W52" s="404"/>
      <c r="X52" s="404"/>
      <c r="Y52" s="408"/>
      <c r="Z52" s="408">
        <f t="shared" si="67"/>
        <v>2000</v>
      </c>
      <c r="AA52" s="408">
        <f>2000*2+400</f>
        <v>4400</v>
      </c>
      <c r="AB52" s="408">
        <v>2333.33</v>
      </c>
      <c r="AC52" s="410">
        <f t="shared" si="79"/>
        <v>6733.33</v>
      </c>
      <c r="AD52" s="411">
        <f>Z52*12+AC52</f>
        <v>30733.33</v>
      </c>
      <c r="AE52" s="412">
        <f t="shared" si="80"/>
        <v>30733.33</v>
      </c>
      <c r="AF52" s="429"/>
      <c r="AG52" s="430"/>
      <c r="AH52" s="431">
        <v>1</v>
      </c>
      <c r="AI52" s="412">
        <v>30733.33</v>
      </c>
      <c r="AJ52" s="214"/>
      <c r="AK52" s="214"/>
      <c r="AL52" s="214"/>
    </row>
    <row r="53" spans="1:38" ht="12" customHeight="1" x14ac:dyDescent="0.2">
      <c r="A53" s="423"/>
      <c r="B53" s="277"/>
      <c r="C53" s="403"/>
      <c r="D53" s="403"/>
      <c r="E53" s="398"/>
      <c r="F53" s="398"/>
      <c r="G53" s="398"/>
      <c r="H53" s="398"/>
      <c r="I53" s="398"/>
      <c r="J53" s="398"/>
      <c r="K53" s="404"/>
      <c r="L53" s="404"/>
      <c r="M53" s="398"/>
      <c r="N53" s="214"/>
      <c r="O53" s="405"/>
      <c r="P53" s="279"/>
      <c r="Q53" s="277"/>
      <c r="R53" s="398"/>
      <c r="S53" s="398"/>
      <c r="T53" s="398"/>
      <c r="U53" s="398"/>
      <c r="V53" s="398"/>
      <c r="W53" s="398"/>
      <c r="X53" s="398"/>
      <c r="Y53" s="409"/>
      <c r="Z53" s="409"/>
      <c r="AA53" s="409"/>
      <c r="AB53" s="409"/>
      <c r="AC53" s="421"/>
      <c r="AD53" s="432"/>
      <c r="AE53" s="431"/>
      <c r="AF53" s="431"/>
      <c r="AG53" s="415"/>
      <c r="AH53" s="431"/>
      <c r="AI53" s="431"/>
      <c r="AJ53" s="214"/>
      <c r="AK53" s="214"/>
      <c r="AL53" s="214"/>
    </row>
    <row r="54" spans="1:38" ht="12" customHeight="1" x14ac:dyDescent="0.2">
      <c r="A54" s="433" t="s">
        <v>641</v>
      </c>
      <c r="B54" s="434"/>
      <c r="C54" s="435"/>
      <c r="D54" s="435"/>
      <c r="E54" s="398"/>
      <c r="F54" s="398"/>
      <c r="G54" s="398"/>
      <c r="H54" s="398"/>
      <c r="I54" s="398"/>
      <c r="J54" s="398"/>
      <c r="K54" s="404"/>
      <c r="L54" s="436"/>
      <c r="M54" s="435"/>
      <c r="N54" s="437"/>
      <c r="O54" s="438"/>
      <c r="P54" s="439"/>
      <c r="Q54" s="277"/>
      <c r="R54" s="398"/>
      <c r="S54" s="398"/>
      <c r="T54" s="398"/>
      <c r="U54" s="398"/>
      <c r="V54" s="398"/>
      <c r="W54" s="398"/>
      <c r="X54" s="398"/>
      <c r="Y54" s="409"/>
      <c r="Z54" s="409"/>
      <c r="AA54" s="409"/>
      <c r="AB54" s="409"/>
      <c r="AC54" s="421"/>
      <c r="AD54" s="432"/>
      <c r="AE54" s="431"/>
      <c r="AF54" s="431"/>
      <c r="AG54" s="415"/>
      <c r="AH54" s="431"/>
      <c r="AI54" s="431"/>
      <c r="AJ54" s="214"/>
      <c r="AK54" s="214"/>
      <c r="AL54" s="214"/>
    </row>
    <row r="55" spans="1:38" ht="12" customHeight="1" x14ac:dyDescent="0.2">
      <c r="A55" s="440" t="s">
        <v>441</v>
      </c>
      <c r="B55" s="277"/>
      <c r="C55" s="403"/>
      <c r="D55" s="403"/>
      <c r="E55" s="398"/>
      <c r="F55" s="398"/>
      <c r="G55" s="398"/>
      <c r="H55" s="398"/>
      <c r="I55" s="398"/>
      <c r="J55" s="398"/>
      <c r="K55" s="404"/>
      <c r="L55" s="404"/>
      <c r="M55" s="398"/>
      <c r="N55" s="214"/>
      <c r="O55" s="441"/>
      <c r="P55" s="442"/>
      <c r="Q55" s="277"/>
      <c r="R55" s="398"/>
      <c r="S55" s="398"/>
      <c r="T55" s="398"/>
      <c r="U55" s="398"/>
      <c r="V55" s="398"/>
      <c r="W55" s="398"/>
      <c r="X55" s="398"/>
      <c r="Y55" s="409"/>
      <c r="Z55" s="409"/>
      <c r="AA55" s="409"/>
      <c r="AB55" s="409"/>
      <c r="AC55" s="421"/>
      <c r="AD55" s="432"/>
      <c r="AE55" s="431"/>
      <c r="AF55" s="431"/>
      <c r="AG55" s="415"/>
      <c r="AH55" s="431"/>
      <c r="AI55" s="431"/>
      <c r="AJ55" s="214"/>
      <c r="AK55" s="214"/>
      <c r="AL55" s="214"/>
    </row>
    <row r="56" spans="1:38" ht="12" customHeight="1" x14ac:dyDescent="0.2">
      <c r="A56" s="440" t="s">
        <v>642</v>
      </c>
      <c r="B56" s="277"/>
      <c r="C56" s="403"/>
      <c r="D56" s="403"/>
      <c r="E56" s="398"/>
      <c r="F56" s="398"/>
      <c r="G56" s="398"/>
      <c r="H56" s="398"/>
      <c r="I56" s="398"/>
      <c r="J56" s="398"/>
      <c r="K56" s="404"/>
      <c r="L56" s="398"/>
      <c r="M56" s="398"/>
      <c r="N56" s="214"/>
      <c r="O56" s="399"/>
      <c r="P56" s="442"/>
      <c r="Q56" s="277"/>
      <c r="R56" s="398"/>
      <c r="S56" s="398"/>
      <c r="T56" s="398"/>
      <c r="U56" s="398"/>
      <c r="V56" s="398"/>
      <c r="W56" s="398"/>
      <c r="X56" s="398"/>
      <c r="Y56" s="409"/>
      <c r="Z56" s="409"/>
      <c r="AA56" s="409"/>
      <c r="AB56" s="409"/>
      <c r="AC56" s="421"/>
      <c r="AD56" s="432"/>
      <c r="AE56" s="431"/>
      <c r="AF56" s="431"/>
      <c r="AG56" s="415"/>
      <c r="AH56" s="431"/>
      <c r="AI56" s="431"/>
      <c r="AJ56" s="214"/>
      <c r="AK56" s="214"/>
      <c r="AL56" s="214"/>
    </row>
    <row r="57" spans="1:38" ht="12" customHeight="1" x14ac:dyDescent="0.2">
      <c r="A57" s="440" t="s">
        <v>643</v>
      </c>
      <c r="B57" s="277"/>
      <c r="C57" s="398"/>
      <c r="D57" s="398"/>
      <c r="E57" s="398"/>
      <c r="F57" s="398"/>
      <c r="G57" s="398"/>
      <c r="H57" s="398"/>
      <c r="I57" s="398"/>
      <c r="J57" s="398"/>
      <c r="K57" s="398"/>
      <c r="L57" s="398"/>
      <c r="M57" s="398"/>
      <c r="N57" s="214"/>
      <c r="O57" s="399"/>
      <c r="P57" s="442"/>
      <c r="Q57" s="277"/>
      <c r="R57" s="398"/>
      <c r="S57" s="398"/>
      <c r="T57" s="398"/>
      <c r="U57" s="398"/>
      <c r="V57" s="398"/>
      <c r="W57" s="398"/>
      <c r="X57" s="398"/>
      <c r="Y57" s="409"/>
      <c r="Z57" s="409"/>
      <c r="AA57" s="409"/>
      <c r="AB57" s="409"/>
      <c r="AC57" s="421"/>
      <c r="AD57" s="432"/>
      <c r="AE57" s="431"/>
      <c r="AF57" s="431"/>
      <c r="AG57" s="415"/>
      <c r="AH57" s="431"/>
      <c r="AI57" s="431"/>
      <c r="AJ57" s="214"/>
      <c r="AK57" s="214"/>
      <c r="AL57" s="214"/>
    </row>
    <row r="58" spans="1:38" ht="12" customHeight="1" x14ac:dyDescent="0.2">
      <c r="A58" s="440" t="s">
        <v>644</v>
      </c>
      <c r="B58" s="277"/>
      <c r="C58" s="398"/>
      <c r="D58" s="398"/>
      <c r="E58" s="398"/>
      <c r="F58" s="398"/>
      <c r="G58" s="398"/>
      <c r="H58" s="398"/>
      <c r="I58" s="398"/>
      <c r="J58" s="398"/>
      <c r="K58" s="398"/>
      <c r="L58" s="398"/>
      <c r="M58" s="398"/>
      <c r="N58" s="214"/>
      <c r="O58" s="399"/>
      <c r="P58" s="442"/>
      <c r="Q58" s="277"/>
      <c r="R58" s="398"/>
      <c r="S58" s="398"/>
      <c r="T58" s="398"/>
      <c r="U58" s="398"/>
      <c r="V58" s="398"/>
      <c r="W58" s="398"/>
      <c r="X58" s="398"/>
      <c r="Y58" s="409"/>
      <c r="Z58" s="409"/>
      <c r="AA58" s="409"/>
      <c r="AB58" s="409"/>
      <c r="AC58" s="421"/>
      <c r="AD58" s="432"/>
      <c r="AE58" s="431"/>
      <c r="AF58" s="431"/>
      <c r="AG58" s="415"/>
      <c r="AH58" s="431"/>
      <c r="AI58" s="431"/>
      <c r="AJ58" s="214"/>
      <c r="AK58" s="214"/>
      <c r="AL58" s="214"/>
    </row>
    <row r="59" spans="1:38" ht="12" customHeight="1" x14ac:dyDescent="0.2">
      <c r="A59" s="440"/>
      <c r="B59" s="277"/>
      <c r="C59" s="398"/>
      <c r="D59" s="398"/>
      <c r="E59" s="398"/>
      <c r="F59" s="398"/>
      <c r="G59" s="398"/>
      <c r="H59" s="398"/>
      <c r="I59" s="398"/>
      <c r="J59" s="398"/>
      <c r="K59" s="398"/>
      <c r="L59" s="398"/>
      <c r="M59" s="398"/>
      <c r="N59" s="214"/>
      <c r="O59" s="399"/>
      <c r="P59" s="442"/>
      <c r="Q59" s="277"/>
      <c r="R59" s="398"/>
      <c r="S59" s="398"/>
      <c r="T59" s="398"/>
      <c r="U59" s="398"/>
      <c r="V59" s="398"/>
      <c r="W59" s="398"/>
      <c r="X59" s="398"/>
      <c r="Y59" s="409"/>
      <c r="Z59" s="409"/>
      <c r="AA59" s="409"/>
      <c r="AB59" s="409"/>
      <c r="AC59" s="421"/>
      <c r="AD59" s="432"/>
      <c r="AE59" s="431"/>
      <c r="AF59" s="431"/>
      <c r="AG59" s="415"/>
      <c r="AH59" s="431"/>
      <c r="AI59" s="431"/>
      <c r="AJ59" s="214"/>
      <c r="AK59" s="214"/>
      <c r="AL59" s="214"/>
    </row>
    <row r="60" spans="1:38" ht="12" customHeight="1" x14ac:dyDescent="0.2">
      <c r="A60" s="229"/>
      <c r="B60" s="277"/>
      <c r="C60" s="398"/>
      <c r="D60" s="398"/>
      <c r="E60" s="398"/>
      <c r="F60" s="398"/>
      <c r="G60" s="398"/>
      <c r="H60" s="398"/>
      <c r="I60" s="398"/>
      <c r="J60" s="398"/>
      <c r="K60" s="398"/>
      <c r="L60" s="398"/>
      <c r="M60" s="398"/>
      <c r="N60" s="214"/>
      <c r="O60" s="399"/>
      <c r="P60" s="442"/>
      <c r="Q60" s="277"/>
      <c r="R60" s="398"/>
      <c r="S60" s="398"/>
      <c r="T60" s="398"/>
      <c r="U60" s="398"/>
      <c r="V60" s="398"/>
      <c r="W60" s="398"/>
      <c r="X60" s="398"/>
      <c r="Y60" s="409"/>
      <c r="Z60" s="409"/>
      <c r="AA60" s="409"/>
      <c r="AB60" s="409"/>
      <c r="AC60" s="421"/>
      <c r="AD60" s="432"/>
      <c r="AE60" s="431"/>
      <c r="AF60" s="431"/>
      <c r="AG60" s="415"/>
      <c r="AH60" s="431"/>
      <c r="AI60" s="415"/>
      <c r="AJ60" s="214"/>
      <c r="AK60" s="214"/>
      <c r="AL60" s="214"/>
    </row>
    <row r="61" spans="1:38" ht="12" customHeight="1" x14ac:dyDescent="0.2">
      <c r="A61" s="229"/>
      <c r="B61" s="277"/>
      <c r="C61" s="398"/>
      <c r="D61" s="398"/>
      <c r="E61" s="398"/>
      <c r="F61" s="398"/>
      <c r="G61" s="398"/>
      <c r="H61" s="398"/>
      <c r="I61" s="398"/>
      <c r="J61" s="398"/>
      <c r="K61" s="398"/>
      <c r="L61" s="398"/>
      <c r="M61" s="398"/>
      <c r="N61" s="214"/>
      <c r="O61" s="399"/>
      <c r="P61" s="442"/>
      <c r="Q61" s="277"/>
      <c r="R61" s="398"/>
      <c r="S61" s="398"/>
      <c r="T61" s="398"/>
      <c r="U61" s="398"/>
      <c r="V61" s="398"/>
      <c r="W61" s="398"/>
      <c r="X61" s="398"/>
      <c r="Y61" s="409"/>
      <c r="Z61" s="409"/>
      <c r="AA61" s="409"/>
      <c r="AB61" s="409"/>
      <c r="AC61" s="421"/>
      <c r="AD61" s="432"/>
      <c r="AE61" s="431"/>
      <c r="AF61" s="431"/>
      <c r="AG61" s="415"/>
      <c r="AH61" s="431"/>
      <c r="AI61" s="415"/>
      <c r="AJ61" s="214"/>
      <c r="AK61" s="214"/>
      <c r="AL61" s="214"/>
    </row>
    <row r="62" spans="1:38" ht="12" customHeight="1" x14ac:dyDescent="0.2">
      <c r="A62" s="443"/>
      <c r="B62" s="444"/>
      <c r="C62" s="445"/>
      <c r="D62" s="445"/>
      <c r="E62" s="445"/>
      <c r="F62" s="445"/>
      <c r="G62" s="445"/>
      <c r="H62" s="445"/>
      <c r="I62" s="445"/>
      <c r="J62" s="445"/>
      <c r="K62" s="445"/>
      <c r="L62" s="445"/>
      <c r="M62" s="445"/>
      <c r="N62" s="446"/>
      <c r="O62" s="447"/>
      <c r="P62" s="448"/>
      <c r="Q62" s="449"/>
      <c r="R62" s="445"/>
      <c r="S62" s="445"/>
      <c r="T62" s="445"/>
      <c r="U62" s="445"/>
      <c r="V62" s="445"/>
      <c r="W62" s="445"/>
      <c r="X62" s="445"/>
      <c r="Y62" s="450"/>
      <c r="Z62" s="450"/>
      <c r="AA62" s="450"/>
      <c r="AB62" s="450"/>
      <c r="AC62" s="451"/>
      <c r="AD62" s="452"/>
      <c r="AE62" s="453"/>
      <c r="AF62" s="453"/>
      <c r="AG62" s="454"/>
      <c r="AH62" s="453"/>
      <c r="AI62" s="454"/>
      <c r="AJ62" s="214"/>
      <c r="AK62" s="214"/>
      <c r="AL62" s="214"/>
    </row>
    <row r="63" spans="1:38" ht="24" customHeight="1" x14ac:dyDescent="0.2">
      <c r="A63" s="455" t="s">
        <v>645</v>
      </c>
      <c r="B63" s="456">
        <f t="shared" ref="B63:AI63" si="82">SUM(B10:B62)</f>
        <v>1037</v>
      </c>
      <c r="C63" s="457">
        <f t="shared" si="82"/>
        <v>6104378.0966666657</v>
      </c>
      <c r="D63" s="457">
        <f t="shared" si="82"/>
        <v>71470</v>
      </c>
      <c r="E63" s="458">
        <f t="shared" si="82"/>
        <v>0</v>
      </c>
      <c r="F63" s="458">
        <f t="shared" si="82"/>
        <v>0</v>
      </c>
      <c r="G63" s="458">
        <f t="shared" si="82"/>
        <v>0</v>
      </c>
      <c r="H63" s="458">
        <f t="shared" si="82"/>
        <v>0</v>
      </c>
      <c r="I63" s="458">
        <f t="shared" si="82"/>
        <v>0</v>
      </c>
      <c r="J63" s="457">
        <f t="shared" si="82"/>
        <v>12964.179999999998</v>
      </c>
      <c r="K63" s="457">
        <f t="shared" si="82"/>
        <v>6188812.2766666673</v>
      </c>
      <c r="L63" s="457">
        <f t="shared" si="82"/>
        <v>316918</v>
      </c>
      <c r="M63" s="457">
        <f t="shared" si="82"/>
        <v>72052.160000000003</v>
      </c>
      <c r="N63" s="457">
        <f t="shared" si="82"/>
        <v>388970.16000000003</v>
      </c>
      <c r="O63" s="457">
        <f t="shared" si="82"/>
        <v>74654717.480000004</v>
      </c>
      <c r="P63" s="457">
        <f t="shared" si="82"/>
        <v>86495004.819999978</v>
      </c>
      <c r="Q63" s="459">
        <f t="shared" si="82"/>
        <v>1065</v>
      </c>
      <c r="R63" s="457">
        <f t="shared" si="82"/>
        <v>6358828.7458563074</v>
      </c>
      <c r="S63" s="457">
        <f t="shared" si="82"/>
        <v>66319</v>
      </c>
      <c r="T63" s="458">
        <f t="shared" si="82"/>
        <v>0</v>
      </c>
      <c r="U63" s="458">
        <f t="shared" si="82"/>
        <v>0</v>
      </c>
      <c r="V63" s="458">
        <f t="shared" si="82"/>
        <v>0</v>
      </c>
      <c r="W63" s="458">
        <f t="shared" si="82"/>
        <v>0</v>
      </c>
      <c r="X63" s="458">
        <f t="shared" si="82"/>
        <v>0</v>
      </c>
      <c r="Y63" s="457">
        <f t="shared" si="82"/>
        <v>24119.284305555011</v>
      </c>
      <c r="Z63" s="457">
        <f t="shared" si="82"/>
        <v>6449267.0301618632</v>
      </c>
      <c r="AA63" s="457">
        <f t="shared" si="82"/>
        <v>315918</v>
      </c>
      <c r="AB63" s="457">
        <f t="shared" si="82"/>
        <v>72052.160000000003</v>
      </c>
      <c r="AC63" s="457">
        <f t="shared" si="82"/>
        <v>387970.16000000003</v>
      </c>
      <c r="AD63" s="457">
        <f t="shared" si="82"/>
        <v>77779174.521942392</v>
      </c>
      <c r="AE63" s="457">
        <f t="shared" si="82"/>
        <v>91430337.819999859</v>
      </c>
      <c r="AF63" s="457">
        <f t="shared" si="82"/>
        <v>-3124457.0419423846</v>
      </c>
      <c r="AG63" s="457">
        <f t="shared" si="82"/>
        <v>-4935332.9999998398</v>
      </c>
      <c r="AH63" s="458">
        <f t="shared" si="82"/>
        <v>1076</v>
      </c>
      <c r="AI63" s="457">
        <f t="shared" si="82"/>
        <v>96891853.819990024</v>
      </c>
      <c r="AJ63" s="214"/>
      <c r="AK63" s="214"/>
      <c r="AL63" s="214"/>
    </row>
    <row r="64" spans="1:38" ht="12" customHeight="1" x14ac:dyDescent="0.2">
      <c r="A64" s="48"/>
      <c r="B64" s="214"/>
      <c r="C64" s="214"/>
      <c r="D64" s="214"/>
      <c r="E64" s="214"/>
      <c r="F64" s="214"/>
      <c r="G64" s="214"/>
      <c r="H64" s="214"/>
      <c r="I64" s="214"/>
      <c r="J64" s="214"/>
      <c r="K64" s="214"/>
      <c r="L64" s="214"/>
      <c r="M64" s="214"/>
      <c r="N64" s="214"/>
      <c r="O64" s="214"/>
      <c r="P64" s="214"/>
      <c r="Q64" s="271"/>
      <c r="R64" s="214"/>
      <c r="S64" s="214"/>
      <c r="T64" s="214"/>
      <c r="U64" s="214"/>
      <c r="V64" s="214"/>
      <c r="W64" s="214"/>
      <c r="X64" s="214"/>
      <c r="Y64" s="421"/>
      <c r="Z64" s="421"/>
      <c r="AA64" s="421"/>
      <c r="AB64" s="421"/>
      <c r="AC64" s="421"/>
      <c r="AD64" s="460"/>
      <c r="AE64" s="460"/>
      <c r="AF64" s="460"/>
      <c r="AG64" s="460"/>
      <c r="AH64" s="460"/>
      <c r="AI64" s="461">
        <v>7463827</v>
      </c>
      <c r="AJ64" s="214"/>
      <c r="AK64" s="214"/>
      <c r="AL64" s="214"/>
    </row>
    <row r="65" spans="1:38" ht="12" customHeight="1" x14ac:dyDescent="0.2">
      <c r="A65" s="214"/>
      <c r="B65" s="214"/>
      <c r="C65" s="214"/>
      <c r="D65" s="214"/>
      <c r="E65" s="214"/>
      <c r="F65" s="214"/>
      <c r="G65" s="214"/>
      <c r="H65" s="214"/>
      <c r="I65" s="214"/>
      <c r="J65" s="214"/>
      <c r="K65" s="214"/>
      <c r="L65" s="214"/>
      <c r="M65" s="214"/>
      <c r="N65" s="214"/>
      <c r="O65" s="214"/>
      <c r="P65" s="214"/>
      <c r="Q65" s="271"/>
      <c r="R65" s="214"/>
      <c r="S65" s="214"/>
      <c r="T65" s="214"/>
      <c r="U65" s="214"/>
      <c r="V65" s="214"/>
      <c r="W65" s="214"/>
      <c r="X65" s="214"/>
      <c r="Y65" s="421"/>
      <c r="Z65" s="421"/>
      <c r="AA65" s="421"/>
      <c r="AB65" s="421"/>
      <c r="AC65" s="421"/>
      <c r="AD65" s="460"/>
      <c r="AE65" s="460"/>
      <c r="AF65" s="460"/>
      <c r="AG65" s="460"/>
      <c r="AH65" s="460"/>
      <c r="AI65" s="461"/>
      <c r="AJ65" s="214"/>
      <c r="AK65" s="214"/>
      <c r="AL65" s="214"/>
    </row>
    <row r="66" spans="1:38" ht="24" customHeight="1" x14ac:dyDescent="0.2">
      <c r="A66" s="462" t="s">
        <v>473</v>
      </c>
      <c r="B66" s="394"/>
      <c r="C66" s="394"/>
      <c r="D66" s="394"/>
      <c r="E66" s="394"/>
      <c r="F66" s="394"/>
      <c r="G66" s="394"/>
      <c r="H66" s="394"/>
      <c r="I66" s="394"/>
      <c r="J66" s="394"/>
      <c r="K66" s="394"/>
      <c r="L66" s="394"/>
      <c r="M66" s="394"/>
      <c r="N66" s="394"/>
      <c r="O66" s="394"/>
      <c r="P66" s="394"/>
      <c r="Q66" s="463"/>
      <c r="R66" s="394"/>
      <c r="S66" s="394"/>
      <c r="T66" s="394"/>
      <c r="U66" s="394"/>
      <c r="V66" s="394"/>
      <c r="W66" s="394"/>
      <c r="X66" s="394"/>
      <c r="Y66" s="464"/>
      <c r="Z66" s="464"/>
      <c r="AA66" s="464"/>
      <c r="AB66" s="464"/>
      <c r="AC66" s="464"/>
      <c r="AD66" s="465"/>
      <c r="AE66" s="465"/>
      <c r="AF66" s="465"/>
      <c r="AG66" s="465"/>
      <c r="AH66" s="465"/>
      <c r="AI66" s="466"/>
      <c r="AJ66" s="214"/>
      <c r="AK66" s="214"/>
      <c r="AL66" s="214"/>
    </row>
    <row r="67" spans="1:38" ht="12" customHeight="1" x14ac:dyDescent="0.2">
      <c r="A67" s="467" t="s">
        <v>646</v>
      </c>
      <c r="B67" s="468"/>
      <c r="C67" s="468"/>
      <c r="D67" s="468"/>
      <c r="E67" s="468"/>
      <c r="F67" s="468"/>
      <c r="G67" s="468"/>
      <c r="H67" s="468"/>
      <c r="I67" s="468"/>
      <c r="J67" s="468"/>
      <c r="K67" s="468"/>
      <c r="L67" s="468"/>
      <c r="M67" s="468"/>
      <c r="N67" s="468"/>
      <c r="O67" s="468"/>
      <c r="P67" s="468"/>
      <c r="Q67" s="288"/>
      <c r="R67" s="468"/>
      <c r="S67" s="468"/>
      <c r="T67" s="468"/>
      <c r="U67" s="468"/>
      <c r="V67" s="468"/>
      <c r="W67" s="468"/>
      <c r="X67" s="468"/>
      <c r="Y67" s="469"/>
      <c r="Z67" s="469"/>
      <c r="AA67" s="469"/>
      <c r="AB67" s="469"/>
      <c r="AC67" s="469"/>
      <c r="AD67" s="470"/>
      <c r="AE67" s="470"/>
      <c r="AF67" s="470"/>
      <c r="AG67" s="470"/>
      <c r="AH67" s="470"/>
      <c r="AI67" s="471"/>
      <c r="AJ67" s="214"/>
      <c r="AK67" s="214"/>
      <c r="AL67" s="214"/>
    </row>
    <row r="68" spans="1:38" ht="12" customHeight="1" x14ac:dyDescent="0.2">
      <c r="A68" s="267" t="s">
        <v>441</v>
      </c>
      <c r="B68" s="222"/>
      <c r="C68" s="393"/>
      <c r="D68" s="393"/>
      <c r="E68" s="393"/>
      <c r="F68" s="393"/>
      <c r="G68" s="393"/>
      <c r="H68" s="393"/>
      <c r="I68" s="393"/>
      <c r="J68" s="393"/>
      <c r="K68" s="393"/>
      <c r="L68" s="393"/>
      <c r="M68" s="393"/>
      <c r="N68" s="394"/>
      <c r="O68" s="395"/>
      <c r="P68" s="397"/>
      <c r="Q68" s="222"/>
      <c r="R68" s="393"/>
      <c r="S68" s="393"/>
      <c r="T68" s="393"/>
      <c r="U68" s="393"/>
      <c r="V68" s="393"/>
      <c r="W68" s="393"/>
      <c r="X68" s="393"/>
      <c r="Y68" s="472"/>
      <c r="Z68" s="472"/>
      <c r="AA68" s="472"/>
      <c r="AB68" s="472"/>
      <c r="AC68" s="464"/>
      <c r="AD68" s="473"/>
      <c r="AE68" s="474"/>
      <c r="AF68" s="474"/>
      <c r="AG68" s="475"/>
      <c r="AH68" s="474"/>
      <c r="AI68" s="475"/>
      <c r="AJ68" s="214"/>
      <c r="AK68" s="214"/>
      <c r="AL68" s="214"/>
    </row>
    <row r="69" spans="1:38" ht="12" customHeight="1" x14ac:dyDescent="0.2">
      <c r="A69" s="248" t="s">
        <v>647</v>
      </c>
      <c r="B69" s="277">
        <v>1</v>
      </c>
      <c r="C69" s="404">
        <v>9800</v>
      </c>
      <c r="D69" s="404"/>
      <c r="E69" s="404"/>
      <c r="F69" s="404"/>
      <c r="G69" s="404"/>
      <c r="H69" s="404"/>
      <c r="I69" s="404"/>
      <c r="J69" s="404">
        <f t="shared" ref="J69:J76" si="83">C69*10.5%</f>
        <v>1029</v>
      </c>
      <c r="K69" s="404">
        <f t="shared" ref="K69:K77" si="84">SUM(C69:J69)*12</f>
        <v>129948</v>
      </c>
      <c r="L69" s="404">
        <v>29400</v>
      </c>
      <c r="M69" s="404">
        <v>28259.666666666701</v>
      </c>
      <c r="N69" s="279">
        <f t="shared" ref="N69:N76" si="85">+L69+M69</f>
        <v>57659.666666666701</v>
      </c>
      <c r="O69" s="405">
        <f t="shared" ref="O69:O76" si="86">+K69+N69</f>
        <v>187607.66666666669</v>
      </c>
      <c r="P69" s="278">
        <f t="shared" ref="P69:P77" si="87">O69*B69</f>
        <v>187607.66666666669</v>
      </c>
      <c r="Q69" s="229">
        <v>1</v>
      </c>
      <c r="R69" s="398">
        <v>9800</v>
      </c>
      <c r="S69" s="398"/>
      <c r="T69" s="398"/>
      <c r="U69" s="398"/>
      <c r="V69" s="398"/>
      <c r="W69" s="398"/>
      <c r="X69" s="398"/>
      <c r="Y69" s="408">
        <f t="shared" ref="Y69:Y76" si="88">R69*10.5%</f>
        <v>1029</v>
      </c>
      <c r="Z69" s="408">
        <f t="shared" ref="Z69:Z77" si="89">SUM(R69:Y69)*12</f>
        <v>129948</v>
      </c>
      <c r="AA69" s="409">
        <v>29400</v>
      </c>
      <c r="AB69" s="409">
        <v>28259.666666666701</v>
      </c>
      <c r="AC69" s="410">
        <f t="shared" ref="AC69:AC76" si="90">+AA69+AB69</f>
        <v>57659.666666666701</v>
      </c>
      <c r="AD69" s="411">
        <f t="shared" ref="AD69:AD76" si="91">+Z69+AC69</f>
        <v>187607.66666666669</v>
      </c>
      <c r="AE69" s="412">
        <f t="shared" ref="AE69:AE77" si="92">AD69*Q69</f>
        <v>187607.66666666669</v>
      </c>
      <c r="AF69" s="412">
        <f t="shared" ref="AF69:AG69" si="93">O69-AD69</f>
        <v>0</v>
      </c>
      <c r="AG69" s="413">
        <f t="shared" si="93"/>
        <v>0</v>
      </c>
      <c r="AH69" s="431">
        <v>1</v>
      </c>
      <c r="AI69" s="413">
        <v>180430</v>
      </c>
      <c r="AJ69" s="214"/>
      <c r="AK69" s="214"/>
      <c r="AL69" s="214"/>
    </row>
    <row r="70" spans="1:38" ht="12" customHeight="1" x14ac:dyDescent="0.2">
      <c r="A70" s="248" t="s">
        <v>648</v>
      </c>
      <c r="B70" s="277">
        <v>1</v>
      </c>
      <c r="C70" s="404">
        <v>8340</v>
      </c>
      <c r="D70" s="404"/>
      <c r="E70" s="404"/>
      <c r="F70" s="404"/>
      <c r="G70" s="404"/>
      <c r="H70" s="404"/>
      <c r="I70" s="404"/>
      <c r="J70" s="404">
        <f t="shared" si="83"/>
        <v>875.69999999999993</v>
      </c>
      <c r="K70" s="404">
        <f t="shared" si="84"/>
        <v>110588.40000000001</v>
      </c>
      <c r="L70" s="404">
        <v>25020</v>
      </c>
      <c r="M70" s="404">
        <v>32772.699999999997</v>
      </c>
      <c r="N70" s="279">
        <f t="shared" si="85"/>
        <v>57792.7</v>
      </c>
      <c r="O70" s="405">
        <f t="shared" si="86"/>
        <v>168381.1</v>
      </c>
      <c r="P70" s="278">
        <f t="shared" si="87"/>
        <v>168381.1</v>
      </c>
      <c r="Q70" s="229">
        <v>1</v>
      </c>
      <c r="R70" s="398">
        <v>8340</v>
      </c>
      <c r="S70" s="398"/>
      <c r="T70" s="398"/>
      <c r="U70" s="398"/>
      <c r="V70" s="398"/>
      <c r="W70" s="398"/>
      <c r="X70" s="398"/>
      <c r="Y70" s="408">
        <f t="shared" si="88"/>
        <v>875.69999999999993</v>
      </c>
      <c r="Z70" s="408">
        <f t="shared" si="89"/>
        <v>110588.40000000001</v>
      </c>
      <c r="AA70" s="409">
        <v>25020</v>
      </c>
      <c r="AB70" s="409">
        <v>32772.699999999997</v>
      </c>
      <c r="AC70" s="410">
        <f t="shared" si="90"/>
        <v>57792.7</v>
      </c>
      <c r="AD70" s="411">
        <f t="shared" si="91"/>
        <v>168381.1</v>
      </c>
      <c r="AE70" s="412">
        <f t="shared" si="92"/>
        <v>168381.1</v>
      </c>
      <c r="AF70" s="412">
        <f t="shared" ref="AF70:AG70" si="94">O70-AD70</f>
        <v>0</v>
      </c>
      <c r="AG70" s="413">
        <f t="shared" si="94"/>
        <v>0</v>
      </c>
      <c r="AH70" s="431">
        <v>1</v>
      </c>
      <c r="AI70" s="413">
        <v>154699</v>
      </c>
      <c r="AJ70" s="214"/>
      <c r="AK70" s="214"/>
      <c r="AL70" s="214"/>
    </row>
    <row r="71" spans="1:38" ht="12" customHeight="1" x14ac:dyDescent="0.2">
      <c r="A71" s="248" t="s">
        <v>649</v>
      </c>
      <c r="B71" s="277">
        <v>16</v>
      </c>
      <c r="C71" s="404">
        <v>6780</v>
      </c>
      <c r="D71" s="404"/>
      <c r="E71" s="404"/>
      <c r="F71" s="404"/>
      <c r="G71" s="404"/>
      <c r="H71" s="404"/>
      <c r="I71" s="404"/>
      <c r="J71" s="404">
        <f t="shared" si="83"/>
        <v>711.9</v>
      </c>
      <c r="K71" s="404">
        <f t="shared" si="84"/>
        <v>89902.799999999988</v>
      </c>
      <c r="L71" s="404">
        <v>20340</v>
      </c>
      <c r="M71" s="404">
        <v>29326.9</v>
      </c>
      <c r="N71" s="279">
        <f t="shared" si="85"/>
        <v>49666.9</v>
      </c>
      <c r="O71" s="405">
        <f t="shared" si="86"/>
        <v>139569.69999999998</v>
      </c>
      <c r="P71" s="278">
        <f t="shared" si="87"/>
        <v>2233115.1999999997</v>
      </c>
      <c r="Q71" s="229">
        <v>18</v>
      </c>
      <c r="R71" s="398">
        <v>6780</v>
      </c>
      <c r="S71" s="398"/>
      <c r="T71" s="398"/>
      <c r="U71" s="398"/>
      <c r="V71" s="398"/>
      <c r="W71" s="398"/>
      <c r="X71" s="398"/>
      <c r="Y71" s="408">
        <f t="shared" si="88"/>
        <v>711.9</v>
      </c>
      <c r="Z71" s="408">
        <f t="shared" si="89"/>
        <v>89902.799999999988</v>
      </c>
      <c r="AA71" s="409">
        <v>20340</v>
      </c>
      <c r="AB71" s="409">
        <v>29326.9</v>
      </c>
      <c r="AC71" s="410">
        <f t="shared" si="90"/>
        <v>49666.9</v>
      </c>
      <c r="AD71" s="411">
        <f t="shared" si="91"/>
        <v>139569.69999999998</v>
      </c>
      <c r="AE71" s="412">
        <f t="shared" si="92"/>
        <v>2512254.5999999996</v>
      </c>
      <c r="AF71" s="412">
        <f t="shared" ref="AF71:AG71" si="95">O71-AD71</f>
        <v>0</v>
      </c>
      <c r="AG71" s="413">
        <f t="shared" si="95"/>
        <v>-279139.39999999991</v>
      </c>
      <c r="AH71" s="431">
        <v>18</v>
      </c>
      <c r="AI71" s="413">
        <v>2253809.79</v>
      </c>
      <c r="AJ71" s="214"/>
      <c r="AK71" s="214"/>
      <c r="AL71" s="214"/>
    </row>
    <row r="72" spans="1:38" ht="12" customHeight="1" x14ac:dyDescent="0.2">
      <c r="A72" s="248" t="s">
        <v>650</v>
      </c>
      <c r="B72" s="277">
        <v>6</v>
      </c>
      <c r="C72" s="404">
        <v>5550</v>
      </c>
      <c r="D72" s="404"/>
      <c r="E72" s="404"/>
      <c r="F72" s="404"/>
      <c r="G72" s="404"/>
      <c r="H72" s="404"/>
      <c r="I72" s="404"/>
      <c r="J72" s="404">
        <f t="shared" si="83"/>
        <v>582.75</v>
      </c>
      <c r="K72" s="404">
        <f t="shared" si="84"/>
        <v>73593</v>
      </c>
      <c r="L72" s="404">
        <v>16650</v>
      </c>
      <c r="M72" s="404">
        <v>25110.25</v>
      </c>
      <c r="N72" s="279">
        <f t="shared" si="85"/>
        <v>41760.25</v>
      </c>
      <c r="O72" s="405">
        <f t="shared" si="86"/>
        <v>115353.25</v>
      </c>
      <c r="P72" s="278">
        <f t="shared" si="87"/>
        <v>692119.5</v>
      </c>
      <c r="Q72" s="229">
        <v>6</v>
      </c>
      <c r="R72" s="398">
        <v>5550</v>
      </c>
      <c r="S72" s="398"/>
      <c r="T72" s="398"/>
      <c r="U72" s="398"/>
      <c r="V72" s="398"/>
      <c r="W72" s="398"/>
      <c r="X72" s="398"/>
      <c r="Y72" s="408">
        <f t="shared" si="88"/>
        <v>582.75</v>
      </c>
      <c r="Z72" s="408">
        <f t="shared" si="89"/>
        <v>73593</v>
      </c>
      <c r="AA72" s="409">
        <v>16650</v>
      </c>
      <c r="AB72" s="409">
        <v>25110.25</v>
      </c>
      <c r="AC72" s="410">
        <f t="shared" si="90"/>
        <v>41760.25</v>
      </c>
      <c r="AD72" s="411">
        <f t="shared" si="91"/>
        <v>115353.25</v>
      </c>
      <c r="AE72" s="412">
        <f t="shared" si="92"/>
        <v>692119.5</v>
      </c>
      <c r="AF72" s="412">
        <f t="shared" ref="AF72:AG72" si="96">O72-AD72</f>
        <v>0</v>
      </c>
      <c r="AG72" s="413">
        <f t="shared" si="96"/>
        <v>0</v>
      </c>
      <c r="AH72" s="431">
        <v>6</v>
      </c>
      <c r="AI72" s="413">
        <v>616755</v>
      </c>
      <c r="AJ72" s="214"/>
      <c r="AK72" s="214"/>
      <c r="AL72" s="214"/>
    </row>
    <row r="73" spans="1:38" ht="12" customHeight="1" x14ac:dyDescent="0.2">
      <c r="A73" s="248" t="s">
        <v>651</v>
      </c>
      <c r="B73" s="277">
        <v>3</v>
      </c>
      <c r="C73" s="404">
        <v>5504.7</v>
      </c>
      <c r="D73" s="404"/>
      <c r="E73" s="404"/>
      <c r="F73" s="404"/>
      <c r="G73" s="404"/>
      <c r="H73" s="404"/>
      <c r="I73" s="404"/>
      <c r="J73" s="404">
        <f t="shared" si="83"/>
        <v>577.99349999999993</v>
      </c>
      <c r="K73" s="404">
        <f t="shared" si="84"/>
        <v>72992.321999999986</v>
      </c>
      <c r="L73" s="404">
        <v>13770</v>
      </c>
      <c r="M73" s="404">
        <v>24690.2</v>
      </c>
      <c r="N73" s="279">
        <f t="shared" si="85"/>
        <v>38460.199999999997</v>
      </c>
      <c r="O73" s="405">
        <f t="shared" si="86"/>
        <v>111452.52199999998</v>
      </c>
      <c r="P73" s="278">
        <f t="shared" si="87"/>
        <v>334357.56599999993</v>
      </c>
      <c r="Q73" s="229">
        <v>3</v>
      </c>
      <c r="R73" s="398">
        <v>5504.7</v>
      </c>
      <c r="S73" s="398"/>
      <c r="T73" s="398"/>
      <c r="U73" s="398"/>
      <c r="V73" s="398"/>
      <c r="W73" s="398"/>
      <c r="X73" s="398"/>
      <c r="Y73" s="408">
        <f t="shared" si="88"/>
        <v>577.99349999999993</v>
      </c>
      <c r="Z73" s="408">
        <f t="shared" si="89"/>
        <v>72992.321999999986</v>
      </c>
      <c r="AA73" s="409">
        <v>13770</v>
      </c>
      <c r="AB73" s="409">
        <v>24690.2</v>
      </c>
      <c r="AC73" s="410">
        <f t="shared" si="90"/>
        <v>38460.199999999997</v>
      </c>
      <c r="AD73" s="411">
        <f t="shared" si="91"/>
        <v>111452.52199999998</v>
      </c>
      <c r="AE73" s="412">
        <f t="shared" si="92"/>
        <v>334357.56599999993</v>
      </c>
      <c r="AF73" s="412">
        <f t="shared" ref="AF73:AG73" si="97">O73-AD73</f>
        <v>0</v>
      </c>
      <c r="AG73" s="413">
        <f t="shared" si="97"/>
        <v>0</v>
      </c>
      <c r="AH73" s="431">
        <v>3</v>
      </c>
      <c r="AI73" s="413">
        <v>254909.5</v>
      </c>
      <c r="AJ73" s="214"/>
      <c r="AK73" s="214"/>
      <c r="AL73" s="214"/>
    </row>
    <row r="74" spans="1:38" ht="12" customHeight="1" x14ac:dyDescent="0.2">
      <c r="A74" s="248" t="s">
        <v>651</v>
      </c>
      <c r="B74" s="277">
        <v>8</v>
      </c>
      <c r="C74" s="404">
        <v>5504.7</v>
      </c>
      <c r="D74" s="404"/>
      <c r="E74" s="404"/>
      <c r="F74" s="404"/>
      <c r="G74" s="404"/>
      <c r="H74" s="404"/>
      <c r="I74" s="404"/>
      <c r="J74" s="404">
        <f t="shared" si="83"/>
        <v>577.99349999999993</v>
      </c>
      <c r="K74" s="404">
        <f t="shared" si="84"/>
        <v>72992.321999999986</v>
      </c>
      <c r="L74" s="404">
        <v>16438.2</v>
      </c>
      <c r="M74" s="404">
        <v>25921.995999999999</v>
      </c>
      <c r="N74" s="279">
        <f t="shared" si="85"/>
        <v>42360.195999999996</v>
      </c>
      <c r="O74" s="405">
        <f t="shared" si="86"/>
        <v>115352.51799999998</v>
      </c>
      <c r="P74" s="278">
        <f t="shared" si="87"/>
        <v>922820.14399999985</v>
      </c>
      <c r="Q74" s="229">
        <v>8</v>
      </c>
      <c r="R74" s="398">
        <v>5504.7</v>
      </c>
      <c r="S74" s="398"/>
      <c r="T74" s="398"/>
      <c r="U74" s="398"/>
      <c r="V74" s="398"/>
      <c r="W74" s="398"/>
      <c r="X74" s="398"/>
      <c r="Y74" s="408">
        <f t="shared" si="88"/>
        <v>577.99349999999993</v>
      </c>
      <c r="Z74" s="408">
        <f t="shared" si="89"/>
        <v>72992.321999999986</v>
      </c>
      <c r="AA74" s="409">
        <v>16438.2</v>
      </c>
      <c r="AB74" s="409">
        <v>25921.995999999999</v>
      </c>
      <c r="AC74" s="410">
        <f t="shared" si="90"/>
        <v>42360.195999999996</v>
      </c>
      <c r="AD74" s="411">
        <f t="shared" si="91"/>
        <v>115352.51799999998</v>
      </c>
      <c r="AE74" s="412">
        <f t="shared" si="92"/>
        <v>922820.14399999985</v>
      </c>
      <c r="AF74" s="412">
        <f t="shared" ref="AF74:AG74" si="98">O74-AD74</f>
        <v>0</v>
      </c>
      <c r="AG74" s="413">
        <f t="shared" si="98"/>
        <v>0</v>
      </c>
      <c r="AH74" s="431">
        <v>8</v>
      </c>
      <c r="AI74" s="413">
        <v>817841.22</v>
      </c>
      <c r="AJ74" s="214"/>
      <c r="AK74" s="214"/>
      <c r="AL74" s="214"/>
    </row>
    <row r="75" spans="1:38" ht="12" customHeight="1" x14ac:dyDescent="0.2">
      <c r="A75" s="248" t="s">
        <v>652</v>
      </c>
      <c r="B75" s="277">
        <v>7</v>
      </c>
      <c r="C75" s="404">
        <v>5288.7</v>
      </c>
      <c r="D75" s="404"/>
      <c r="E75" s="404"/>
      <c r="F75" s="404"/>
      <c r="G75" s="404"/>
      <c r="H75" s="404"/>
      <c r="I75" s="404"/>
      <c r="J75" s="404">
        <f t="shared" si="83"/>
        <v>555.31349999999998</v>
      </c>
      <c r="K75" s="404">
        <f t="shared" si="84"/>
        <v>70128.161999999997</v>
      </c>
      <c r="L75" s="404">
        <v>15790.2</v>
      </c>
      <c r="M75" s="404">
        <v>25406.116000000002</v>
      </c>
      <c r="N75" s="279">
        <f t="shared" si="85"/>
        <v>41196.316000000006</v>
      </c>
      <c r="O75" s="405">
        <f t="shared" si="86"/>
        <v>111324.478</v>
      </c>
      <c r="P75" s="278">
        <f t="shared" si="87"/>
        <v>779271.34600000002</v>
      </c>
      <c r="Q75" s="229">
        <v>5</v>
      </c>
      <c r="R75" s="398">
        <v>5288.7</v>
      </c>
      <c r="S75" s="398"/>
      <c r="T75" s="398"/>
      <c r="U75" s="398"/>
      <c r="V75" s="398"/>
      <c r="W75" s="398"/>
      <c r="X75" s="398"/>
      <c r="Y75" s="408">
        <f t="shared" si="88"/>
        <v>555.31349999999998</v>
      </c>
      <c r="Z75" s="408">
        <f t="shared" si="89"/>
        <v>70128.161999999997</v>
      </c>
      <c r="AA75" s="409">
        <v>15790.2</v>
      </c>
      <c r="AB75" s="409">
        <v>25406.116000000002</v>
      </c>
      <c r="AC75" s="410">
        <f t="shared" si="90"/>
        <v>41196.316000000006</v>
      </c>
      <c r="AD75" s="411">
        <f t="shared" si="91"/>
        <v>111324.478</v>
      </c>
      <c r="AE75" s="412">
        <f t="shared" si="92"/>
        <v>556622.39</v>
      </c>
      <c r="AF75" s="412">
        <f t="shared" ref="AF75:AG75" si="99">O75-AD75</f>
        <v>0</v>
      </c>
      <c r="AG75" s="413">
        <f t="shared" si="99"/>
        <v>222648.95600000001</v>
      </c>
      <c r="AH75" s="431">
        <v>5</v>
      </c>
      <c r="AI75" s="413">
        <v>516418.67</v>
      </c>
      <c r="AJ75" s="214"/>
      <c r="AK75" s="214"/>
      <c r="AL75" s="214"/>
    </row>
    <row r="76" spans="1:38" ht="12" customHeight="1" x14ac:dyDescent="0.2">
      <c r="A76" s="248" t="s">
        <v>653</v>
      </c>
      <c r="B76" s="277">
        <v>3</v>
      </c>
      <c r="C76" s="404">
        <v>4928.7</v>
      </c>
      <c r="D76" s="404"/>
      <c r="E76" s="404"/>
      <c r="F76" s="404"/>
      <c r="G76" s="404"/>
      <c r="H76" s="404"/>
      <c r="I76" s="404"/>
      <c r="J76" s="404">
        <f t="shared" si="83"/>
        <v>517.51349999999991</v>
      </c>
      <c r="K76" s="404">
        <f t="shared" si="84"/>
        <v>65354.561999999998</v>
      </c>
      <c r="L76" s="404">
        <v>14865.439999999999</v>
      </c>
      <c r="M76" s="404">
        <v>24650.8442666667</v>
      </c>
      <c r="N76" s="279">
        <f t="shared" si="85"/>
        <v>39516.284266666698</v>
      </c>
      <c r="O76" s="405">
        <f t="shared" si="86"/>
        <v>104870.84626666669</v>
      </c>
      <c r="P76" s="278">
        <f t="shared" si="87"/>
        <v>314612.5388000001</v>
      </c>
      <c r="Q76" s="229">
        <v>3</v>
      </c>
      <c r="R76" s="398">
        <v>4928.7</v>
      </c>
      <c r="S76" s="398"/>
      <c r="T76" s="398"/>
      <c r="U76" s="398"/>
      <c r="V76" s="398"/>
      <c r="W76" s="398"/>
      <c r="X76" s="398"/>
      <c r="Y76" s="408">
        <f t="shared" si="88"/>
        <v>517.51349999999991</v>
      </c>
      <c r="Z76" s="408">
        <f t="shared" si="89"/>
        <v>65354.561999999998</v>
      </c>
      <c r="AA76" s="409">
        <v>14865.439999999999</v>
      </c>
      <c r="AB76" s="409">
        <v>24650.8442666667</v>
      </c>
      <c r="AC76" s="410">
        <f t="shared" si="90"/>
        <v>39516.284266666698</v>
      </c>
      <c r="AD76" s="411">
        <f t="shared" si="91"/>
        <v>104870.84626666669</v>
      </c>
      <c r="AE76" s="412">
        <f t="shared" si="92"/>
        <v>314612.5388000001</v>
      </c>
      <c r="AF76" s="412">
        <f t="shared" ref="AF76:AG76" si="100">O76-AD76</f>
        <v>0</v>
      </c>
      <c r="AG76" s="413">
        <f t="shared" si="100"/>
        <v>0</v>
      </c>
      <c r="AH76" s="431">
        <v>3</v>
      </c>
      <c r="AI76" s="413">
        <v>276268.08</v>
      </c>
      <c r="AJ76" s="214"/>
      <c r="AK76" s="214"/>
      <c r="AL76" s="214"/>
    </row>
    <row r="77" spans="1:38" ht="12" customHeight="1" x14ac:dyDescent="0.2">
      <c r="A77" s="248" t="s">
        <v>482</v>
      </c>
      <c r="B77" s="277">
        <v>7</v>
      </c>
      <c r="C77" s="404"/>
      <c r="D77" s="404"/>
      <c r="E77" s="404"/>
      <c r="F77" s="404"/>
      <c r="G77" s="404"/>
      <c r="H77" s="404"/>
      <c r="I77" s="404"/>
      <c r="J77" s="404">
        <v>3100</v>
      </c>
      <c r="K77" s="404">
        <f t="shared" si="84"/>
        <v>37200</v>
      </c>
      <c r="L77" s="404"/>
      <c r="M77" s="404"/>
      <c r="N77" s="214"/>
      <c r="O77" s="405">
        <f>K77</f>
        <v>37200</v>
      </c>
      <c r="P77" s="278">
        <f t="shared" si="87"/>
        <v>260400</v>
      </c>
      <c r="Q77" s="229">
        <v>7</v>
      </c>
      <c r="R77" s="398"/>
      <c r="S77" s="398"/>
      <c r="T77" s="398"/>
      <c r="U77" s="398"/>
      <c r="V77" s="398"/>
      <c r="W77" s="398"/>
      <c r="X77" s="398"/>
      <c r="Y77" s="408">
        <v>3100</v>
      </c>
      <c r="Z77" s="408">
        <f t="shared" si="89"/>
        <v>37200</v>
      </c>
      <c r="AA77" s="409"/>
      <c r="AB77" s="409"/>
      <c r="AC77" s="410"/>
      <c r="AD77" s="411">
        <f>Z77</f>
        <v>37200</v>
      </c>
      <c r="AE77" s="412">
        <f t="shared" si="92"/>
        <v>260400</v>
      </c>
      <c r="AF77" s="412">
        <f t="shared" ref="AF77:AG77" si="101">O77-AD77</f>
        <v>0</v>
      </c>
      <c r="AG77" s="413">
        <f t="shared" si="101"/>
        <v>0</v>
      </c>
      <c r="AH77" s="431">
        <v>7</v>
      </c>
      <c r="AI77" s="413">
        <v>260400</v>
      </c>
      <c r="AJ77" s="214"/>
      <c r="AK77" s="214"/>
      <c r="AL77" s="214"/>
    </row>
    <row r="78" spans="1:38" ht="12" customHeight="1" x14ac:dyDescent="0.2">
      <c r="A78" s="247" t="s">
        <v>452</v>
      </c>
      <c r="B78" s="229"/>
      <c r="C78" s="404"/>
      <c r="D78" s="404"/>
      <c r="E78" s="404"/>
      <c r="F78" s="404"/>
      <c r="G78" s="404"/>
      <c r="H78" s="404"/>
      <c r="I78" s="404"/>
      <c r="J78" s="404"/>
      <c r="K78" s="404"/>
      <c r="L78" s="404"/>
      <c r="M78" s="404"/>
      <c r="N78" s="214"/>
      <c r="O78" s="399"/>
      <c r="P78" s="278"/>
      <c r="Q78" s="229"/>
      <c r="R78" s="398"/>
      <c r="S78" s="398"/>
      <c r="T78" s="398"/>
      <c r="U78" s="398"/>
      <c r="V78" s="398"/>
      <c r="W78" s="398"/>
      <c r="X78" s="398"/>
      <c r="Y78" s="408"/>
      <c r="Z78" s="408"/>
      <c r="AA78" s="409"/>
      <c r="AB78" s="409"/>
      <c r="AC78" s="410"/>
      <c r="AD78" s="411"/>
      <c r="AE78" s="412"/>
      <c r="AF78" s="412"/>
      <c r="AG78" s="412"/>
      <c r="AH78" s="431"/>
      <c r="AI78" s="413"/>
      <c r="AJ78" s="214"/>
      <c r="AK78" s="214"/>
      <c r="AL78" s="214"/>
    </row>
    <row r="79" spans="1:38" ht="12" customHeight="1" x14ac:dyDescent="0.2">
      <c r="A79" s="248" t="s">
        <v>654</v>
      </c>
      <c r="B79" s="277">
        <v>6</v>
      </c>
      <c r="C79" s="404">
        <v>4472.7</v>
      </c>
      <c r="D79" s="404"/>
      <c r="E79" s="404"/>
      <c r="F79" s="404"/>
      <c r="G79" s="404"/>
      <c r="H79" s="404"/>
      <c r="I79" s="404"/>
      <c r="J79" s="404">
        <f t="shared" ref="J79:J82" si="102">C79*10.5%</f>
        <v>469.63349999999997</v>
      </c>
      <c r="K79" s="404">
        <f t="shared" ref="K79:K82" si="103">SUM(C79:J79)*12</f>
        <v>59308.001999999993</v>
      </c>
      <c r="L79" s="404">
        <v>13497.439999999999</v>
      </c>
      <c r="M79" s="404">
        <v>23562</v>
      </c>
      <c r="N79" s="279">
        <f t="shared" ref="N79:N82" si="104">+L79+M79</f>
        <v>37059.440000000002</v>
      </c>
      <c r="O79" s="405">
        <f t="shared" ref="O79:O82" si="105">+K79+N79</f>
        <v>96367.441999999995</v>
      </c>
      <c r="P79" s="278">
        <f t="shared" ref="P79:P82" si="106">O79*B79</f>
        <v>578204.652</v>
      </c>
      <c r="Q79" s="229">
        <v>6</v>
      </c>
      <c r="R79" s="398">
        <v>4472.7</v>
      </c>
      <c r="S79" s="398"/>
      <c r="T79" s="398"/>
      <c r="U79" s="398"/>
      <c r="V79" s="398"/>
      <c r="W79" s="398"/>
      <c r="X79" s="398"/>
      <c r="Y79" s="408">
        <f t="shared" ref="Y79:Y82" si="107">R79*10.5%</f>
        <v>469.63349999999997</v>
      </c>
      <c r="Z79" s="408">
        <f t="shared" ref="Z79:Z82" si="108">SUM(R79:Y79)*12</f>
        <v>59308.001999999993</v>
      </c>
      <c r="AA79" s="409">
        <v>13497.439999999999</v>
      </c>
      <c r="AB79" s="409">
        <v>23562</v>
      </c>
      <c r="AC79" s="410">
        <f t="shared" ref="AC79:AC82" si="109">+AA79+AB79</f>
        <v>37059.440000000002</v>
      </c>
      <c r="AD79" s="411">
        <f t="shared" ref="AD79:AD82" si="110">+Z79+AC79</f>
        <v>96367.441999999995</v>
      </c>
      <c r="AE79" s="412">
        <f t="shared" ref="AE79:AE82" si="111">AD79*Q79</f>
        <v>578204.652</v>
      </c>
      <c r="AF79" s="412">
        <f t="shared" ref="AF79:AG79" si="112">O79-AD79</f>
        <v>0</v>
      </c>
      <c r="AG79" s="413">
        <f t="shared" si="112"/>
        <v>0</v>
      </c>
      <c r="AH79" s="431">
        <v>6</v>
      </c>
      <c r="AI79" s="413">
        <v>504564.6</v>
      </c>
      <c r="AJ79" s="214"/>
      <c r="AK79" s="214"/>
      <c r="AL79" s="214"/>
    </row>
    <row r="80" spans="1:38" ht="12" customHeight="1" x14ac:dyDescent="0.2">
      <c r="A80" s="248" t="s">
        <v>655</v>
      </c>
      <c r="B80" s="277">
        <v>2</v>
      </c>
      <c r="C80" s="404">
        <v>3896.7</v>
      </c>
      <c r="D80" s="404"/>
      <c r="E80" s="404"/>
      <c r="F80" s="404"/>
      <c r="G80" s="404"/>
      <c r="H80" s="404"/>
      <c r="I80" s="404"/>
      <c r="J80" s="404">
        <f t="shared" si="102"/>
        <v>409.15349999999995</v>
      </c>
      <c r="K80" s="404">
        <f t="shared" si="103"/>
        <v>51670.241999999998</v>
      </c>
      <c r="L80" s="404">
        <v>11614.2</v>
      </c>
      <c r="M80" s="404">
        <v>18082</v>
      </c>
      <c r="N80" s="279">
        <f t="shared" si="104"/>
        <v>29696.2</v>
      </c>
      <c r="O80" s="405">
        <f t="shared" si="105"/>
        <v>81366.441999999995</v>
      </c>
      <c r="P80" s="278">
        <f t="shared" si="106"/>
        <v>162732.88399999999</v>
      </c>
      <c r="Q80" s="229">
        <v>2</v>
      </c>
      <c r="R80" s="398">
        <v>3896.7</v>
      </c>
      <c r="S80" s="398"/>
      <c r="T80" s="398"/>
      <c r="U80" s="398"/>
      <c r="V80" s="398"/>
      <c r="W80" s="398"/>
      <c r="X80" s="398"/>
      <c r="Y80" s="408">
        <f t="shared" si="107"/>
        <v>409.15349999999995</v>
      </c>
      <c r="Z80" s="408">
        <f t="shared" si="108"/>
        <v>51670.241999999998</v>
      </c>
      <c r="AA80" s="409">
        <v>11614.2</v>
      </c>
      <c r="AB80" s="409">
        <v>18082</v>
      </c>
      <c r="AC80" s="410">
        <f t="shared" si="109"/>
        <v>29696.2</v>
      </c>
      <c r="AD80" s="411">
        <f t="shared" si="110"/>
        <v>81366.441999999995</v>
      </c>
      <c r="AE80" s="412">
        <f t="shared" si="111"/>
        <v>162732.88399999999</v>
      </c>
      <c r="AF80" s="412">
        <f t="shared" ref="AF80:AG80" si="113">O80-AD80</f>
        <v>0</v>
      </c>
      <c r="AG80" s="413">
        <f t="shared" si="113"/>
        <v>0</v>
      </c>
      <c r="AH80" s="431">
        <v>2</v>
      </c>
      <c r="AI80" s="413">
        <v>144698.17000000001</v>
      </c>
      <c r="AJ80" s="214"/>
      <c r="AK80" s="214"/>
      <c r="AL80" s="214"/>
    </row>
    <row r="81" spans="1:38" ht="12" customHeight="1" x14ac:dyDescent="0.2">
      <c r="A81" s="248" t="s">
        <v>656</v>
      </c>
      <c r="B81" s="277">
        <v>23</v>
      </c>
      <c r="C81" s="404">
        <v>3476.7</v>
      </c>
      <c r="D81" s="404"/>
      <c r="E81" s="404"/>
      <c r="F81" s="404"/>
      <c r="G81" s="404"/>
      <c r="H81" s="404"/>
      <c r="I81" s="404"/>
      <c r="J81" s="404">
        <f t="shared" si="102"/>
        <v>365.05349999999999</v>
      </c>
      <c r="K81" s="404">
        <f t="shared" si="103"/>
        <v>46101.042000000001</v>
      </c>
      <c r="L81" s="404">
        <v>10354.200000000001</v>
      </c>
      <c r="M81" s="404">
        <v>26999.5</v>
      </c>
      <c r="N81" s="279">
        <f t="shared" si="104"/>
        <v>37353.699999999997</v>
      </c>
      <c r="O81" s="405">
        <f t="shared" si="105"/>
        <v>83454.741999999998</v>
      </c>
      <c r="P81" s="278">
        <f t="shared" si="106"/>
        <v>1919459.0659999999</v>
      </c>
      <c r="Q81" s="229">
        <v>23</v>
      </c>
      <c r="R81" s="398">
        <v>3476.7</v>
      </c>
      <c r="S81" s="398"/>
      <c r="T81" s="398"/>
      <c r="U81" s="398"/>
      <c r="V81" s="398"/>
      <c r="W81" s="398"/>
      <c r="X81" s="398"/>
      <c r="Y81" s="408">
        <f t="shared" si="107"/>
        <v>365.05349999999999</v>
      </c>
      <c r="Z81" s="408">
        <f t="shared" si="108"/>
        <v>46101.042000000001</v>
      </c>
      <c r="AA81" s="409">
        <v>10354.200000000001</v>
      </c>
      <c r="AB81" s="409">
        <v>26999.5</v>
      </c>
      <c r="AC81" s="410">
        <f t="shared" si="109"/>
        <v>37353.699999999997</v>
      </c>
      <c r="AD81" s="411">
        <f t="shared" si="110"/>
        <v>83454.741999999998</v>
      </c>
      <c r="AE81" s="412">
        <f t="shared" si="111"/>
        <v>1919459.0659999999</v>
      </c>
      <c r="AF81" s="412">
        <f t="shared" ref="AF81:AG81" si="114">O81-AD81</f>
        <v>0</v>
      </c>
      <c r="AG81" s="413">
        <f t="shared" si="114"/>
        <v>0</v>
      </c>
      <c r="AH81" s="431">
        <v>23</v>
      </c>
      <c r="AI81" s="413">
        <v>1498493.2</v>
      </c>
      <c r="AJ81" s="214"/>
      <c r="AK81" s="214"/>
      <c r="AL81" s="214"/>
    </row>
    <row r="82" spans="1:38" ht="12" customHeight="1" x14ac:dyDescent="0.2">
      <c r="A82" s="248" t="s">
        <v>657</v>
      </c>
      <c r="B82" s="277">
        <v>7</v>
      </c>
      <c r="C82" s="404">
        <v>3296.7</v>
      </c>
      <c r="D82" s="404"/>
      <c r="E82" s="404"/>
      <c r="F82" s="404"/>
      <c r="G82" s="404"/>
      <c r="H82" s="404"/>
      <c r="I82" s="404"/>
      <c r="J82" s="404">
        <f t="shared" si="102"/>
        <v>346.15349999999995</v>
      </c>
      <c r="K82" s="404">
        <f t="shared" si="103"/>
        <v>43714.241999999998</v>
      </c>
      <c r="L82" s="404">
        <v>9969.44</v>
      </c>
      <c r="M82" s="404">
        <v>15794.94</v>
      </c>
      <c r="N82" s="279">
        <f t="shared" si="104"/>
        <v>25764.38</v>
      </c>
      <c r="O82" s="405">
        <f t="shared" si="105"/>
        <v>69478.622000000003</v>
      </c>
      <c r="P82" s="278">
        <f t="shared" si="106"/>
        <v>486350.35400000005</v>
      </c>
      <c r="Q82" s="229">
        <v>7</v>
      </c>
      <c r="R82" s="398">
        <v>3296.7</v>
      </c>
      <c r="S82" s="398"/>
      <c r="T82" s="398"/>
      <c r="U82" s="398"/>
      <c r="V82" s="398"/>
      <c r="W82" s="398"/>
      <c r="X82" s="398"/>
      <c r="Y82" s="408">
        <f t="shared" si="107"/>
        <v>346.15349999999995</v>
      </c>
      <c r="Z82" s="408">
        <f t="shared" si="108"/>
        <v>43714.241999999998</v>
      </c>
      <c r="AA82" s="409">
        <v>9969.44</v>
      </c>
      <c r="AB82" s="409">
        <v>15794.94</v>
      </c>
      <c r="AC82" s="410">
        <f t="shared" si="109"/>
        <v>25764.38</v>
      </c>
      <c r="AD82" s="411">
        <f t="shared" si="110"/>
        <v>69478.622000000003</v>
      </c>
      <c r="AE82" s="412">
        <f t="shared" si="111"/>
        <v>486350.35400000005</v>
      </c>
      <c r="AF82" s="412">
        <f t="shared" ref="AF82:AG82" si="115">O82-AD82</f>
        <v>0</v>
      </c>
      <c r="AG82" s="413">
        <f t="shared" si="115"/>
        <v>0</v>
      </c>
      <c r="AH82" s="431">
        <v>7</v>
      </c>
      <c r="AI82" s="413">
        <v>1070380.1200000001</v>
      </c>
      <c r="AJ82" s="214"/>
      <c r="AK82" s="214"/>
      <c r="AL82" s="214"/>
    </row>
    <row r="83" spans="1:38" ht="12" customHeight="1" x14ac:dyDescent="0.2">
      <c r="A83" s="247" t="s">
        <v>458</v>
      </c>
      <c r="B83" s="229"/>
      <c r="C83" s="404"/>
      <c r="D83" s="404"/>
      <c r="E83" s="404"/>
      <c r="F83" s="404"/>
      <c r="G83" s="404"/>
      <c r="H83" s="404"/>
      <c r="I83" s="404"/>
      <c r="J83" s="404"/>
      <c r="K83" s="404"/>
      <c r="L83" s="404"/>
      <c r="M83" s="404"/>
      <c r="N83" s="214"/>
      <c r="O83" s="399"/>
      <c r="P83" s="278"/>
      <c r="Q83" s="229"/>
      <c r="R83" s="398"/>
      <c r="S83" s="398"/>
      <c r="T83" s="398"/>
      <c r="U83" s="398"/>
      <c r="V83" s="398"/>
      <c r="W83" s="398"/>
      <c r="X83" s="398"/>
      <c r="Y83" s="408"/>
      <c r="Z83" s="408"/>
      <c r="AA83" s="409"/>
      <c r="AB83" s="409"/>
      <c r="AC83" s="410"/>
      <c r="AD83" s="411"/>
      <c r="AE83" s="412"/>
      <c r="AF83" s="412"/>
      <c r="AG83" s="412"/>
      <c r="AH83" s="431"/>
      <c r="AI83" s="413"/>
      <c r="AJ83" s="214"/>
      <c r="AK83" s="214"/>
      <c r="AL83" s="214"/>
    </row>
    <row r="84" spans="1:38" ht="12" customHeight="1" x14ac:dyDescent="0.2">
      <c r="A84" s="248" t="s">
        <v>658</v>
      </c>
      <c r="B84" s="277">
        <v>2</v>
      </c>
      <c r="C84" s="404">
        <v>3293.4</v>
      </c>
      <c r="D84" s="404"/>
      <c r="E84" s="404"/>
      <c r="F84" s="404"/>
      <c r="G84" s="404"/>
      <c r="H84" s="404"/>
      <c r="I84" s="404"/>
      <c r="J84" s="404">
        <f t="shared" ref="J84:J90" si="116">C84*10.5%</f>
        <v>345.80700000000002</v>
      </c>
      <c r="K84" s="404">
        <f t="shared" ref="K84:K90" si="117">SUM(C84:J84)*12</f>
        <v>43670.484000000004</v>
      </c>
      <c r="L84" s="404">
        <v>9959.5400000000009</v>
      </c>
      <c r="M84" s="404">
        <v>15762.2027666667</v>
      </c>
      <c r="N84" s="279">
        <f t="shared" ref="N84:N90" si="118">+L84+M84</f>
        <v>25721.742766666699</v>
      </c>
      <c r="O84" s="405">
        <f t="shared" ref="O84:O90" si="119">+K84+N84</f>
        <v>69392.226766666703</v>
      </c>
      <c r="P84" s="278">
        <f t="shared" ref="P84:P89" si="120">O84*B84</f>
        <v>138784.45353333341</v>
      </c>
      <c r="Q84" s="229">
        <v>2</v>
      </c>
      <c r="R84" s="398">
        <v>3293.4</v>
      </c>
      <c r="S84" s="398"/>
      <c r="T84" s="398"/>
      <c r="U84" s="398"/>
      <c r="V84" s="398"/>
      <c r="W84" s="398"/>
      <c r="X84" s="398"/>
      <c r="Y84" s="408">
        <f t="shared" ref="Y84:Y89" si="121">R84*10.5%</f>
        <v>345.80700000000002</v>
      </c>
      <c r="Z84" s="408">
        <f t="shared" ref="Z84:Z89" si="122">SUM(R84:Y84)*12</f>
        <v>43670.484000000004</v>
      </c>
      <c r="AA84" s="409">
        <v>9959.5400000000009</v>
      </c>
      <c r="AB84" s="409">
        <v>15762.2027666667</v>
      </c>
      <c r="AC84" s="410">
        <f t="shared" ref="AC84:AC89" si="123">+AA84+AB84</f>
        <v>25721.742766666699</v>
      </c>
      <c r="AD84" s="411">
        <f t="shared" ref="AD84:AD89" si="124">+Z84+AC84</f>
        <v>69392.226766666703</v>
      </c>
      <c r="AE84" s="412">
        <f t="shared" ref="AE84:AE89" si="125">AD84*Q84</f>
        <v>138784.45353333341</v>
      </c>
      <c r="AF84" s="412">
        <f t="shared" ref="AF84:AG84" si="126">O84-AD84</f>
        <v>0</v>
      </c>
      <c r="AG84" s="413">
        <f t="shared" si="126"/>
        <v>0</v>
      </c>
      <c r="AH84" s="431">
        <v>2</v>
      </c>
      <c r="AI84" s="413">
        <v>124695.54</v>
      </c>
      <c r="AJ84" s="214"/>
      <c r="AK84" s="214"/>
      <c r="AL84" s="214"/>
    </row>
    <row r="85" spans="1:38" ht="12" customHeight="1" x14ac:dyDescent="0.2">
      <c r="A85" s="248" t="s">
        <v>659</v>
      </c>
      <c r="B85" s="277">
        <v>20</v>
      </c>
      <c r="C85" s="404">
        <v>2705.9</v>
      </c>
      <c r="D85" s="404"/>
      <c r="E85" s="404"/>
      <c r="F85" s="404"/>
      <c r="G85" s="404"/>
      <c r="H85" s="404"/>
      <c r="I85" s="404"/>
      <c r="J85" s="404">
        <f t="shared" si="116"/>
        <v>284.11950000000002</v>
      </c>
      <c r="K85" s="404">
        <f t="shared" si="117"/>
        <v>35880.234000000004</v>
      </c>
      <c r="L85" s="404">
        <v>8197.0400000000009</v>
      </c>
      <c r="M85" s="404">
        <v>14290</v>
      </c>
      <c r="N85" s="279">
        <f t="shared" si="118"/>
        <v>22487.040000000001</v>
      </c>
      <c r="O85" s="405">
        <f t="shared" si="119"/>
        <v>58367.274000000005</v>
      </c>
      <c r="P85" s="278">
        <f t="shared" si="120"/>
        <v>1167345.48</v>
      </c>
      <c r="Q85" s="229">
        <v>20</v>
      </c>
      <c r="R85" s="398">
        <v>2705.9</v>
      </c>
      <c r="S85" s="398"/>
      <c r="T85" s="398"/>
      <c r="U85" s="398"/>
      <c r="V85" s="398"/>
      <c r="W85" s="398"/>
      <c r="X85" s="398"/>
      <c r="Y85" s="408">
        <f t="shared" si="121"/>
        <v>284.11950000000002</v>
      </c>
      <c r="Z85" s="408">
        <f t="shared" si="122"/>
        <v>35880.234000000004</v>
      </c>
      <c r="AA85" s="409">
        <v>8197.0400000000009</v>
      </c>
      <c r="AB85" s="409">
        <v>14290</v>
      </c>
      <c r="AC85" s="410">
        <f t="shared" si="123"/>
        <v>22487.040000000001</v>
      </c>
      <c r="AD85" s="411">
        <f t="shared" si="124"/>
        <v>58367.274000000005</v>
      </c>
      <c r="AE85" s="412">
        <f t="shared" si="125"/>
        <v>1167345.48</v>
      </c>
      <c r="AF85" s="412">
        <f t="shared" ref="AF85:AG85" si="127">O85-AD85</f>
        <v>0</v>
      </c>
      <c r="AG85" s="413">
        <f t="shared" si="127"/>
        <v>0</v>
      </c>
      <c r="AH85" s="431">
        <v>20</v>
      </c>
      <c r="AI85" s="413">
        <v>1025738.77</v>
      </c>
      <c r="AJ85" s="214"/>
      <c r="AK85" s="214"/>
      <c r="AL85" s="214"/>
    </row>
    <row r="86" spans="1:38" ht="12" customHeight="1" x14ac:dyDescent="0.2">
      <c r="A86" s="248" t="s">
        <v>660</v>
      </c>
      <c r="B86" s="277">
        <v>33</v>
      </c>
      <c r="C86" s="404">
        <v>2330.9</v>
      </c>
      <c r="D86" s="404"/>
      <c r="E86" s="404"/>
      <c r="F86" s="404"/>
      <c r="G86" s="404"/>
      <c r="H86" s="404"/>
      <c r="I86" s="404"/>
      <c r="J86" s="404">
        <f t="shared" si="116"/>
        <v>244.74449999999999</v>
      </c>
      <c r="K86" s="404">
        <f t="shared" si="117"/>
        <v>30907.733999999997</v>
      </c>
      <c r="L86" s="404">
        <v>6916.8</v>
      </c>
      <c r="M86" s="404">
        <v>13299</v>
      </c>
      <c r="N86" s="279">
        <f t="shared" si="118"/>
        <v>20215.8</v>
      </c>
      <c r="O86" s="405">
        <f t="shared" si="119"/>
        <v>51123.534</v>
      </c>
      <c r="P86" s="278">
        <f t="shared" si="120"/>
        <v>1687076.622</v>
      </c>
      <c r="Q86" s="229">
        <v>32</v>
      </c>
      <c r="R86" s="398">
        <v>2330.9</v>
      </c>
      <c r="S86" s="398"/>
      <c r="T86" s="398"/>
      <c r="U86" s="398"/>
      <c r="V86" s="398"/>
      <c r="W86" s="398"/>
      <c r="X86" s="398"/>
      <c r="Y86" s="408">
        <f t="shared" si="121"/>
        <v>244.74449999999999</v>
      </c>
      <c r="Z86" s="408">
        <f t="shared" si="122"/>
        <v>30907.733999999997</v>
      </c>
      <c r="AA86" s="409">
        <v>6916.8</v>
      </c>
      <c r="AB86" s="409">
        <v>13299</v>
      </c>
      <c r="AC86" s="410">
        <f t="shared" si="123"/>
        <v>20215.8</v>
      </c>
      <c r="AD86" s="411">
        <f t="shared" si="124"/>
        <v>51123.534</v>
      </c>
      <c r="AE86" s="412">
        <f t="shared" si="125"/>
        <v>1635953.088</v>
      </c>
      <c r="AF86" s="412">
        <f t="shared" ref="AF86:AG86" si="128">O86-AD86</f>
        <v>0</v>
      </c>
      <c r="AG86" s="413">
        <f t="shared" si="128"/>
        <v>51123.533999999985</v>
      </c>
      <c r="AH86" s="431">
        <v>32</v>
      </c>
      <c r="AI86" s="413">
        <v>1417384.12</v>
      </c>
      <c r="AJ86" s="214"/>
      <c r="AK86" s="214"/>
      <c r="AL86" s="214"/>
    </row>
    <row r="87" spans="1:38" ht="12" customHeight="1" x14ac:dyDescent="0.2">
      <c r="A87" s="248" t="s">
        <v>661</v>
      </c>
      <c r="B87" s="277">
        <v>24</v>
      </c>
      <c r="C87" s="404">
        <v>2018.4</v>
      </c>
      <c r="D87" s="404"/>
      <c r="E87" s="404"/>
      <c r="F87" s="404"/>
      <c r="G87" s="404"/>
      <c r="H87" s="404"/>
      <c r="I87" s="404"/>
      <c r="J87" s="404">
        <f t="shared" si="116"/>
        <v>211.93199999999999</v>
      </c>
      <c r="K87" s="404">
        <f t="shared" si="117"/>
        <v>26763.983999999997</v>
      </c>
      <c r="L87" s="404">
        <v>6134.54</v>
      </c>
      <c r="M87" s="404">
        <v>13480</v>
      </c>
      <c r="N87" s="279">
        <f t="shared" si="118"/>
        <v>19614.54</v>
      </c>
      <c r="O87" s="405">
        <f t="shared" si="119"/>
        <v>46378.523999999998</v>
      </c>
      <c r="P87" s="278">
        <f t="shared" si="120"/>
        <v>1113084.5759999999</v>
      </c>
      <c r="Q87" s="229">
        <v>26</v>
      </c>
      <c r="R87" s="398">
        <v>2018.4</v>
      </c>
      <c r="S87" s="398"/>
      <c r="T87" s="398"/>
      <c r="U87" s="398"/>
      <c r="V87" s="398"/>
      <c r="W87" s="398"/>
      <c r="X87" s="398"/>
      <c r="Y87" s="408">
        <f t="shared" si="121"/>
        <v>211.93199999999999</v>
      </c>
      <c r="Z87" s="408">
        <f t="shared" si="122"/>
        <v>26763.983999999997</v>
      </c>
      <c r="AA87" s="409">
        <v>6134.54</v>
      </c>
      <c r="AB87" s="409">
        <v>13480</v>
      </c>
      <c r="AC87" s="410">
        <f t="shared" si="123"/>
        <v>19614.54</v>
      </c>
      <c r="AD87" s="411">
        <f t="shared" si="124"/>
        <v>46378.523999999998</v>
      </c>
      <c r="AE87" s="412">
        <f t="shared" si="125"/>
        <v>1205841.6239999998</v>
      </c>
      <c r="AF87" s="412">
        <f t="shared" ref="AF87:AG87" si="129">O87-AD87</f>
        <v>0</v>
      </c>
      <c r="AG87" s="413">
        <f t="shared" si="129"/>
        <v>-92757.047999999952</v>
      </c>
      <c r="AH87" s="431">
        <v>26</v>
      </c>
      <c r="AI87" s="413">
        <v>1008362</v>
      </c>
      <c r="AJ87" s="214"/>
      <c r="AK87" s="214"/>
      <c r="AL87" s="214"/>
    </row>
    <row r="88" spans="1:38" ht="12" customHeight="1" x14ac:dyDescent="0.2">
      <c r="A88" s="248" t="s">
        <v>662</v>
      </c>
      <c r="B88" s="277">
        <v>4</v>
      </c>
      <c r="C88" s="404">
        <v>1746.02</v>
      </c>
      <c r="D88" s="404"/>
      <c r="E88" s="404"/>
      <c r="F88" s="404"/>
      <c r="G88" s="404"/>
      <c r="H88" s="404"/>
      <c r="I88" s="404"/>
      <c r="J88" s="404">
        <f t="shared" si="116"/>
        <v>183.3321</v>
      </c>
      <c r="K88" s="404">
        <f t="shared" si="117"/>
        <v>23152.225200000001</v>
      </c>
      <c r="L88" s="404">
        <v>5084.54</v>
      </c>
      <c r="M88" s="404">
        <v>16864.161099999998</v>
      </c>
      <c r="N88" s="279">
        <f t="shared" si="118"/>
        <v>21948.701099999998</v>
      </c>
      <c r="O88" s="405">
        <f t="shared" si="119"/>
        <v>45100.926299999999</v>
      </c>
      <c r="P88" s="278">
        <f t="shared" si="120"/>
        <v>180403.7052</v>
      </c>
      <c r="Q88" s="229">
        <v>4</v>
      </c>
      <c r="R88" s="398">
        <v>1746.02</v>
      </c>
      <c r="S88" s="398"/>
      <c r="T88" s="398"/>
      <c r="U88" s="398"/>
      <c r="V88" s="398"/>
      <c r="W88" s="398"/>
      <c r="X88" s="398"/>
      <c r="Y88" s="408">
        <f t="shared" si="121"/>
        <v>183.3321</v>
      </c>
      <c r="Z88" s="408">
        <f t="shared" si="122"/>
        <v>23152.225200000001</v>
      </c>
      <c r="AA88" s="409">
        <v>5084.54</v>
      </c>
      <c r="AB88" s="409">
        <v>16864.161099999998</v>
      </c>
      <c r="AC88" s="410">
        <f t="shared" si="123"/>
        <v>21948.701099999998</v>
      </c>
      <c r="AD88" s="411">
        <f t="shared" si="124"/>
        <v>45100.926299999999</v>
      </c>
      <c r="AE88" s="412">
        <f t="shared" si="125"/>
        <v>180403.7052</v>
      </c>
      <c r="AF88" s="412">
        <f t="shared" ref="AF88:AG88" si="130">O88-AD88</f>
        <v>0</v>
      </c>
      <c r="AG88" s="413">
        <f t="shared" si="130"/>
        <v>0</v>
      </c>
      <c r="AH88" s="431">
        <v>4</v>
      </c>
      <c r="AI88" s="413">
        <v>129943.37</v>
      </c>
      <c r="AJ88" s="214"/>
      <c r="AK88" s="214"/>
      <c r="AL88" s="214"/>
    </row>
    <row r="89" spans="1:38" ht="12" customHeight="1" x14ac:dyDescent="0.2">
      <c r="A89" s="248" t="s">
        <v>663</v>
      </c>
      <c r="B89" s="277">
        <v>1</v>
      </c>
      <c r="C89" s="404">
        <v>1501.5</v>
      </c>
      <c r="D89" s="404"/>
      <c r="E89" s="404"/>
      <c r="F89" s="404"/>
      <c r="G89" s="404"/>
      <c r="H89" s="404"/>
      <c r="I89" s="404"/>
      <c r="J89" s="476">
        <f t="shared" si="116"/>
        <v>157.6575</v>
      </c>
      <c r="K89" s="404">
        <f t="shared" si="117"/>
        <v>19909.89</v>
      </c>
      <c r="L89" s="404">
        <v>1000</v>
      </c>
      <c r="M89" s="404"/>
      <c r="N89" s="279">
        <f t="shared" si="118"/>
        <v>1000</v>
      </c>
      <c r="O89" s="405">
        <f t="shared" si="119"/>
        <v>20909.89</v>
      </c>
      <c r="P89" s="278">
        <f t="shared" si="120"/>
        <v>20909.89</v>
      </c>
      <c r="Q89" s="229">
        <v>1</v>
      </c>
      <c r="R89" s="398">
        <v>1501.5</v>
      </c>
      <c r="S89" s="398"/>
      <c r="T89" s="398"/>
      <c r="U89" s="398"/>
      <c r="V89" s="398"/>
      <c r="W89" s="398"/>
      <c r="X89" s="398"/>
      <c r="Y89" s="408">
        <f t="shared" si="121"/>
        <v>157.6575</v>
      </c>
      <c r="Z89" s="408">
        <f t="shared" si="122"/>
        <v>19909.89</v>
      </c>
      <c r="AA89" s="409">
        <v>1000</v>
      </c>
      <c r="AB89" s="409"/>
      <c r="AC89" s="410">
        <f t="shared" si="123"/>
        <v>1000</v>
      </c>
      <c r="AD89" s="411">
        <f t="shared" si="124"/>
        <v>20909.89</v>
      </c>
      <c r="AE89" s="412">
        <f t="shared" si="125"/>
        <v>20909.89</v>
      </c>
      <c r="AF89" s="412">
        <f t="shared" ref="AF89:AG89" si="131">O89-AD89</f>
        <v>0</v>
      </c>
      <c r="AG89" s="413">
        <f t="shared" si="131"/>
        <v>0</v>
      </c>
      <c r="AH89" s="431">
        <v>1</v>
      </c>
      <c r="AI89" s="413">
        <v>19017.88</v>
      </c>
      <c r="AJ89" s="214"/>
      <c r="AK89" s="214"/>
      <c r="AL89" s="214"/>
    </row>
    <row r="90" spans="1:38" ht="12" customHeight="1" x14ac:dyDescent="0.2">
      <c r="A90" s="248" t="s">
        <v>664</v>
      </c>
      <c r="B90" s="277">
        <v>1</v>
      </c>
      <c r="C90" s="404">
        <v>1492</v>
      </c>
      <c r="D90" s="404"/>
      <c r="E90" s="404"/>
      <c r="F90" s="404"/>
      <c r="G90" s="404"/>
      <c r="H90" s="404"/>
      <c r="I90" s="404"/>
      <c r="J90" s="398">
        <f t="shared" si="116"/>
        <v>156.66</v>
      </c>
      <c r="K90" s="398">
        <f t="shared" si="117"/>
        <v>19783.920000000002</v>
      </c>
      <c r="L90" s="404">
        <v>1000</v>
      </c>
      <c r="M90" s="404"/>
      <c r="N90" s="279">
        <f t="shared" si="118"/>
        <v>1000</v>
      </c>
      <c r="O90" s="405">
        <f t="shared" si="119"/>
        <v>20783.920000000002</v>
      </c>
      <c r="P90" s="278">
        <f>O90*B90+2</f>
        <v>20785.920000000002</v>
      </c>
      <c r="Q90" s="229"/>
      <c r="R90" s="398"/>
      <c r="S90" s="398"/>
      <c r="T90" s="398"/>
      <c r="U90" s="398"/>
      <c r="V90" s="398"/>
      <c r="W90" s="398"/>
      <c r="X90" s="398"/>
      <c r="Y90" s="409"/>
      <c r="Z90" s="408"/>
      <c r="AA90" s="409"/>
      <c r="AB90" s="409"/>
      <c r="AC90" s="421"/>
      <c r="AD90" s="432"/>
      <c r="AE90" s="431"/>
      <c r="AF90" s="412">
        <f t="shared" ref="AF90:AG90" si="132">O90-AD90</f>
        <v>20783.920000000002</v>
      </c>
      <c r="AG90" s="413">
        <f t="shared" si="132"/>
        <v>20785.920000000002</v>
      </c>
      <c r="AH90" s="431"/>
      <c r="AI90" s="413"/>
      <c r="AJ90" s="214"/>
      <c r="AK90" s="214"/>
      <c r="AL90" s="214"/>
    </row>
    <row r="91" spans="1:38" ht="12" customHeight="1" x14ac:dyDescent="0.2">
      <c r="A91" s="247" t="s">
        <v>464</v>
      </c>
      <c r="B91" s="229"/>
      <c r="C91" s="404"/>
      <c r="D91" s="398"/>
      <c r="E91" s="398"/>
      <c r="F91" s="398"/>
      <c r="G91" s="398"/>
      <c r="H91" s="398"/>
      <c r="I91" s="398"/>
      <c r="J91" s="398"/>
      <c r="K91" s="398"/>
      <c r="L91" s="398"/>
      <c r="M91" s="398"/>
      <c r="N91" s="214"/>
      <c r="O91" s="399"/>
      <c r="P91" s="400"/>
      <c r="Q91" s="229"/>
      <c r="R91" s="398"/>
      <c r="S91" s="398"/>
      <c r="T91" s="398"/>
      <c r="U91" s="398"/>
      <c r="V91" s="398"/>
      <c r="W91" s="398"/>
      <c r="X91" s="398"/>
      <c r="Y91" s="409"/>
      <c r="Z91" s="409"/>
      <c r="AA91" s="409"/>
      <c r="AB91" s="409"/>
      <c r="AC91" s="421"/>
      <c r="AD91" s="432"/>
      <c r="AE91" s="431"/>
      <c r="AF91" s="412"/>
      <c r="AG91" s="412"/>
      <c r="AH91" s="431"/>
      <c r="AI91" s="413"/>
      <c r="AJ91" s="214"/>
      <c r="AK91" s="214"/>
      <c r="AL91" s="214"/>
    </row>
    <row r="92" spans="1:38" ht="12" customHeight="1" x14ac:dyDescent="0.2">
      <c r="A92" s="248" t="s">
        <v>665</v>
      </c>
      <c r="B92" s="277"/>
      <c r="C92" s="404"/>
      <c r="D92" s="398"/>
      <c r="E92" s="398"/>
      <c r="F92" s="398"/>
      <c r="G92" s="398"/>
      <c r="H92" s="398"/>
      <c r="I92" s="398"/>
      <c r="J92" s="398"/>
      <c r="K92" s="398"/>
      <c r="L92" s="398"/>
      <c r="M92" s="398"/>
      <c r="N92" s="214"/>
      <c r="O92" s="399"/>
      <c r="P92" s="400"/>
      <c r="Q92" s="229"/>
      <c r="R92" s="398"/>
      <c r="S92" s="398"/>
      <c r="T92" s="398"/>
      <c r="U92" s="398"/>
      <c r="V92" s="398"/>
      <c r="W92" s="398"/>
      <c r="X92" s="398"/>
      <c r="Y92" s="409"/>
      <c r="Z92" s="409"/>
      <c r="AA92" s="409"/>
      <c r="AB92" s="409"/>
      <c r="AC92" s="421"/>
      <c r="AD92" s="432"/>
      <c r="AE92" s="431"/>
      <c r="AF92" s="431"/>
      <c r="AG92" s="415"/>
      <c r="AH92" s="431"/>
      <c r="AI92" s="413"/>
      <c r="AJ92" s="214"/>
      <c r="AK92" s="214"/>
      <c r="AL92" s="214"/>
    </row>
    <row r="93" spans="1:38" ht="24" customHeight="1" x14ac:dyDescent="0.2">
      <c r="A93" s="477" t="s">
        <v>666</v>
      </c>
      <c r="B93" s="478">
        <f t="shared" ref="B93:AI93" si="133">SUM(B69:B92)</f>
        <v>175</v>
      </c>
      <c r="C93" s="479">
        <f t="shared" si="133"/>
        <v>81927.719999999958</v>
      </c>
      <c r="D93" s="480">
        <f t="shared" si="133"/>
        <v>0</v>
      </c>
      <c r="E93" s="480">
        <f t="shared" si="133"/>
        <v>0</v>
      </c>
      <c r="F93" s="480">
        <f t="shared" si="133"/>
        <v>0</v>
      </c>
      <c r="G93" s="480">
        <f t="shared" si="133"/>
        <v>0</v>
      </c>
      <c r="H93" s="480">
        <f t="shared" si="133"/>
        <v>0</v>
      </c>
      <c r="I93" s="480">
        <f t="shared" si="133"/>
        <v>0</v>
      </c>
      <c r="J93" s="479">
        <f t="shared" si="133"/>
        <v>11702.410600000003</v>
      </c>
      <c r="K93" s="479">
        <f t="shared" si="133"/>
        <v>1123561.5671999999</v>
      </c>
      <c r="L93" s="479">
        <f t="shared" si="133"/>
        <v>236001.58000000005</v>
      </c>
      <c r="M93" s="479">
        <f t="shared" si="133"/>
        <v>374272.47680000018</v>
      </c>
      <c r="N93" s="479">
        <f t="shared" si="133"/>
        <v>610274.05680000014</v>
      </c>
      <c r="O93" s="479">
        <f t="shared" si="133"/>
        <v>1733835.6239999998</v>
      </c>
      <c r="P93" s="479">
        <f t="shared" si="133"/>
        <v>13367822.664199999</v>
      </c>
      <c r="Q93" s="478">
        <f t="shared" si="133"/>
        <v>175</v>
      </c>
      <c r="R93" s="479">
        <f t="shared" si="133"/>
        <v>80435.719999999958</v>
      </c>
      <c r="S93" s="478">
        <f t="shared" si="133"/>
        <v>0</v>
      </c>
      <c r="T93" s="478">
        <f t="shared" si="133"/>
        <v>0</v>
      </c>
      <c r="U93" s="478">
        <f t="shared" si="133"/>
        <v>0</v>
      </c>
      <c r="V93" s="478">
        <f t="shared" si="133"/>
        <v>0</v>
      </c>
      <c r="W93" s="478">
        <f t="shared" si="133"/>
        <v>0</v>
      </c>
      <c r="X93" s="478">
        <f t="shared" si="133"/>
        <v>0</v>
      </c>
      <c r="Y93" s="479">
        <f t="shared" si="133"/>
        <v>11545.750600000003</v>
      </c>
      <c r="Z93" s="479">
        <f t="shared" si="133"/>
        <v>1103777.6472</v>
      </c>
      <c r="AA93" s="479">
        <f t="shared" si="133"/>
        <v>235001.58000000005</v>
      </c>
      <c r="AB93" s="479">
        <f t="shared" si="133"/>
        <v>374272.47680000018</v>
      </c>
      <c r="AC93" s="479">
        <f t="shared" si="133"/>
        <v>609274.05680000014</v>
      </c>
      <c r="AD93" s="479">
        <f t="shared" si="133"/>
        <v>1713051.7039999999</v>
      </c>
      <c r="AE93" s="479">
        <f t="shared" si="133"/>
        <v>13445160.702199999</v>
      </c>
      <c r="AF93" s="479">
        <f t="shared" si="133"/>
        <v>20783.920000000002</v>
      </c>
      <c r="AG93" s="479">
        <f t="shared" si="133"/>
        <v>-77338.037999999869</v>
      </c>
      <c r="AH93" s="481">
        <f t="shared" si="133"/>
        <v>175</v>
      </c>
      <c r="AI93" s="482">
        <f t="shared" si="133"/>
        <v>12274809.029999997</v>
      </c>
      <c r="AJ93" s="214"/>
      <c r="AK93" s="214"/>
      <c r="AL93" s="214"/>
    </row>
    <row r="94" spans="1:38" ht="12" customHeight="1" x14ac:dyDescent="0.2">
      <c r="A94" s="214"/>
      <c r="B94" s="214"/>
      <c r="C94" s="214"/>
      <c r="D94" s="214"/>
      <c r="E94" s="214"/>
      <c r="F94" s="214"/>
      <c r="G94" s="214"/>
      <c r="H94" s="214"/>
      <c r="I94" s="214"/>
      <c r="J94" s="214"/>
      <c r="K94" s="214"/>
      <c r="L94" s="214"/>
      <c r="M94" s="214"/>
      <c r="N94" s="214"/>
      <c r="O94" s="214"/>
      <c r="P94" s="214"/>
      <c r="Q94" s="271"/>
      <c r="R94" s="214"/>
      <c r="S94" s="214"/>
      <c r="T94" s="214"/>
      <c r="U94" s="214"/>
      <c r="V94" s="214"/>
      <c r="W94" s="214"/>
      <c r="X94" s="214"/>
      <c r="Y94" s="421"/>
      <c r="Z94" s="421"/>
      <c r="AA94" s="421"/>
      <c r="AB94" s="421"/>
      <c r="AC94" s="421"/>
      <c r="AD94" s="460"/>
      <c r="AE94" s="460"/>
      <c r="AF94" s="460"/>
      <c r="AG94" s="460"/>
      <c r="AH94" s="460"/>
      <c r="AI94" s="461"/>
      <c r="AJ94" s="214"/>
      <c r="AK94" s="214"/>
      <c r="AL94" s="214"/>
    </row>
    <row r="95" spans="1:38" ht="24" customHeight="1" x14ac:dyDescent="0.2">
      <c r="A95" s="462" t="s">
        <v>495</v>
      </c>
      <c r="B95" s="394"/>
      <c r="C95" s="394"/>
      <c r="D95" s="394"/>
      <c r="E95" s="394"/>
      <c r="F95" s="394"/>
      <c r="G95" s="394"/>
      <c r="H95" s="394"/>
      <c r="I95" s="394"/>
      <c r="J95" s="394"/>
      <c r="K95" s="394"/>
      <c r="L95" s="394"/>
      <c r="M95" s="394"/>
      <c r="N95" s="394"/>
      <c r="O95" s="394"/>
      <c r="P95" s="394"/>
      <c r="Q95" s="463"/>
      <c r="R95" s="394"/>
      <c r="S95" s="394"/>
      <c r="T95" s="394"/>
      <c r="U95" s="394"/>
      <c r="V95" s="394"/>
      <c r="W95" s="394"/>
      <c r="X95" s="394"/>
      <c r="Y95" s="464"/>
      <c r="Z95" s="464"/>
      <c r="AA95" s="464"/>
      <c r="AB95" s="464"/>
      <c r="AC95" s="464"/>
      <c r="AD95" s="464"/>
      <c r="AE95" s="464"/>
      <c r="AF95" s="464"/>
      <c r="AG95" s="464"/>
      <c r="AH95" s="464"/>
      <c r="AI95" s="483"/>
      <c r="AJ95" s="214"/>
      <c r="AK95" s="214"/>
      <c r="AL95" s="214"/>
    </row>
    <row r="96" spans="1:38" ht="12" customHeight="1" x14ac:dyDescent="0.2">
      <c r="A96" s="467" t="s">
        <v>667</v>
      </c>
      <c r="B96" s="468"/>
      <c r="C96" s="468"/>
      <c r="D96" s="468"/>
      <c r="E96" s="468"/>
      <c r="F96" s="468"/>
      <c r="G96" s="468"/>
      <c r="H96" s="468"/>
      <c r="I96" s="468"/>
      <c r="J96" s="468"/>
      <c r="K96" s="468"/>
      <c r="L96" s="468"/>
      <c r="M96" s="468"/>
      <c r="N96" s="468"/>
      <c r="O96" s="468"/>
      <c r="P96" s="468"/>
      <c r="Q96" s="288"/>
      <c r="R96" s="468"/>
      <c r="S96" s="468"/>
      <c r="T96" s="468"/>
      <c r="U96" s="468"/>
      <c r="V96" s="468"/>
      <c r="W96" s="468"/>
      <c r="X96" s="468"/>
      <c r="Y96" s="469"/>
      <c r="Z96" s="469"/>
      <c r="AA96" s="469"/>
      <c r="AB96" s="469"/>
      <c r="AC96" s="469"/>
      <c r="AD96" s="469"/>
      <c r="AE96" s="469"/>
      <c r="AF96" s="469"/>
      <c r="AG96" s="469"/>
      <c r="AH96" s="469"/>
      <c r="AI96" s="484"/>
      <c r="AJ96" s="214"/>
      <c r="AK96" s="214"/>
      <c r="AL96" s="214"/>
    </row>
    <row r="97" spans="1:38" ht="21.75" customHeight="1" x14ac:dyDescent="0.2">
      <c r="A97" s="485" t="s">
        <v>668</v>
      </c>
      <c r="B97" s="222"/>
      <c r="C97" s="393"/>
      <c r="D97" s="393"/>
      <c r="E97" s="393"/>
      <c r="F97" s="393"/>
      <c r="G97" s="393"/>
      <c r="H97" s="393"/>
      <c r="I97" s="393"/>
      <c r="J97" s="393"/>
      <c r="K97" s="393"/>
      <c r="L97" s="393"/>
      <c r="M97" s="393"/>
      <c r="N97" s="394"/>
      <c r="O97" s="395"/>
      <c r="P97" s="397"/>
      <c r="Q97" s="222"/>
      <c r="R97" s="395"/>
      <c r="S97" s="393"/>
      <c r="T97" s="393"/>
      <c r="U97" s="393"/>
      <c r="V97" s="393"/>
      <c r="W97" s="393"/>
      <c r="X97" s="393"/>
      <c r="Y97" s="472"/>
      <c r="Z97" s="472"/>
      <c r="AA97" s="472"/>
      <c r="AB97" s="486"/>
      <c r="AC97" s="464"/>
      <c r="AD97" s="473"/>
      <c r="AE97" s="474"/>
      <c r="AF97" s="474"/>
      <c r="AG97" s="475"/>
      <c r="AH97" s="474"/>
      <c r="AI97" s="475"/>
      <c r="AJ97" s="214"/>
      <c r="AK97" s="214"/>
      <c r="AL97" s="214"/>
    </row>
    <row r="98" spans="1:38" ht="21.75" customHeight="1" x14ac:dyDescent="0.2">
      <c r="A98" s="280" t="s">
        <v>496</v>
      </c>
      <c r="B98" s="229"/>
      <c r="C98" s="487"/>
      <c r="D98" s="398"/>
      <c r="E98" s="398"/>
      <c r="F98" s="398"/>
      <c r="G98" s="398"/>
      <c r="H98" s="398"/>
      <c r="I98" s="398"/>
      <c r="J98" s="398"/>
      <c r="K98" s="398"/>
      <c r="L98" s="398"/>
      <c r="M98" s="398"/>
      <c r="N98" s="214"/>
      <c r="O98" s="399"/>
      <c r="P98" s="400"/>
      <c r="Q98" s="229"/>
      <c r="R98" s="488"/>
      <c r="S98" s="398"/>
      <c r="T98" s="398"/>
      <c r="U98" s="398"/>
      <c r="V98" s="398"/>
      <c r="W98" s="398"/>
      <c r="X98" s="398"/>
      <c r="Y98" s="409"/>
      <c r="Z98" s="409"/>
      <c r="AA98" s="409"/>
      <c r="AB98" s="428"/>
      <c r="AC98" s="421"/>
      <c r="AD98" s="432"/>
      <c r="AE98" s="431"/>
      <c r="AF98" s="431"/>
      <c r="AG98" s="415"/>
      <c r="AH98" s="431"/>
      <c r="AI98" s="415"/>
      <c r="AJ98" s="214"/>
      <c r="AK98" s="214"/>
      <c r="AL98" s="214"/>
    </row>
    <row r="99" spans="1:38" ht="12" customHeight="1" x14ac:dyDescent="0.2">
      <c r="A99" s="277" t="s">
        <v>497</v>
      </c>
      <c r="B99" s="277">
        <v>2</v>
      </c>
      <c r="C99" s="489">
        <v>12438</v>
      </c>
      <c r="D99" s="398"/>
      <c r="E99" s="398"/>
      <c r="F99" s="398"/>
      <c r="G99" s="398"/>
      <c r="H99" s="398"/>
      <c r="I99" s="398"/>
      <c r="J99" s="398"/>
      <c r="K99" s="490">
        <f>SUM(C99:J99)</f>
        <v>12438</v>
      </c>
      <c r="L99" s="490">
        <f>800+49752</f>
        <v>50552</v>
      </c>
      <c r="M99" s="398"/>
      <c r="N99" s="491">
        <f>SUM(L99:M99)</f>
        <v>50552</v>
      </c>
      <c r="O99" s="490">
        <f>+K99*12</f>
        <v>149256</v>
      </c>
      <c r="P99" s="492">
        <f>+B99*O99</f>
        <v>298512</v>
      </c>
      <c r="Q99" s="277">
        <v>2</v>
      </c>
      <c r="R99" s="489">
        <f>(15093+9783)/2</f>
        <v>12438</v>
      </c>
      <c r="S99" s="493"/>
      <c r="T99" s="493"/>
      <c r="U99" s="493"/>
      <c r="V99" s="493"/>
      <c r="W99" s="493"/>
      <c r="X99" s="493"/>
      <c r="Y99" s="494"/>
      <c r="Z99" s="495">
        <f>SUM(R99:Y99)</f>
        <v>12438</v>
      </c>
      <c r="AA99" s="495">
        <f>800+49752</f>
        <v>50552</v>
      </c>
      <c r="AB99" s="428"/>
      <c r="AC99" s="496">
        <f>SUM(AA99:AB99)</f>
        <v>50552</v>
      </c>
      <c r="AD99" s="497">
        <f>+Z99*12</f>
        <v>149256</v>
      </c>
      <c r="AE99" s="498">
        <f>+Q99*AD99</f>
        <v>298512</v>
      </c>
      <c r="AF99" s="412">
        <f t="shared" ref="AF99:AG99" si="134">O99-AD99</f>
        <v>0</v>
      </c>
      <c r="AG99" s="413">
        <f t="shared" si="134"/>
        <v>0</v>
      </c>
      <c r="AH99" s="431">
        <v>2</v>
      </c>
      <c r="AI99" s="499">
        <v>298512</v>
      </c>
      <c r="AJ99" s="214"/>
      <c r="AK99" s="214"/>
      <c r="AL99" s="214"/>
    </row>
    <row r="100" spans="1:38" ht="12" customHeight="1" x14ac:dyDescent="0.2">
      <c r="A100" s="280" t="s">
        <v>498</v>
      </c>
      <c r="B100" s="277"/>
      <c r="C100" s="489"/>
      <c r="D100" s="398"/>
      <c r="E100" s="398"/>
      <c r="F100" s="398"/>
      <c r="G100" s="398"/>
      <c r="H100" s="398"/>
      <c r="I100" s="398"/>
      <c r="J100" s="398"/>
      <c r="K100" s="398"/>
      <c r="L100" s="490"/>
      <c r="M100" s="398"/>
      <c r="N100" s="500"/>
      <c r="O100" s="398"/>
      <c r="P100" s="492"/>
      <c r="Q100" s="277"/>
      <c r="R100" s="489"/>
      <c r="S100" s="493"/>
      <c r="T100" s="493"/>
      <c r="U100" s="493"/>
      <c r="V100" s="493"/>
      <c r="W100" s="493"/>
      <c r="X100" s="493"/>
      <c r="Y100" s="494"/>
      <c r="Z100" s="409"/>
      <c r="AA100" s="495"/>
      <c r="AB100" s="428"/>
      <c r="AC100" s="421"/>
      <c r="AD100" s="432"/>
      <c r="AE100" s="431"/>
      <c r="AF100" s="501"/>
      <c r="AG100" s="502"/>
      <c r="AH100" s="415"/>
      <c r="AI100" s="499"/>
      <c r="AJ100" s="214"/>
      <c r="AK100" s="214"/>
      <c r="AL100" s="214"/>
    </row>
    <row r="101" spans="1:38" ht="12" customHeight="1" x14ac:dyDescent="0.2">
      <c r="A101" s="277" t="s">
        <v>499</v>
      </c>
      <c r="B101" s="277">
        <v>5</v>
      </c>
      <c r="C101" s="489">
        <f>62965/5</f>
        <v>12593</v>
      </c>
      <c r="D101" s="398"/>
      <c r="E101" s="398"/>
      <c r="F101" s="398"/>
      <c r="G101" s="398"/>
      <c r="H101" s="398"/>
      <c r="I101" s="398"/>
      <c r="J101" s="398"/>
      <c r="K101" s="490">
        <f>SUM(C101:J101)</f>
        <v>12593</v>
      </c>
      <c r="L101" s="490">
        <f>2000+125930</f>
        <v>127930</v>
      </c>
      <c r="M101" s="398"/>
      <c r="N101" s="491">
        <f>SUM(L101:M101)</f>
        <v>127930</v>
      </c>
      <c r="O101" s="490">
        <f>+K101*12</f>
        <v>151116</v>
      </c>
      <c r="P101" s="492">
        <f>+B101*O101</f>
        <v>755580</v>
      </c>
      <c r="Q101" s="277">
        <v>5</v>
      </c>
      <c r="R101" s="489">
        <f>62965/5</f>
        <v>12593</v>
      </c>
      <c r="S101" s="493"/>
      <c r="T101" s="493"/>
      <c r="U101" s="493"/>
      <c r="V101" s="493"/>
      <c r="W101" s="493"/>
      <c r="X101" s="493"/>
      <c r="Y101" s="494"/>
      <c r="Z101" s="495">
        <f>SUM(R101:Y101)</f>
        <v>12593</v>
      </c>
      <c r="AA101" s="495">
        <f>2000+125930</f>
        <v>127930</v>
      </c>
      <c r="AB101" s="428"/>
      <c r="AC101" s="496">
        <f>SUM(AA101:AB101)</f>
        <v>127930</v>
      </c>
      <c r="AD101" s="497">
        <f>+Z101*12</f>
        <v>151116</v>
      </c>
      <c r="AE101" s="498">
        <f>+Q101*AD101</f>
        <v>755580</v>
      </c>
      <c r="AF101" s="412">
        <f t="shared" ref="AF101:AG101" si="135">O101-AD101</f>
        <v>0</v>
      </c>
      <c r="AG101" s="413">
        <f t="shared" si="135"/>
        <v>0</v>
      </c>
      <c r="AH101" s="415">
        <v>5</v>
      </c>
      <c r="AI101" s="499">
        <v>755580</v>
      </c>
      <c r="AJ101" s="214"/>
      <c r="AK101" s="214"/>
      <c r="AL101" s="214"/>
    </row>
    <row r="102" spans="1:38" ht="12" customHeight="1" x14ac:dyDescent="0.2">
      <c r="A102" s="280" t="s">
        <v>500</v>
      </c>
      <c r="B102" s="277"/>
      <c r="C102" s="489"/>
      <c r="D102" s="398"/>
      <c r="E102" s="398"/>
      <c r="F102" s="398"/>
      <c r="G102" s="398"/>
      <c r="H102" s="398"/>
      <c r="I102" s="398"/>
      <c r="J102" s="398"/>
      <c r="K102" s="398"/>
      <c r="L102" s="490"/>
      <c r="M102" s="398"/>
      <c r="N102" s="500"/>
      <c r="O102" s="398"/>
      <c r="P102" s="492"/>
      <c r="Q102" s="277"/>
      <c r="R102" s="489"/>
      <c r="S102" s="493"/>
      <c r="T102" s="493"/>
      <c r="U102" s="493"/>
      <c r="V102" s="493"/>
      <c r="W102" s="493"/>
      <c r="X102" s="493"/>
      <c r="Y102" s="494"/>
      <c r="Z102" s="409"/>
      <c r="AA102" s="495"/>
      <c r="AB102" s="428"/>
      <c r="AC102" s="421"/>
      <c r="AD102" s="432"/>
      <c r="AE102" s="431"/>
      <c r="AF102" s="501"/>
      <c r="AG102" s="502"/>
      <c r="AH102" s="415"/>
      <c r="AI102" s="499"/>
      <c r="AJ102" s="214"/>
      <c r="AK102" s="214"/>
      <c r="AL102" s="214"/>
    </row>
    <row r="103" spans="1:38" ht="12" customHeight="1" x14ac:dyDescent="0.2">
      <c r="A103" s="277" t="s">
        <v>501</v>
      </c>
      <c r="B103" s="277">
        <v>10</v>
      </c>
      <c r="C103" s="489">
        <f>68733/10</f>
        <v>6873.3</v>
      </c>
      <c r="D103" s="398"/>
      <c r="E103" s="398"/>
      <c r="F103" s="398"/>
      <c r="G103" s="398"/>
      <c r="H103" s="398"/>
      <c r="I103" s="398"/>
      <c r="J103" s="398"/>
      <c r="K103" s="490">
        <f>SUM(C103:J103)</f>
        <v>6873.3</v>
      </c>
      <c r="L103" s="490">
        <f>4000+137466</f>
        <v>141466</v>
      </c>
      <c r="M103" s="398"/>
      <c r="N103" s="491">
        <f>SUM(L103:M103)</f>
        <v>141466</v>
      </c>
      <c r="O103" s="490">
        <f>+K103*12</f>
        <v>82479.600000000006</v>
      </c>
      <c r="P103" s="492">
        <f>+B103*O103</f>
        <v>824796</v>
      </c>
      <c r="Q103" s="277">
        <v>10</v>
      </c>
      <c r="R103" s="489">
        <f>68733/10</f>
        <v>6873.3</v>
      </c>
      <c r="S103" s="493"/>
      <c r="T103" s="493"/>
      <c r="U103" s="493"/>
      <c r="V103" s="493"/>
      <c r="W103" s="493"/>
      <c r="X103" s="493"/>
      <c r="Y103" s="494"/>
      <c r="Z103" s="495">
        <f>SUM(R103:Y103)</f>
        <v>6873.3</v>
      </c>
      <c r="AA103" s="495">
        <f>4000+137466</f>
        <v>141466</v>
      </c>
      <c r="AB103" s="428"/>
      <c r="AC103" s="496">
        <f>SUM(AA103:AB103)</f>
        <v>141466</v>
      </c>
      <c r="AD103" s="497">
        <f>+Z103*12</f>
        <v>82479.600000000006</v>
      </c>
      <c r="AE103" s="498">
        <f>+Q103*AD103</f>
        <v>824796</v>
      </c>
      <c r="AF103" s="412">
        <f t="shared" ref="AF103:AG103" si="136">O103-AD103</f>
        <v>0</v>
      </c>
      <c r="AG103" s="413">
        <f t="shared" si="136"/>
        <v>0</v>
      </c>
      <c r="AH103" s="415">
        <v>9</v>
      </c>
      <c r="AI103" s="499">
        <v>772080</v>
      </c>
      <c r="AJ103" s="214"/>
      <c r="AK103" s="214"/>
      <c r="AL103" s="214"/>
    </row>
    <row r="104" spans="1:38" ht="12" customHeight="1" x14ac:dyDescent="0.2">
      <c r="A104" s="280" t="s">
        <v>502</v>
      </c>
      <c r="B104" s="277"/>
      <c r="C104" s="489"/>
      <c r="D104" s="398"/>
      <c r="E104" s="398"/>
      <c r="F104" s="398"/>
      <c r="G104" s="398"/>
      <c r="H104" s="398"/>
      <c r="I104" s="398"/>
      <c r="J104" s="398"/>
      <c r="K104" s="398"/>
      <c r="L104" s="490"/>
      <c r="M104" s="398"/>
      <c r="N104" s="500"/>
      <c r="O104" s="398"/>
      <c r="P104" s="492"/>
      <c r="Q104" s="277"/>
      <c r="R104" s="489"/>
      <c r="S104" s="493"/>
      <c r="T104" s="493"/>
      <c r="U104" s="493"/>
      <c r="V104" s="493"/>
      <c r="W104" s="493"/>
      <c r="X104" s="493"/>
      <c r="Y104" s="494"/>
      <c r="Z104" s="409"/>
      <c r="AA104" s="495"/>
      <c r="AB104" s="428"/>
      <c r="AC104" s="421"/>
      <c r="AD104" s="432"/>
      <c r="AE104" s="431"/>
      <c r="AF104" s="501"/>
      <c r="AG104" s="502"/>
      <c r="AH104" s="415"/>
      <c r="AI104" s="499"/>
      <c r="AJ104" s="214"/>
      <c r="AK104" s="214"/>
      <c r="AL104" s="214"/>
    </row>
    <row r="105" spans="1:38" ht="12" customHeight="1" x14ac:dyDescent="0.2">
      <c r="A105" s="277" t="s">
        <v>503</v>
      </c>
      <c r="B105" s="277">
        <v>66</v>
      </c>
      <c r="C105" s="489">
        <f>245538/66</f>
        <v>3720.2727272727275</v>
      </c>
      <c r="D105" s="398"/>
      <c r="E105" s="398"/>
      <c r="F105" s="398"/>
      <c r="G105" s="398"/>
      <c r="H105" s="398"/>
      <c r="I105" s="398"/>
      <c r="J105" s="398"/>
      <c r="K105" s="490">
        <f>SUM(C105:J105)</f>
        <v>3720.2727272727275</v>
      </c>
      <c r="L105" s="490">
        <f>26400+491076</f>
        <v>517476</v>
      </c>
      <c r="M105" s="398"/>
      <c r="N105" s="491">
        <f>SUM(L105:M105)</f>
        <v>517476</v>
      </c>
      <c r="O105" s="490">
        <f>+K105*12</f>
        <v>44643.272727272728</v>
      </c>
      <c r="P105" s="492">
        <f>+B105*O105</f>
        <v>2946456</v>
      </c>
      <c r="Q105" s="277">
        <v>66</v>
      </c>
      <c r="R105" s="489">
        <f>245538/66</f>
        <v>3720.2727272727275</v>
      </c>
      <c r="S105" s="493"/>
      <c r="T105" s="493"/>
      <c r="U105" s="493"/>
      <c r="V105" s="493"/>
      <c r="W105" s="493"/>
      <c r="X105" s="493"/>
      <c r="Y105" s="494"/>
      <c r="Z105" s="495">
        <f>SUM(R105:Y105)</f>
        <v>3720.2727272727275</v>
      </c>
      <c r="AA105" s="495">
        <f>26400+491076</f>
        <v>517476</v>
      </c>
      <c r="AB105" s="428"/>
      <c r="AC105" s="496">
        <f>AA105</f>
        <v>517476</v>
      </c>
      <c r="AD105" s="497">
        <f>+Z105*12</f>
        <v>44643.272727272728</v>
      </c>
      <c r="AE105" s="498">
        <f>+Q105*AD105</f>
        <v>2946456</v>
      </c>
      <c r="AF105" s="412">
        <f t="shared" ref="AF105:AG105" si="137">O105-AD105</f>
        <v>0</v>
      </c>
      <c r="AG105" s="413">
        <f t="shared" si="137"/>
        <v>0</v>
      </c>
      <c r="AH105" s="415">
        <v>65</v>
      </c>
      <c r="AI105" s="499">
        <v>2921340</v>
      </c>
      <c r="AJ105" s="214"/>
      <c r="AK105" s="214"/>
      <c r="AL105" s="214"/>
    </row>
    <row r="106" spans="1:38" ht="12" customHeight="1" x14ac:dyDescent="0.2">
      <c r="A106" s="280" t="s">
        <v>504</v>
      </c>
      <c r="B106" s="277"/>
      <c r="C106" s="489"/>
      <c r="D106" s="398"/>
      <c r="E106" s="398"/>
      <c r="F106" s="398"/>
      <c r="G106" s="398"/>
      <c r="H106" s="398"/>
      <c r="I106" s="398"/>
      <c r="J106" s="398"/>
      <c r="K106" s="398"/>
      <c r="L106" s="490"/>
      <c r="M106" s="398"/>
      <c r="N106" s="500"/>
      <c r="O106" s="398"/>
      <c r="P106" s="492"/>
      <c r="Q106" s="277"/>
      <c r="R106" s="489"/>
      <c r="S106" s="493"/>
      <c r="T106" s="493"/>
      <c r="U106" s="493"/>
      <c r="V106" s="493"/>
      <c r="W106" s="493"/>
      <c r="X106" s="493"/>
      <c r="Y106" s="494"/>
      <c r="Z106" s="409"/>
      <c r="AA106" s="495"/>
      <c r="AB106" s="428"/>
      <c r="AC106" s="421"/>
      <c r="AD106" s="432"/>
      <c r="AE106" s="431"/>
      <c r="AF106" s="501"/>
      <c r="AG106" s="502"/>
      <c r="AH106" s="415"/>
      <c r="AI106" s="499"/>
      <c r="AJ106" s="214"/>
      <c r="AK106" s="214"/>
      <c r="AL106" s="214"/>
    </row>
    <row r="107" spans="1:38" ht="12" customHeight="1" x14ac:dyDescent="0.2">
      <c r="A107" s="277" t="s">
        <v>505</v>
      </c>
      <c r="B107" s="277">
        <v>19</v>
      </c>
      <c r="C107" s="489">
        <f>42967/19</f>
        <v>2261.4210526315787</v>
      </c>
      <c r="D107" s="398"/>
      <c r="E107" s="398"/>
      <c r="F107" s="398"/>
      <c r="G107" s="398"/>
      <c r="H107" s="398"/>
      <c r="I107" s="398"/>
      <c r="J107" s="398"/>
      <c r="K107" s="490">
        <f>SUM(C107:J107)</f>
        <v>2261.4210526315787</v>
      </c>
      <c r="L107" s="490">
        <f>7600+85934</f>
        <v>93534</v>
      </c>
      <c r="M107" s="398"/>
      <c r="N107" s="491">
        <f>SUM(L107:M107)</f>
        <v>93534</v>
      </c>
      <c r="O107" s="490">
        <f>+K107*12</f>
        <v>27137.052631578947</v>
      </c>
      <c r="P107" s="492">
        <f>+B107*O107</f>
        <v>515604</v>
      </c>
      <c r="Q107" s="277">
        <v>19</v>
      </c>
      <c r="R107" s="489">
        <f>42967/19</f>
        <v>2261.4210526315787</v>
      </c>
      <c r="S107" s="493"/>
      <c r="T107" s="493"/>
      <c r="U107" s="493"/>
      <c r="V107" s="493"/>
      <c r="W107" s="493"/>
      <c r="X107" s="493"/>
      <c r="Y107" s="494"/>
      <c r="Z107" s="495">
        <f>SUM(R107:Y107)</f>
        <v>2261.4210526315787</v>
      </c>
      <c r="AA107" s="495">
        <f>7600+85934</f>
        <v>93534</v>
      </c>
      <c r="AB107" s="428"/>
      <c r="AC107" s="496">
        <f>SUM(AA107:AB107)</f>
        <v>93534</v>
      </c>
      <c r="AD107" s="497">
        <f>+Z107*12</f>
        <v>27137.052631578947</v>
      </c>
      <c r="AE107" s="498">
        <f>+Q107*AD107</f>
        <v>515604</v>
      </c>
      <c r="AF107" s="412">
        <f t="shared" ref="AF107:AG107" si="138">O107-AD107</f>
        <v>0</v>
      </c>
      <c r="AG107" s="413">
        <f t="shared" si="138"/>
        <v>0</v>
      </c>
      <c r="AH107" s="415">
        <v>19</v>
      </c>
      <c r="AI107" s="499">
        <v>515604</v>
      </c>
      <c r="AJ107" s="214"/>
      <c r="AK107" s="214"/>
      <c r="AL107" s="214"/>
    </row>
    <row r="108" spans="1:38" ht="12" customHeight="1" x14ac:dyDescent="0.2">
      <c r="A108" s="229"/>
      <c r="B108" s="229"/>
      <c r="C108" s="399"/>
      <c r="D108" s="398"/>
      <c r="E108" s="398"/>
      <c r="F108" s="398"/>
      <c r="G108" s="398"/>
      <c r="H108" s="398"/>
      <c r="I108" s="398"/>
      <c r="J108" s="398"/>
      <c r="K108" s="398"/>
      <c r="L108" s="398"/>
      <c r="M108" s="398"/>
      <c r="N108" s="500"/>
      <c r="O108" s="398"/>
      <c r="P108" s="400"/>
      <c r="Q108" s="503"/>
      <c r="R108" s="504"/>
      <c r="S108" s="493"/>
      <c r="T108" s="493"/>
      <c r="U108" s="493"/>
      <c r="V108" s="493"/>
      <c r="W108" s="493"/>
      <c r="X108" s="493"/>
      <c r="Y108" s="494"/>
      <c r="Z108" s="409"/>
      <c r="AA108" s="409"/>
      <c r="AB108" s="428"/>
      <c r="AC108" s="421"/>
      <c r="AD108" s="432"/>
      <c r="AE108" s="431"/>
      <c r="AF108" s="501"/>
      <c r="AG108" s="502"/>
      <c r="AH108" s="415"/>
      <c r="AI108" s="415"/>
      <c r="AJ108" s="214"/>
      <c r="AK108" s="214"/>
      <c r="AL108" s="214"/>
    </row>
    <row r="109" spans="1:38" ht="24" customHeight="1" x14ac:dyDescent="0.2">
      <c r="A109" s="505" t="s">
        <v>669</v>
      </c>
      <c r="B109" s="477">
        <f>SUM(B99:B108)</f>
        <v>102</v>
      </c>
      <c r="C109" s="506">
        <f>12438+12593+6873+3720+2261</f>
        <v>37885</v>
      </c>
      <c r="D109" s="507"/>
      <c r="E109" s="507"/>
      <c r="F109" s="507"/>
      <c r="G109" s="507"/>
      <c r="H109" s="507"/>
      <c r="I109" s="507"/>
      <c r="J109" s="507"/>
      <c r="K109" s="508">
        <f>SUM(K99:K108)-1</f>
        <v>37884.993779904304</v>
      </c>
      <c r="L109" s="508">
        <f>SUM(L99:L108)</f>
        <v>930958</v>
      </c>
      <c r="M109" s="507"/>
      <c r="N109" s="509">
        <f t="shared" ref="N109:Q109" si="139">SUM(N99:N108)</f>
        <v>930958</v>
      </c>
      <c r="O109" s="510">
        <f t="shared" si="139"/>
        <v>454631.92535885161</v>
      </c>
      <c r="P109" s="508">
        <f t="shared" si="139"/>
        <v>5340948</v>
      </c>
      <c r="Q109" s="477">
        <f t="shared" si="139"/>
        <v>102</v>
      </c>
      <c r="R109" s="506">
        <f>12438+12593+6873+3720+2261</f>
        <v>37885</v>
      </c>
      <c r="S109" s="511"/>
      <c r="T109" s="511"/>
      <c r="U109" s="511"/>
      <c r="V109" s="511"/>
      <c r="W109" s="511"/>
      <c r="X109" s="511"/>
      <c r="Y109" s="512"/>
      <c r="Z109" s="513">
        <f>SUM(Z99:Z108)-1</f>
        <v>37884.993779904304</v>
      </c>
      <c r="AA109" s="513">
        <f>SUM(AA99:AA108)</f>
        <v>930958</v>
      </c>
      <c r="AB109" s="514"/>
      <c r="AC109" s="515">
        <f t="shared" ref="AC109:AI109" si="140">SUM(AC99:AC108)</f>
        <v>930958</v>
      </c>
      <c r="AD109" s="516">
        <f t="shared" si="140"/>
        <v>454631.92535885161</v>
      </c>
      <c r="AE109" s="517">
        <f t="shared" si="140"/>
        <v>5340948</v>
      </c>
      <c r="AF109" s="518">
        <f t="shared" si="140"/>
        <v>0</v>
      </c>
      <c r="AG109" s="519">
        <f t="shared" si="140"/>
        <v>0</v>
      </c>
      <c r="AH109" s="520">
        <f t="shared" si="140"/>
        <v>100</v>
      </c>
      <c r="AI109" s="520">
        <f t="shared" si="140"/>
        <v>5263116</v>
      </c>
      <c r="AJ109" s="214"/>
      <c r="AK109" s="214"/>
      <c r="AL109" s="214"/>
    </row>
    <row r="110" spans="1:38" ht="12" customHeight="1" x14ac:dyDescent="0.2">
      <c r="A110" s="214"/>
      <c r="B110" s="214"/>
      <c r="C110" s="214"/>
      <c r="D110" s="214"/>
      <c r="E110" s="214"/>
      <c r="F110" s="214"/>
      <c r="G110" s="214"/>
      <c r="H110" s="214"/>
      <c r="I110" s="214"/>
      <c r="J110" s="214"/>
      <c r="K110" s="214"/>
      <c r="L110" s="214"/>
      <c r="M110" s="214"/>
      <c r="N110" s="214"/>
      <c r="O110" s="214"/>
      <c r="P110" s="214"/>
      <c r="Q110" s="271"/>
      <c r="R110" s="214"/>
      <c r="S110" s="214"/>
      <c r="T110" s="214"/>
      <c r="U110" s="214"/>
      <c r="V110" s="214"/>
      <c r="W110" s="214"/>
      <c r="X110" s="214"/>
      <c r="Y110" s="421"/>
      <c r="Z110" s="421"/>
      <c r="AA110" s="421"/>
      <c r="AB110" s="421"/>
      <c r="AC110" s="421"/>
      <c r="AD110" s="460"/>
      <c r="AE110" s="460"/>
      <c r="AF110" s="460"/>
      <c r="AG110" s="460"/>
      <c r="AH110" s="460"/>
      <c r="AI110" s="461"/>
      <c r="AJ110" s="214"/>
      <c r="AK110" s="214"/>
      <c r="AL110" s="214"/>
    </row>
    <row r="111" spans="1:38" ht="24" customHeight="1" x14ac:dyDescent="0.2">
      <c r="A111" s="521" t="s">
        <v>512</v>
      </c>
      <c r="B111" s="388"/>
      <c r="C111" s="388"/>
      <c r="D111" s="388"/>
      <c r="E111" s="388"/>
      <c r="F111" s="388"/>
      <c r="G111" s="388"/>
      <c r="H111" s="388"/>
      <c r="I111" s="388"/>
      <c r="J111" s="388"/>
      <c r="K111" s="388"/>
      <c r="L111" s="388"/>
      <c r="M111" s="388"/>
      <c r="N111" s="388"/>
      <c r="O111" s="388"/>
      <c r="P111" s="388"/>
      <c r="Q111" s="387"/>
      <c r="R111" s="388"/>
      <c r="S111" s="388"/>
      <c r="T111" s="388"/>
      <c r="U111" s="388"/>
      <c r="V111" s="388"/>
      <c r="W111" s="388"/>
      <c r="X111" s="388"/>
      <c r="Y111" s="522"/>
      <c r="Z111" s="522"/>
      <c r="AA111" s="522"/>
      <c r="AB111" s="522"/>
      <c r="AC111" s="522"/>
      <c r="AD111" s="522"/>
      <c r="AE111" s="522"/>
      <c r="AF111" s="522"/>
      <c r="AG111" s="522"/>
      <c r="AH111" s="522"/>
      <c r="AI111" s="523"/>
      <c r="AJ111" s="214"/>
      <c r="AK111" s="214"/>
      <c r="AL111" s="214"/>
    </row>
    <row r="112" spans="1:38" ht="18" customHeight="1" x14ac:dyDescent="0.2">
      <c r="A112" s="222" t="s">
        <v>430</v>
      </c>
      <c r="B112" s="222">
        <v>273</v>
      </c>
      <c r="C112" s="393">
        <v>9310</v>
      </c>
      <c r="D112" s="393">
        <v>0</v>
      </c>
      <c r="E112" s="393">
        <v>0</v>
      </c>
      <c r="F112" s="393">
        <v>0</v>
      </c>
      <c r="G112" s="393">
        <v>0</v>
      </c>
      <c r="H112" s="393">
        <v>0</v>
      </c>
      <c r="I112" s="393">
        <v>0</v>
      </c>
      <c r="J112" s="393">
        <v>0</v>
      </c>
      <c r="K112" s="524">
        <f>SUM(C112:J112)</f>
        <v>9310</v>
      </c>
      <c r="L112" s="525">
        <v>600</v>
      </c>
      <c r="M112" s="393">
        <v>0</v>
      </c>
      <c r="N112" s="526">
        <f>SUM(L112:M112)</f>
        <v>600</v>
      </c>
      <c r="O112" s="527">
        <f>K112*12+N112</f>
        <v>112320</v>
      </c>
      <c r="P112" s="528">
        <f t="shared" ref="P112:P113" si="141">O112*B112</f>
        <v>30663360</v>
      </c>
      <c r="Q112" s="222">
        <v>328</v>
      </c>
      <c r="R112" s="525">
        <v>9310</v>
      </c>
      <c r="S112" s="393">
        <v>0</v>
      </c>
      <c r="T112" s="393">
        <v>0</v>
      </c>
      <c r="U112" s="393">
        <v>0</v>
      </c>
      <c r="V112" s="393">
        <v>0</v>
      </c>
      <c r="W112" s="393">
        <v>0</v>
      </c>
      <c r="X112" s="393">
        <v>0</v>
      </c>
      <c r="Y112" s="472">
        <v>0</v>
      </c>
      <c r="Z112" s="529">
        <f>SUM(R112:Y112)</f>
        <v>9310</v>
      </c>
      <c r="AA112" s="529">
        <v>600</v>
      </c>
      <c r="AB112" s="529">
        <v>0</v>
      </c>
      <c r="AC112" s="530">
        <f>SUM(AA112:AB112)</f>
        <v>600</v>
      </c>
      <c r="AD112" s="531">
        <f>Z112*12+AC112</f>
        <v>112320</v>
      </c>
      <c r="AE112" s="532">
        <f t="shared" ref="AE112:AE113" si="142">AD112*Q112</f>
        <v>36840960</v>
      </c>
      <c r="AF112" s="533">
        <f t="shared" ref="AF112:AG112" si="143">O112-AD112</f>
        <v>0</v>
      </c>
      <c r="AG112" s="533">
        <f t="shared" si="143"/>
        <v>-6177600</v>
      </c>
      <c r="AH112" s="474">
        <v>361</v>
      </c>
      <c r="AI112" s="534">
        <v>38393017.799999997</v>
      </c>
      <c r="AJ112" s="214"/>
      <c r="AK112" s="214"/>
      <c r="AL112" s="214"/>
    </row>
    <row r="113" spans="1:38" ht="18" customHeight="1" x14ac:dyDescent="0.2">
      <c r="A113" s="229" t="s">
        <v>430</v>
      </c>
      <c r="B113" s="229">
        <v>183</v>
      </c>
      <c r="C113" s="398">
        <v>3272.03</v>
      </c>
      <c r="D113" s="398">
        <v>0</v>
      </c>
      <c r="E113" s="398">
        <v>0</v>
      </c>
      <c r="F113" s="398">
        <v>0</v>
      </c>
      <c r="G113" s="398">
        <v>0</v>
      </c>
      <c r="H113" s="398">
        <v>0</v>
      </c>
      <c r="I113" s="398">
        <v>0</v>
      </c>
      <c r="J113" s="398">
        <v>0</v>
      </c>
      <c r="K113" s="535">
        <v>3272.03</v>
      </c>
      <c r="L113" s="536">
        <v>109800</v>
      </c>
      <c r="M113" s="398">
        <v>0</v>
      </c>
      <c r="N113" s="214">
        <v>0</v>
      </c>
      <c r="O113" s="537">
        <f>K113*12+600</f>
        <v>39864.36</v>
      </c>
      <c r="P113" s="538">
        <f t="shared" si="141"/>
        <v>7295177.8799999999</v>
      </c>
      <c r="Q113" s="229">
        <v>177</v>
      </c>
      <c r="R113" s="536">
        <v>3291.12</v>
      </c>
      <c r="S113" s="398">
        <v>0</v>
      </c>
      <c r="T113" s="398">
        <v>0</v>
      </c>
      <c r="U113" s="398">
        <v>0</v>
      </c>
      <c r="V113" s="398">
        <v>0</v>
      </c>
      <c r="W113" s="398">
        <v>0</v>
      </c>
      <c r="X113" s="398">
        <v>0</v>
      </c>
      <c r="Y113" s="409">
        <v>0</v>
      </c>
      <c r="Z113" s="539">
        <v>3291.12</v>
      </c>
      <c r="AA113" s="539">
        <v>107400</v>
      </c>
      <c r="AB113" s="539">
        <v>0</v>
      </c>
      <c r="AC113" s="540">
        <v>0</v>
      </c>
      <c r="AD113" s="541">
        <f>Z113*12+600</f>
        <v>40093.440000000002</v>
      </c>
      <c r="AE113" s="542">
        <f t="shared" si="142"/>
        <v>7096538.8800000008</v>
      </c>
      <c r="AF113" s="413">
        <f t="shared" ref="AF113:AG113" si="144">O113-AD113</f>
        <v>-229.08000000000175</v>
      </c>
      <c r="AG113" s="413">
        <f t="shared" si="144"/>
        <v>198638.99999999907</v>
      </c>
      <c r="AH113" s="431">
        <v>177</v>
      </c>
      <c r="AI113" s="543">
        <v>7633736</v>
      </c>
      <c r="AJ113" s="214"/>
      <c r="AK113" s="214"/>
      <c r="AL113" s="214"/>
    </row>
    <row r="114" spans="1:38" ht="24" customHeight="1" x14ac:dyDescent="0.2">
      <c r="A114" s="544" t="s">
        <v>670</v>
      </c>
      <c r="B114" s="545">
        <f t="shared" ref="B114:AI114" si="145">+B112+B113</f>
        <v>456</v>
      </c>
      <c r="C114" s="546">
        <f t="shared" si="145"/>
        <v>12582.03</v>
      </c>
      <c r="D114" s="546">
        <f t="shared" si="145"/>
        <v>0</v>
      </c>
      <c r="E114" s="546">
        <f t="shared" si="145"/>
        <v>0</v>
      </c>
      <c r="F114" s="546">
        <f t="shared" si="145"/>
        <v>0</v>
      </c>
      <c r="G114" s="546">
        <f t="shared" si="145"/>
        <v>0</v>
      </c>
      <c r="H114" s="546">
        <f t="shared" si="145"/>
        <v>0</v>
      </c>
      <c r="I114" s="546">
        <f t="shared" si="145"/>
        <v>0</v>
      </c>
      <c r="J114" s="546">
        <f t="shared" si="145"/>
        <v>0</v>
      </c>
      <c r="K114" s="544">
        <f t="shared" si="145"/>
        <v>12582.03</v>
      </c>
      <c r="L114" s="546">
        <f t="shared" si="145"/>
        <v>110400</v>
      </c>
      <c r="M114" s="546">
        <f t="shared" si="145"/>
        <v>0</v>
      </c>
      <c r="N114" s="546">
        <f t="shared" si="145"/>
        <v>600</v>
      </c>
      <c r="O114" s="546">
        <f t="shared" si="145"/>
        <v>152184.35999999999</v>
      </c>
      <c r="P114" s="546">
        <f t="shared" si="145"/>
        <v>37958537.880000003</v>
      </c>
      <c r="Q114" s="545">
        <f t="shared" si="145"/>
        <v>505</v>
      </c>
      <c r="R114" s="546">
        <f t="shared" si="145"/>
        <v>12601.119999999999</v>
      </c>
      <c r="S114" s="546">
        <f t="shared" si="145"/>
        <v>0</v>
      </c>
      <c r="T114" s="546">
        <f t="shared" si="145"/>
        <v>0</v>
      </c>
      <c r="U114" s="546">
        <f t="shared" si="145"/>
        <v>0</v>
      </c>
      <c r="V114" s="546">
        <f t="shared" si="145"/>
        <v>0</v>
      </c>
      <c r="W114" s="546">
        <f t="shared" si="145"/>
        <v>0</v>
      </c>
      <c r="X114" s="546">
        <f t="shared" si="145"/>
        <v>0</v>
      </c>
      <c r="Y114" s="482">
        <f t="shared" si="145"/>
        <v>0</v>
      </c>
      <c r="Z114" s="482">
        <f t="shared" si="145"/>
        <v>12601.119999999999</v>
      </c>
      <c r="AA114" s="482">
        <f t="shared" si="145"/>
        <v>108000</v>
      </c>
      <c r="AB114" s="482">
        <f t="shared" si="145"/>
        <v>0</v>
      </c>
      <c r="AC114" s="482">
        <f t="shared" si="145"/>
        <v>600</v>
      </c>
      <c r="AD114" s="482">
        <f t="shared" si="145"/>
        <v>152413.44</v>
      </c>
      <c r="AE114" s="482">
        <f t="shared" si="145"/>
        <v>43937498.880000003</v>
      </c>
      <c r="AF114" s="482">
        <f t="shared" si="145"/>
        <v>-229.08000000000175</v>
      </c>
      <c r="AG114" s="482">
        <f t="shared" si="145"/>
        <v>-5978961.0000000009</v>
      </c>
      <c r="AH114" s="545">
        <f t="shared" si="145"/>
        <v>538</v>
      </c>
      <c r="AI114" s="482">
        <f t="shared" si="145"/>
        <v>46026753.799999997</v>
      </c>
      <c r="AJ114" s="214"/>
      <c r="AK114" s="214"/>
      <c r="AL114" s="214"/>
    </row>
    <row r="115" spans="1:38" ht="12" customHeight="1" x14ac:dyDescent="0.2">
      <c r="A115" s="214"/>
      <c r="B115" s="214"/>
      <c r="C115" s="214"/>
      <c r="D115" s="214"/>
      <c r="E115" s="214"/>
      <c r="F115" s="214"/>
      <c r="G115" s="214"/>
      <c r="H115" s="214"/>
      <c r="I115" s="214"/>
      <c r="J115" s="214"/>
      <c r="K115" s="214"/>
      <c r="L115" s="214"/>
      <c r="M115" s="214"/>
      <c r="N115" s="214"/>
      <c r="O115" s="214"/>
      <c r="P115" s="214"/>
      <c r="Q115" s="271"/>
      <c r="R115" s="214"/>
      <c r="S115" s="214"/>
      <c r="T115" s="214"/>
      <c r="U115" s="214"/>
      <c r="V115" s="214"/>
      <c r="W115" s="214"/>
      <c r="X115" s="214"/>
      <c r="Y115" s="421"/>
      <c r="Z115" s="421"/>
      <c r="AA115" s="421"/>
      <c r="AB115" s="421"/>
      <c r="AC115" s="421"/>
      <c r="AD115" s="460"/>
      <c r="AE115" s="460"/>
      <c r="AF115" s="460"/>
      <c r="AG115" s="460"/>
      <c r="AH115" s="460"/>
      <c r="AI115" s="461"/>
      <c r="AJ115" s="214"/>
      <c r="AK115" s="214"/>
      <c r="AL115" s="214"/>
    </row>
    <row r="116" spans="1:38" ht="24" customHeight="1" x14ac:dyDescent="0.2">
      <c r="A116" s="521" t="s">
        <v>514</v>
      </c>
      <c r="B116" s="388"/>
      <c r="C116" s="388"/>
      <c r="D116" s="388"/>
      <c r="E116" s="388"/>
      <c r="F116" s="388"/>
      <c r="G116" s="388"/>
      <c r="H116" s="388"/>
      <c r="I116" s="388"/>
      <c r="J116" s="388"/>
      <c r="K116" s="388"/>
      <c r="L116" s="388"/>
      <c r="M116" s="388"/>
      <c r="N116" s="388"/>
      <c r="O116" s="388"/>
      <c r="P116" s="388"/>
      <c r="Q116" s="387"/>
      <c r="R116" s="388"/>
      <c r="S116" s="388"/>
      <c r="T116" s="388"/>
      <c r="U116" s="388"/>
      <c r="V116" s="388"/>
      <c r="W116" s="388"/>
      <c r="X116" s="388"/>
      <c r="Y116" s="522"/>
      <c r="Z116" s="522"/>
      <c r="AA116" s="522"/>
      <c r="AB116" s="522"/>
      <c r="AC116" s="522"/>
      <c r="AD116" s="522"/>
      <c r="AE116" s="522"/>
      <c r="AF116" s="522"/>
      <c r="AG116" s="522"/>
      <c r="AH116" s="522"/>
      <c r="AI116" s="523"/>
      <c r="AJ116" s="214"/>
      <c r="AK116" s="214"/>
      <c r="AL116" s="214"/>
    </row>
    <row r="117" spans="1:38" ht="12" customHeight="1" x14ac:dyDescent="0.2">
      <c r="A117" s="222" t="s">
        <v>671</v>
      </c>
      <c r="B117" s="222"/>
      <c r="C117" s="393"/>
      <c r="D117" s="393"/>
      <c r="E117" s="393"/>
      <c r="F117" s="393"/>
      <c r="G117" s="393"/>
      <c r="H117" s="393"/>
      <c r="I117" s="393"/>
      <c r="J117" s="393"/>
      <c r="K117" s="393"/>
      <c r="L117" s="393"/>
      <c r="M117" s="393"/>
      <c r="N117" s="394"/>
      <c r="O117" s="395"/>
      <c r="P117" s="397"/>
      <c r="Q117" s="222"/>
      <c r="R117" s="393"/>
      <c r="S117" s="393"/>
      <c r="T117" s="393"/>
      <c r="U117" s="393"/>
      <c r="V117" s="393"/>
      <c r="W117" s="393"/>
      <c r="X117" s="393"/>
      <c r="Y117" s="472"/>
      <c r="Z117" s="472"/>
      <c r="AA117" s="472"/>
      <c r="AB117" s="472"/>
      <c r="AC117" s="464"/>
      <c r="AD117" s="473"/>
      <c r="AE117" s="474"/>
      <c r="AF117" s="474"/>
      <c r="AG117" s="475"/>
      <c r="AH117" s="474"/>
      <c r="AI117" s="475"/>
      <c r="AJ117" s="214"/>
      <c r="AK117" s="214"/>
      <c r="AL117" s="214"/>
    </row>
    <row r="118" spans="1:38" ht="12" customHeight="1" x14ac:dyDescent="0.2">
      <c r="A118" s="229" t="s">
        <v>672</v>
      </c>
      <c r="B118" s="229"/>
      <c r="C118" s="398"/>
      <c r="D118" s="398"/>
      <c r="E118" s="398"/>
      <c r="F118" s="398"/>
      <c r="G118" s="398"/>
      <c r="H118" s="398"/>
      <c r="I118" s="398"/>
      <c r="J118" s="398"/>
      <c r="K118" s="398"/>
      <c r="L118" s="398"/>
      <c r="M118" s="398"/>
      <c r="N118" s="214"/>
      <c r="O118" s="399"/>
      <c r="P118" s="400"/>
      <c r="Q118" s="229"/>
      <c r="R118" s="398"/>
      <c r="S118" s="398"/>
      <c r="T118" s="398"/>
      <c r="U118" s="398"/>
      <c r="V118" s="398"/>
      <c r="W118" s="398"/>
      <c r="X118" s="398"/>
      <c r="Y118" s="409"/>
      <c r="Z118" s="409"/>
      <c r="AA118" s="409"/>
      <c r="AB118" s="409"/>
      <c r="AC118" s="421"/>
      <c r="AD118" s="432"/>
      <c r="AE118" s="431"/>
      <c r="AF118" s="431"/>
      <c r="AG118" s="415"/>
      <c r="AH118" s="431"/>
      <c r="AI118" s="415"/>
      <c r="AJ118" s="214"/>
      <c r="AK118" s="214"/>
      <c r="AL118" s="214"/>
    </row>
    <row r="119" spans="1:38" ht="12" customHeight="1" x14ac:dyDescent="0.2">
      <c r="A119" s="229" t="s">
        <v>672</v>
      </c>
      <c r="B119" s="229"/>
      <c r="C119" s="398"/>
      <c r="D119" s="398"/>
      <c r="E119" s="398"/>
      <c r="F119" s="398"/>
      <c r="G119" s="398"/>
      <c r="H119" s="398"/>
      <c r="I119" s="398"/>
      <c r="J119" s="398"/>
      <c r="K119" s="398"/>
      <c r="L119" s="398"/>
      <c r="M119" s="398"/>
      <c r="N119" s="214"/>
      <c r="O119" s="399"/>
      <c r="P119" s="400"/>
      <c r="Q119" s="229"/>
      <c r="R119" s="398"/>
      <c r="S119" s="398"/>
      <c r="T119" s="398"/>
      <c r="U119" s="398"/>
      <c r="V119" s="398"/>
      <c r="W119" s="398"/>
      <c r="X119" s="398"/>
      <c r="Y119" s="409"/>
      <c r="Z119" s="409"/>
      <c r="AA119" s="409"/>
      <c r="AB119" s="409"/>
      <c r="AC119" s="421"/>
      <c r="AD119" s="432"/>
      <c r="AE119" s="431"/>
      <c r="AF119" s="431"/>
      <c r="AG119" s="415"/>
      <c r="AH119" s="431"/>
      <c r="AI119" s="415"/>
      <c r="AJ119" s="214"/>
      <c r="AK119" s="214"/>
      <c r="AL119" s="214"/>
    </row>
    <row r="120" spans="1:38" ht="12" customHeight="1" x14ac:dyDescent="0.2">
      <c r="A120" s="229" t="s">
        <v>673</v>
      </c>
      <c r="B120" s="229"/>
      <c r="C120" s="398"/>
      <c r="D120" s="398"/>
      <c r="E120" s="398"/>
      <c r="F120" s="398"/>
      <c r="G120" s="398"/>
      <c r="H120" s="398"/>
      <c r="I120" s="398"/>
      <c r="J120" s="398"/>
      <c r="K120" s="398"/>
      <c r="L120" s="398"/>
      <c r="M120" s="398"/>
      <c r="N120" s="214"/>
      <c r="O120" s="399"/>
      <c r="P120" s="400"/>
      <c r="Q120" s="229"/>
      <c r="R120" s="398"/>
      <c r="S120" s="398"/>
      <c r="T120" s="398"/>
      <c r="U120" s="398"/>
      <c r="V120" s="398"/>
      <c r="W120" s="398"/>
      <c r="X120" s="398"/>
      <c r="Y120" s="409"/>
      <c r="Z120" s="409"/>
      <c r="AA120" s="409"/>
      <c r="AB120" s="409"/>
      <c r="AC120" s="421"/>
      <c r="AD120" s="432"/>
      <c r="AE120" s="431"/>
      <c r="AF120" s="431"/>
      <c r="AG120" s="415"/>
      <c r="AH120" s="431"/>
      <c r="AI120" s="415"/>
      <c r="AJ120" s="214"/>
      <c r="AK120" s="214"/>
      <c r="AL120" s="214"/>
    </row>
    <row r="121" spans="1:38" ht="12" customHeight="1" x14ac:dyDescent="0.2">
      <c r="A121" s="229" t="s">
        <v>672</v>
      </c>
      <c r="B121" s="229"/>
      <c r="C121" s="398"/>
      <c r="D121" s="398"/>
      <c r="E121" s="398"/>
      <c r="F121" s="398"/>
      <c r="G121" s="398"/>
      <c r="H121" s="398"/>
      <c r="I121" s="398"/>
      <c r="J121" s="398"/>
      <c r="K121" s="398"/>
      <c r="L121" s="398"/>
      <c r="M121" s="398"/>
      <c r="N121" s="214"/>
      <c r="O121" s="399"/>
      <c r="P121" s="400"/>
      <c r="Q121" s="229"/>
      <c r="R121" s="398"/>
      <c r="S121" s="398"/>
      <c r="T121" s="398"/>
      <c r="U121" s="398"/>
      <c r="V121" s="398"/>
      <c r="W121" s="398"/>
      <c r="X121" s="398"/>
      <c r="Y121" s="409"/>
      <c r="Z121" s="409"/>
      <c r="AA121" s="409"/>
      <c r="AB121" s="409"/>
      <c r="AC121" s="421"/>
      <c r="AD121" s="432"/>
      <c r="AE121" s="431"/>
      <c r="AF121" s="431"/>
      <c r="AG121" s="415"/>
      <c r="AH121" s="431"/>
      <c r="AI121" s="415"/>
      <c r="AJ121" s="214"/>
      <c r="AK121" s="214"/>
      <c r="AL121" s="214"/>
    </row>
    <row r="122" spans="1:38" ht="12" customHeight="1" x14ac:dyDescent="0.2">
      <c r="A122" s="229" t="s">
        <v>672</v>
      </c>
      <c r="B122" s="229"/>
      <c r="C122" s="398"/>
      <c r="D122" s="398"/>
      <c r="E122" s="398"/>
      <c r="F122" s="398"/>
      <c r="G122" s="398"/>
      <c r="H122" s="398"/>
      <c r="I122" s="398"/>
      <c r="J122" s="398"/>
      <c r="K122" s="398"/>
      <c r="L122" s="398"/>
      <c r="M122" s="398"/>
      <c r="N122" s="214"/>
      <c r="O122" s="399"/>
      <c r="P122" s="400"/>
      <c r="Q122" s="229"/>
      <c r="R122" s="398"/>
      <c r="S122" s="398"/>
      <c r="T122" s="398"/>
      <c r="U122" s="398"/>
      <c r="V122" s="398"/>
      <c r="W122" s="398"/>
      <c r="X122" s="398"/>
      <c r="Y122" s="409"/>
      <c r="Z122" s="409"/>
      <c r="AA122" s="409"/>
      <c r="AB122" s="409"/>
      <c r="AC122" s="421"/>
      <c r="AD122" s="432"/>
      <c r="AE122" s="431"/>
      <c r="AF122" s="431"/>
      <c r="AG122" s="415"/>
      <c r="AH122" s="431"/>
      <c r="AI122" s="415"/>
      <c r="AJ122" s="214"/>
      <c r="AK122" s="214"/>
      <c r="AL122" s="214"/>
    </row>
    <row r="123" spans="1:38" ht="12" customHeight="1" x14ac:dyDescent="0.2">
      <c r="A123" s="229" t="s">
        <v>674</v>
      </c>
      <c r="B123" s="229"/>
      <c r="C123" s="398"/>
      <c r="D123" s="398"/>
      <c r="E123" s="398"/>
      <c r="F123" s="398"/>
      <c r="G123" s="398"/>
      <c r="H123" s="398"/>
      <c r="I123" s="398"/>
      <c r="J123" s="398"/>
      <c r="K123" s="398"/>
      <c r="L123" s="398"/>
      <c r="M123" s="398"/>
      <c r="N123" s="214"/>
      <c r="O123" s="399"/>
      <c r="P123" s="400"/>
      <c r="Q123" s="229"/>
      <c r="R123" s="398"/>
      <c r="S123" s="398"/>
      <c r="T123" s="398"/>
      <c r="U123" s="398"/>
      <c r="V123" s="398"/>
      <c r="W123" s="398"/>
      <c r="X123" s="398"/>
      <c r="Y123" s="409"/>
      <c r="Z123" s="409"/>
      <c r="AA123" s="409"/>
      <c r="AB123" s="409"/>
      <c r="AC123" s="421"/>
      <c r="AD123" s="432"/>
      <c r="AE123" s="431"/>
      <c r="AF123" s="431"/>
      <c r="AG123" s="415"/>
      <c r="AH123" s="431"/>
      <c r="AI123" s="415"/>
      <c r="AJ123" s="214"/>
      <c r="AK123" s="214"/>
      <c r="AL123" s="214"/>
    </row>
    <row r="124" spans="1:38" ht="12" customHeight="1" x14ac:dyDescent="0.2">
      <c r="A124" s="229"/>
      <c r="B124" s="229"/>
      <c r="C124" s="398"/>
      <c r="D124" s="398"/>
      <c r="E124" s="398"/>
      <c r="F124" s="398"/>
      <c r="G124" s="398"/>
      <c r="H124" s="398"/>
      <c r="I124" s="398"/>
      <c r="J124" s="398"/>
      <c r="K124" s="398"/>
      <c r="L124" s="398"/>
      <c r="M124" s="398"/>
      <c r="N124" s="214"/>
      <c r="O124" s="399"/>
      <c r="P124" s="400"/>
      <c r="Q124" s="229"/>
      <c r="R124" s="398"/>
      <c r="S124" s="398"/>
      <c r="T124" s="398"/>
      <c r="U124" s="398"/>
      <c r="V124" s="398"/>
      <c r="W124" s="398"/>
      <c r="X124" s="398"/>
      <c r="Y124" s="409"/>
      <c r="Z124" s="409"/>
      <c r="AA124" s="409"/>
      <c r="AB124" s="409"/>
      <c r="AC124" s="421"/>
      <c r="AD124" s="432"/>
      <c r="AE124" s="431"/>
      <c r="AF124" s="431"/>
      <c r="AG124" s="415"/>
      <c r="AH124" s="431"/>
      <c r="AI124" s="415"/>
      <c r="AJ124" s="214"/>
      <c r="AK124" s="214"/>
      <c r="AL124" s="214"/>
    </row>
    <row r="125" spans="1:38" ht="12" customHeight="1" x14ac:dyDescent="0.2">
      <c r="A125" s="547"/>
      <c r="B125" s="548"/>
      <c r="C125" s="549"/>
      <c r="D125" s="549"/>
      <c r="E125" s="549"/>
      <c r="F125" s="549"/>
      <c r="G125" s="549"/>
      <c r="H125" s="549"/>
      <c r="I125" s="549"/>
      <c r="J125" s="549"/>
      <c r="K125" s="549"/>
      <c r="L125" s="549"/>
      <c r="M125" s="549"/>
      <c r="N125" s="550"/>
      <c r="O125" s="551"/>
      <c r="P125" s="552"/>
      <c r="Q125" s="548"/>
      <c r="R125" s="549"/>
      <c r="S125" s="549"/>
      <c r="T125" s="549"/>
      <c r="U125" s="549"/>
      <c r="V125" s="549"/>
      <c r="W125" s="549"/>
      <c r="X125" s="549"/>
      <c r="Y125" s="553"/>
      <c r="Z125" s="553"/>
      <c r="AA125" s="553"/>
      <c r="AB125" s="553"/>
      <c r="AC125" s="554"/>
      <c r="AD125" s="555"/>
      <c r="AE125" s="556"/>
      <c r="AF125" s="556"/>
      <c r="AG125" s="557"/>
      <c r="AH125" s="556"/>
      <c r="AI125" s="557"/>
      <c r="AJ125" s="214"/>
      <c r="AK125" s="214"/>
      <c r="AL125" s="214"/>
    </row>
    <row r="126" spans="1:38" ht="24" customHeight="1" x14ac:dyDescent="0.2">
      <c r="A126" s="558" t="s">
        <v>675</v>
      </c>
      <c r="B126" s="362">
        <f t="shared" ref="B126:AE126" si="146">+B124+B125</f>
        <v>0</v>
      </c>
      <c r="C126" s="559">
        <f t="shared" si="146"/>
        <v>0</v>
      </c>
      <c r="D126" s="560">
        <f t="shared" si="146"/>
        <v>0</v>
      </c>
      <c r="E126" s="560">
        <f t="shared" si="146"/>
        <v>0</v>
      </c>
      <c r="F126" s="560">
        <f t="shared" si="146"/>
        <v>0</v>
      </c>
      <c r="G126" s="560">
        <f t="shared" si="146"/>
        <v>0</v>
      </c>
      <c r="H126" s="560">
        <f t="shared" si="146"/>
        <v>0</v>
      </c>
      <c r="I126" s="560">
        <f t="shared" si="146"/>
        <v>0</v>
      </c>
      <c r="J126" s="560">
        <f t="shared" si="146"/>
        <v>0</v>
      </c>
      <c r="K126" s="561">
        <f t="shared" si="146"/>
        <v>0</v>
      </c>
      <c r="L126" s="560">
        <f t="shared" si="146"/>
        <v>0</v>
      </c>
      <c r="M126" s="560">
        <f t="shared" si="146"/>
        <v>0</v>
      </c>
      <c r="N126" s="562">
        <f t="shared" si="146"/>
        <v>0</v>
      </c>
      <c r="O126" s="563">
        <f t="shared" si="146"/>
        <v>0</v>
      </c>
      <c r="P126" s="564">
        <f t="shared" si="146"/>
        <v>0</v>
      </c>
      <c r="Q126" s="362">
        <f t="shared" si="146"/>
        <v>0</v>
      </c>
      <c r="R126" s="563">
        <f t="shared" si="146"/>
        <v>0</v>
      </c>
      <c r="S126" s="560">
        <f t="shared" si="146"/>
        <v>0</v>
      </c>
      <c r="T126" s="560">
        <f t="shared" si="146"/>
        <v>0</v>
      </c>
      <c r="U126" s="560">
        <f t="shared" si="146"/>
        <v>0</v>
      </c>
      <c r="V126" s="560">
        <f t="shared" si="146"/>
        <v>0</v>
      </c>
      <c r="W126" s="560">
        <f t="shared" si="146"/>
        <v>0</v>
      </c>
      <c r="X126" s="560">
        <f t="shared" si="146"/>
        <v>0</v>
      </c>
      <c r="Y126" s="565">
        <f t="shared" si="146"/>
        <v>0</v>
      </c>
      <c r="Z126" s="566">
        <f t="shared" si="146"/>
        <v>0</v>
      </c>
      <c r="AA126" s="566">
        <f t="shared" si="146"/>
        <v>0</v>
      </c>
      <c r="AB126" s="566">
        <f t="shared" si="146"/>
        <v>0</v>
      </c>
      <c r="AC126" s="567">
        <f t="shared" si="146"/>
        <v>0</v>
      </c>
      <c r="AD126" s="568">
        <f t="shared" si="146"/>
        <v>0</v>
      </c>
      <c r="AE126" s="567">
        <f t="shared" si="146"/>
        <v>0</v>
      </c>
      <c r="AF126" s="569">
        <f>Q126-B126</f>
        <v>0</v>
      </c>
      <c r="AG126" s="569">
        <f>AE126-P126</f>
        <v>0</v>
      </c>
      <c r="AH126" s="569">
        <f t="shared" ref="AH126:AI126" si="147">+AH124+AH125</f>
        <v>0</v>
      </c>
      <c r="AI126" s="569">
        <f t="shared" si="147"/>
        <v>0</v>
      </c>
      <c r="AJ126" s="214"/>
      <c r="AK126" s="214"/>
      <c r="AL126" s="214"/>
    </row>
    <row r="127" spans="1:38" ht="12" customHeight="1" x14ac:dyDescent="0.2">
      <c r="A127" s="214"/>
      <c r="B127" s="214"/>
      <c r="C127" s="214"/>
      <c r="D127" s="214"/>
      <c r="E127" s="214"/>
      <c r="F127" s="214"/>
      <c r="G127" s="214"/>
      <c r="H127" s="214"/>
      <c r="I127" s="214"/>
      <c r="J127" s="214"/>
      <c r="K127" s="214"/>
      <c r="L127" s="214"/>
      <c r="M127" s="214"/>
      <c r="N127" s="214"/>
      <c r="O127" s="214"/>
      <c r="P127" s="214"/>
      <c r="Q127" s="271"/>
      <c r="R127" s="214"/>
      <c r="S127" s="214"/>
      <c r="T127" s="214"/>
      <c r="U127" s="214"/>
      <c r="V127" s="214"/>
      <c r="W127" s="214"/>
      <c r="X127" s="214"/>
      <c r="Y127" s="421"/>
      <c r="Z127" s="421"/>
      <c r="AA127" s="421"/>
      <c r="AB127" s="421"/>
      <c r="AC127" s="421"/>
      <c r="AD127" s="460"/>
      <c r="AE127" s="460"/>
      <c r="AF127" s="460"/>
      <c r="AG127" s="460"/>
      <c r="AH127" s="460"/>
      <c r="AI127" s="461"/>
      <c r="AJ127" s="214"/>
      <c r="AK127" s="214"/>
      <c r="AL127" s="214"/>
    </row>
    <row r="128" spans="1:38" ht="12" customHeight="1" x14ac:dyDescent="0.2">
      <c r="A128" s="214"/>
      <c r="B128" s="570"/>
      <c r="C128" s="570"/>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214"/>
      <c r="AK128" s="214"/>
      <c r="AL128" s="214"/>
    </row>
    <row r="129" spans="1:38" ht="27" customHeight="1" x14ac:dyDescent="0.2">
      <c r="A129" s="571" t="s">
        <v>528</v>
      </c>
      <c r="B129" s="572">
        <f t="shared" ref="B129:Q129" si="148">B126+B114+B109+B93+B63</f>
        <v>1770</v>
      </c>
      <c r="C129" s="573">
        <f t="shared" si="148"/>
        <v>6236772.8466666657</v>
      </c>
      <c r="D129" s="573">
        <f t="shared" si="148"/>
        <v>71470</v>
      </c>
      <c r="E129" s="573">
        <f t="shared" si="148"/>
        <v>0</v>
      </c>
      <c r="F129" s="573">
        <f t="shared" si="148"/>
        <v>0</v>
      </c>
      <c r="G129" s="573">
        <f t="shared" si="148"/>
        <v>0</v>
      </c>
      <c r="H129" s="573">
        <f t="shared" si="148"/>
        <v>0</v>
      </c>
      <c r="I129" s="573">
        <f t="shared" si="148"/>
        <v>0</v>
      </c>
      <c r="J129" s="573">
        <f t="shared" si="148"/>
        <v>24666.590600000003</v>
      </c>
      <c r="K129" s="573">
        <f t="shared" si="148"/>
        <v>7362840.8676465712</v>
      </c>
      <c r="L129" s="573">
        <f t="shared" si="148"/>
        <v>1594277.58</v>
      </c>
      <c r="M129" s="573">
        <f t="shared" si="148"/>
        <v>446324.63680000021</v>
      </c>
      <c r="N129" s="573">
        <f t="shared" si="148"/>
        <v>1930802.2168000001</v>
      </c>
      <c r="O129" s="573">
        <f t="shared" si="148"/>
        <v>76995369.389358848</v>
      </c>
      <c r="P129" s="573">
        <f t="shared" si="148"/>
        <v>143162313.3642</v>
      </c>
      <c r="Q129" s="574">
        <f t="shared" si="148"/>
        <v>1847</v>
      </c>
      <c r="R129" s="573">
        <f t="shared" ref="R129:AI129" si="149">+R126+R114+R109+R93+R63</f>
        <v>6489750.5858563073</v>
      </c>
      <c r="S129" s="573">
        <f t="shared" si="149"/>
        <v>66319</v>
      </c>
      <c r="T129" s="573">
        <f t="shared" si="149"/>
        <v>0</v>
      </c>
      <c r="U129" s="573">
        <f t="shared" si="149"/>
        <v>0</v>
      </c>
      <c r="V129" s="573">
        <f t="shared" si="149"/>
        <v>0</v>
      </c>
      <c r="W129" s="573">
        <f t="shared" si="149"/>
        <v>0</v>
      </c>
      <c r="X129" s="573">
        <f t="shared" si="149"/>
        <v>0</v>
      </c>
      <c r="Y129" s="573">
        <f t="shared" si="149"/>
        <v>35665.034905555018</v>
      </c>
      <c r="Z129" s="573">
        <f t="shared" si="149"/>
        <v>7603530.7911417671</v>
      </c>
      <c r="AA129" s="573">
        <f t="shared" si="149"/>
        <v>1589877.58</v>
      </c>
      <c r="AB129" s="573">
        <f t="shared" si="149"/>
        <v>446324.63680000021</v>
      </c>
      <c r="AC129" s="573">
        <f t="shared" si="149"/>
        <v>1928802.2168000001</v>
      </c>
      <c r="AD129" s="573">
        <f t="shared" si="149"/>
        <v>80099271.591301247</v>
      </c>
      <c r="AE129" s="573">
        <f t="shared" si="149"/>
        <v>154153945.40219986</v>
      </c>
      <c r="AF129" s="575">
        <f t="shared" si="149"/>
        <v>-3103902.2019423847</v>
      </c>
      <c r="AG129" s="575">
        <f t="shared" si="149"/>
        <v>-10991632.03799984</v>
      </c>
      <c r="AH129" s="574">
        <f t="shared" si="149"/>
        <v>1889</v>
      </c>
      <c r="AI129" s="573">
        <f t="shared" si="149"/>
        <v>160456532.64999002</v>
      </c>
      <c r="AJ129" s="214"/>
      <c r="AK129" s="214"/>
      <c r="AL129" s="214"/>
    </row>
    <row r="130" spans="1:38" ht="12" customHeight="1" x14ac:dyDescent="0.2">
      <c r="A130" s="214"/>
      <c r="B130" s="214"/>
      <c r="C130" s="214"/>
      <c r="D130" s="214"/>
      <c r="E130" s="214"/>
      <c r="F130" s="214"/>
      <c r="G130" s="214"/>
      <c r="H130" s="214"/>
      <c r="I130" s="214"/>
      <c r="J130" s="214"/>
      <c r="K130" s="214"/>
      <c r="L130" s="214"/>
      <c r="M130" s="214"/>
      <c r="N130" s="214"/>
      <c r="O130" s="214"/>
      <c r="P130" s="214"/>
      <c r="Q130" s="271"/>
      <c r="R130" s="214"/>
      <c r="S130" s="214"/>
      <c r="T130" s="214"/>
      <c r="U130" s="214"/>
      <c r="V130" s="214"/>
      <c r="W130" s="214"/>
      <c r="X130" s="214"/>
      <c r="Y130" s="421"/>
      <c r="Z130" s="421"/>
      <c r="AA130" s="421"/>
      <c r="AB130" s="421"/>
      <c r="AC130" s="421"/>
      <c r="AD130" s="460"/>
      <c r="AE130" s="460"/>
      <c r="AF130" s="460"/>
      <c r="AG130" s="460"/>
      <c r="AH130" s="460"/>
      <c r="AI130" s="461"/>
      <c r="AJ130" s="214"/>
      <c r="AK130" s="214"/>
      <c r="AL130" s="214"/>
    </row>
    <row r="131" spans="1:38" ht="12" customHeight="1" x14ac:dyDescent="0.2">
      <c r="A131" s="214" t="s">
        <v>676</v>
      </c>
      <c r="B131" s="214" t="s">
        <v>677</v>
      </c>
      <c r="C131" s="214"/>
      <c r="D131" s="214"/>
      <c r="E131" s="214"/>
      <c r="F131" s="214"/>
      <c r="G131" s="214"/>
      <c r="H131" s="214"/>
      <c r="I131" s="214"/>
      <c r="J131" s="214"/>
      <c r="K131" s="214"/>
      <c r="L131" s="214"/>
      <c r="M131" s="214"/>
      <c r="N131" s="214"/>
      <c r="O131" s="214"/>
      <c r="P131" s="214"/>
      <c r="Q131" s="271"/>
      <c r="R131" s="214"/>
      <c r="S131" s="214"/>
      <c r="T131" s="214"/>
      <c r="U131" s="214"/>
      <c r="V131" s="214"/>
      <c r="W131" s="214"/>
      <c r="X131" s="214"/>
      <c r="Y131" s="421"/>
      <c r="Z131" s="421"/>
      <c r="AA131" s="421"/>
      <c r="AB131" s="421"/>
      <c r="AC131" s="421"/>
      <c r="AD131" s="461"/>
      <c r="AE131" s="461">
        <v>7463827</v>
      </c>
      <c r="AF131" s="460"/>
      <c r="AG131" s="460"/>
      <c r="AH131" s="460"/>
      <c r="AI131" s="461" t="e">
        <v>#REF!</v>
      </c>
      <c r="AJ131" s="214"/>
      <c r="AK131" s="214"/>
      <c r="AL131" s="214"/>
    </row>
    <row r="132" spans="1:38" ht="12" customHeight="1" x14ac:dyDescent="0.2">
      <c r="A132" s="214" t="s">
        <v>678</v>
      </c>
      <c r="B132" s="214" t="s">
        <v>679</v>
      </c>
      <c r="C132" s="214"/>
      <c r="D132" s="214"/>
      <c r="E132" s="214"/>
      <c r="F132" s="214"/>
      <c r="G132" s="214"/>
      <c r="H132" s="214"/>
      <c r="I132" s="214"/>
      <c r="J132" s="214"/>
      <c r="K132" s="214"/>
      <c r="L132" s="214"/>
      <c r="M132" s="214"/>
      <c r="N132" s="214"/>
      <c r="O132" s="214"/>
      <c r="P132" s="214"/>
      <c r="Q132" s="271"/>
      <c r="R132" s="214"/>
      <c r="S132" s="214"/>
      <c r="T132" s="214"/>
      <c r="U132" s="214"/>
      <c r="V132" s="214"/>
      <c r="W132" s="214"/>
      <c r="X132" s="214"/>
      <c r="Y132" s="421"/>
      <c r="Z132" s="421"/>
      <c r="AA132" s="421"/>
      <c r="AB132" s="421"/>
      <c r="AC132" s="421"/>
      <c r="AD132" s="461"/>
      <c r="AE132" s="461">
        <v>9199867</v>
      </c>
      <c r="AF132" s="460"/>
      <c r="AG132" s="460"/>
      <c r="AH132" s="460"/>
      <c r="AI132" s="461" t="e">
        <f>AI64-AI131</f>
        <v>#REF!</v>
      </c>
      <c r="AJ132" s="214"/>
      <c r="AK132" s="214"/>
      <c r="AL132" s="214"/>
    </row>
    <row r="133" spans="1:38" ht="12" customHeight="1" x14ac:dyDescent="0.2">
      <c r="A133" s="214" t="s">
        <v>680</v>
      </c>
      <c r="B133" s="214" t="s">
        <v>681</v>
      </c>
      <c r="C133" s="214"/>
      <c r="D133" s="214"/>
      <c r="E133" s="214"/>
      <c r="F133" s="214"/>
      <c r="G133" s="214"/>
      <c r="H133" s="214"/>
      <c r="I133" s="214"/>
      <c r="J133" s="214"/>
      <c r="K133" s="214"/>
      <c r="L133" s="214"/>
      <c r="M133" s="214"/>
      <c r="N133" s="214"/>
      <c r="O133" s="214"/>
      <c r="P133" s="214"/>
      <c r="Q133" s="271"/>
      <c r="R133" s="214"/>
      <c r="S133" s="214"/>
      <c r="T133" s="214"/>
      <c r="U133" s="214"/>
      <c r="V133" s="214"/>
      <c r="W133" s="214"/>
      <c r="X133" s="214"/>
      <c r="Y133" s="421"/>
      <c r="Z133" s="421"/>
      <c r="AA133" s="421"/>
      <c r="AB133" s="421"/>
      <c r="AC133" s="421"/>
      <c r="AD133" s="460"/>
      <c r="AE133" s="461">
        <f>AE132-AE131</f>
        <v>1736040</v>
      </c>
      <c r="AF133" s="460"/>
      <c r="AG133" s="460"/>
      <c r="AH133" s="460"/>
      <c r="AI133" s="461" t="e">
        <f>AI132/125</f>
        <v>#REF!</v>
      </c>
      <c r="AJ133" s="214"/>
      <c r="AK133" s="214"/>
      <c r="AL133" s="214"/>
    </row>
    <row r="134" spans="1:38" ht="12" customHeight="1" x14ac:dyDescent="0.2">
      <c r="A134" s="214" t="s">
        <v>682</v>
      </c>
      <c r="B134" s="214" t="s">
        <v>683</v>
      </c>
      <c r="C134" s="214"/>
      <c r="D134" s="214"/>
      <c r="E134" s="214"/>
      <c r="F134" s="214"/>
      <c r="G134" s="214"/>
      <c r="H134" s="214"/>
      <c r="I134" s="214"/>
      <c r="J134" s="214"/>
      <c r="K134" s="214"/>
      <c r="L134" s="214"/>
      <c r="M134" s="214"/>
      <c r="N134" s="214"/>
      <c r="O134" s="214"/>
      <c r="P134" s="214"/>
      <c r="Q134" s="271"/>
      <c r="R134" s="214"/>
      <c r="S134" s="214"/>
      <c r="T134" s="214"/>
      <c r="U134" s="214"/>
      <c r="V134" s="214"/>
      <c r="W134" s="214"/>
      <c r="X134" s="214"/>
      <c r="Y134" s="421"/>
      <c r="Z134" s="421"/>
      <c r="AA134" s="421"/>
      <c r="AB134" s="421"/>
      <c r="AC134" s="421"/>
      <c r="AD134" s="460"/>
      <c r="AE134" s="460">
        <f>AE133/12/125</f>
        <v>1157.3599999999999</v>
      </c>
      <c r="AF134" s="460"/>
      <c r="AG134" s="460"/>
      <c r="AH134" s="460"/>
      <c r="AI134" s="461"/>
      <c r="AJ134" s="214"/>
      <c r="AK134" s="214"/>
      <c r="AL134" s="214"/>
    </row>
    <row r="135" spans="1:38" ht="12" customHeight="1" x14ac:dyDescent="0.2">
      <c r="A135" s="214"/>
      <c r="B135" s="214" t="s">
        <v>684</v>
      </c>
      <c r="C135" s="214"/>
      <c r="D135" s="214"/>
      <c r="E135" s="214"/>
      <c r="F135" s="214"/>
      <c r="G135" s="214"/>
      <c r="H135" s="214"/>
      <c r="I135" s="214"/>
      <c r="J135" s="214"/>
      <c r="K135" s="214"/>
      <c r="L135" s="214"/>
      <c r="M135" s="214"/>
      <c r="N135" s="214"/>
      <c r="O135" s="214"/>
      <c r="P135" s="214"/>
      <c r="Q135" s="271"/>
      <c r="R135" s="214"/>
      <c r="S135" s="214"/>
      <c r="T135" s="214"/>
      <c r="U135" s="214"/>
      <c r="V135" s="214"/>
      <c r="W135" s="214"/>
      <c r="X135" s="214"/>
      <c r="Y135" s="421"/>
      <c r="Z135" s="421"/>
      <c r="AA135" s="421"/>
      <c r="AB135" s="421"/>
      <c r="AC135" s="421"/>
      <c r="AD135" s="460"/>
      <c r="AE135" s="460"/>
      <c r="AF135" s="460"/>
      <c r="AG135" s="460"/>
      <c r="AH135" s="460"/>
      <c r="AI135" s="461"/>
      <c r="AJ135" s="214"/>
      <c r="AK135" s="214"/>
      <c r="AL135" s="214"/>
    </row>
    <row r="136" spans="1:38" ht="12" customHeight="1" x14ac:dyDescent="0.2">
      <c r="A136" s="214" t="s">
        <v>685</v>
      </c>
      <c r="B136" s="214" t="s">
        <v>686</v>
      </c>
      <c r="C136" s="214"/>
      <c r="D136" s="214"/>
      <c r="E136" s="214"/>
      <c r="F136" s="214"/>
      <c r="G136" s="214"/>
      <c r="H136" s="214"/>
      <c r="I136" s="214"/>
      <c r="J136" s="214"/>
      <c r="K136" s="214"/>
      <c r="L136" s="214"/>
      <c r="M136" s="214"/>
      <c r="N136" s="214"/>
      <c r="O136" s="214"/>
      <c r="P136" s="214"/>
      <c r="Q136" s="271"/>
      <c r="R136" s="214"/>
      <c r="S136" s="214"/>
      <c r="T136" s="214"/>
      <c r="U136" s="214"/>
      <c r="V136" s="214"/>
      <c r="W136" s="214"/>
      <c r="X136" s="214"/>
      <c r="Y136" s="421"/>
      <c r="Z136" s="421"/>
      <c r="AA136" s="421"/>
      <c r="AB136" s="421"/>
      <c r="AC136" s="421"/>
      <c r="AD136" s="460"/>
      <c r="AE136" s="460"/>
      <c r="AF136" s="460"/>
      <c r="AG136" s="460"/>
      <c r="AH136" s="460"/>
      <c r="AI136" s="460"/>
      <c r="AJ136" s="214"/>
      <c r="AK136" s="214"/>
      <c r="AL136" s="214"/>
    </row>
    <row r="137" spans="1:38" ht="12" customHeight="1" x14ac:dyDescent="0.2">
      <c r="A137" s="214"/>
      <c r="B137" s="214" t="s">
        <v>687</v>
      </c>
      <c r="C137" s="214"/>
      <c r="D137" s="214"/>
      <c r="E137" s="214"/>
      <c r="F137" s="214"/>
      <c r="G137" s="214"/>
      <c r="H137" s="214"/>
      <c r="I137" s="214"/>
      <c r="J137" s="214"/>
      <c r="K137" s="214"/>
      <c r="L137" s="214"/>
      <c r="M137" s="214"/>
      <c r="N137" s="214"/>
      <c r="O137" s="214"/>
      <c r="P137" s="214"/>
      <c r="Q137" s="271"/>
      <c r="R137" s="214"/>
      <c r="S137" s="214"/>
      <c r="T137" s="214"/>
      <c r="U137" s="214"/>
      <c r="V137" s="214"/>
      <c r="W137" s="214"/>
      <c r="X137" s="214"/>
      <c r="Y137" s="421"/>
      <c r="Z137" s="421"/>
      <c r="AA137" s="421"/>
      <c r="AB137" s="421"/>
      <c r="AC137" s="421"/>
      <c r="AD137" s="460"/>
      <c r="AE137" s="460"/>
      <c r="AF137" s="460"/>
      <c r="AG137" s="460"/>
      <c r="AH137" s="460"/>
      <c r="AI137" s="460"/>
      <c r="AJ137" s="214"/>
      <c r="AK137" s="214"/>
      <c r="AL137" s="214"/>
    </row>
    <row r="138" spans="1:38" ht="12" customHeight="1" x14ac:dyDescent="0.2">
      <c r="A138" s="214"/>
      <c r="B138" s="214" t="s">
        <v>688</v>
      </c>
      <c r="C138" s="214"/>
      <c r="D138" s="214"/>
      <c r="E138" s="214"/>
      <c r="F138" s="214"/>
      <c r="G138" s="214"/>
      <c r="H138" s="214"/>
      <c r="I138" s="214"/>
      <c r="J138" s="214"/>
      <c r="K138" s="214"/>
      <c r="L138" s="214"/>
      <c r="M138" s="214"/>
      <c r="N138" s="214"/>
      <c r="O138" s="214"/>
      <c r="P138" s="214"/>
      <c r="Q138" s="271"/>
      <c r="R138" s="214"/>
      <c r="S138" s="214"/>
      <c r="T138" s="214"/>
      <c r="U138" s="214"/>
      <c r="V138" s="214"/>
      <c r="W138" s="214"/>
      <c r="X138" s="214"/>
      <c r="Y138" s="421"/>
      <c r="Z138" s="421"/>
      <c r="AA138" s="421"/>
      <c r="AB138" s="421"/>
      <c r="AC138" s="421"/>
      <c r="AD138" s="421"/>
      <c r="AE138" s="421"/>
      <c r="AF138" s="421"/>
      <c r="AG138" s="421"/>
      <c r="AH138" s="421"/>
      <c r="AI138" s="421"/>
      <c r="AJ138" s="214"/>
      <c r="AK138" s="214"/>
      <c r="AL138" s="214"/>
    </row>
    <row r="139" spans="1:38" ht="12" customHeight="1" x14ac:dyDescent="0.2">
      <c r="A139" s="214"/>
      <c r="B139" s="214" t="s">
        <v>689</v>
      </c>
      <c r="C139" s="214"/>
      <c r="D139" s="214"/>
      <c r="E139" s="214"/>
      <c r="F139" s="214"/>
      <c r="G139" s="214"/>
      <c r="H139" s="214"/>
      <c r="I139" s="214"/>
      <c r="J139" s="214"/>
      <c r="K139" s="214"/>
      <c r="L139" s="214"/>
      <c r="M139" s="214"/>
      <c r="N139" s="214"/>
      <c r="O139" s="214"/>
      <c r="P139" s="214"/>
      <c r="Q139" s="271"/>
      <c r="R139" s="214"/>
      <c r="S139" s="214"/>
      <c r="T139" s="214"/>
      <c r="U139" s="214"/>
      <c r="V139" s="214"/>
      <c r="W139" s="214"/>
      <c r="X139" s="214"/>
      <c r="Y139" s="214"/>
      <c r="Z139" s="214"/>
      <c r="AA139" s="214"/>
      <c r="AB139" s="214"/>
      <c r="AC139" s="214"/>
      <c r="AD139" s="214"/>
      <c r="AE139" s="214"/>
      <c r="AF139" s="214"/>
      <c r="AG139" s="271"/>
      <c r="AH139" s="271"/>
      <c r="AI139" s="214"/>
      <c r="AJ139" s="214"/>
      <c r="AK139" s="214"/>
      <c r="AL139" s="214"/>
    </row>
    <row r="140" spans="1:38" ht="12" customHeight="1" x14ac:dyDescent="0.2">
      <c r="A140" s="214" t="s">
        <v>690</v>
      </c>
      <c r="B140" s="214" t="s">
        <v>691</v>
      </c>
      <c r="C140" s="214"/>
      <c r="D140" s="214"/>
      <c r="E140" s="214"/>
      <c r="F140" s="214"/>
      <c r="G140" s="214"/>
      <c r="H140" s="214"/>
      <c r="I140" s="214"/>
      <c r="J140" s="214"/>
      <c r="K140" s="214"/>
      <c r="L140" s="214"/>
      <c r="M140" s="214"/>
      <c r="N140" s="214"/>
      <c r="O140" s="214"/>
      <c r="P140" s="214"/>
      <c r="Q140" s="271"/>
      <c r="R140" s="214"/>
      <c r="S140" s="214"/>
      <c r="T140" s="214"/>
      <c r="U140" s="214"/>
      <c r="V140" s="214"/>
      <c r="W140" s="214"/>
      <c r="X140" s="214"/>
      <c r="Y140" s="214"/>
      <c r="Z140" s="214"/>
      <c r="AA140" s="214"/>
      <c r="AB140" s="214"/>
      <c r="AC140" s="214"/>
      <c r="AD140" s="214"/>
      <c r="AE140" s="214"/>
      <c r="AF140" s="214"/>
      <c r="AG140" s="271"/>
      <c r="AH140" s="271"/>
      <c r="AI140" s="214"/>
      <c r="AJ140" s="214"/>
      <c r="AK140" s="214"/>
      <c r="AL140" s="214"/>
    </row>
    <row r="141" spans="1:38" ht="12" customHeight="1" x14ac:dyDescent="0.2">
      <c r="A141" s="214" t="s">
        <v>692</v>
      </c>
      <c r="B141" s="214" t="s">
        <v>693</v>
      </c>
      <c r="C141" s="214"/>
      <c r="D141" s="214"/>
      <c r="E141" s="214"/>
      <c r="F141" s="214"/>
      <c r="G141" s="214"/>
      <c r="H141" s="214"/>
      <c r="I141" s="214"/>
      <c r="J141" s="214"/>
      <c r="K141" s="214"/>
      <c r="L141" s="214"/>
      <c r="M141" s="214"/>
      <c r="N141" s="214"/>
      <c r="O141" s="214"/>
      <c r="P141" s="214"/>
      <c r="Q141" s="271"/>
      <c r="R141" s="214"/>
      <c r="S141" s="214"/>
      <c r="T141" s="214"/>
      <c r="U141" s="214"/>
      <c r="V141" s="214"/>
      <c r="W141" s="214"/>
      <c r="X141" s="214"/>
      <c r="Y141" s="214"/>
      <c r="Z141" s="214"/>
      <c r="AA141" s="214"/>
      <c r="AB141" s="214"/>
      <c r="AC141" s="214"/>
      <c r="AD141" s="214"/>
      <c r="AE141" s="214"/>
      <c r="AF141" s="214"/>
      <c r="AG141" s="271"/>
      <c r="AH141" s="271"/>
      <c r="AI141" s="214"/>
      <c r="AJ141" s="214"/>
      <c r="AK141" s="214"/>
      <c r="AL141" s="214"/>
    </row>
    <row r="142" spans="1:38" ht="12" customHeight="1" x14ac:dyDescent="0.2">
      <c r="A142" s="214" t="s">
        <v>694</v>
      </c>
      <c r="B142" s="214" t="s">
        <v>695</v>
      </c>
      <c r="C142" s="214"/>
      <c r="D142" s="214"/>
      <c r="E142" s="214"/>
      <c r="F142" s="214"/>
      <c r="G142" s="214"/>
      <c r="H142" s="214"/>
      <c r="I142" s="214"/>
      <c r="J142" s="214"/>
      <c r="K142" s="214"/>
      <c r="L142" s="214"/>
      <c r="M142" s="214"/>
      <c r="N142" s="214"/>
      <c r="O142" s="214"/>
      <c r="P142" s="214"/>
      <c r="Q142" s="271"/>
      <c r="R142" s="214"/>
      <c r="S142" s="214"/>
      <c r="T142" s="214"/>
      <c r="U142" s="214"/>
      <c r="V142" s="214"/>
      <c r="W142" s="214"/>
      <c r="X142" s="214"/>
      <c r="Y142" s="214"/>
      <c r="Z142" s="214"/>
      <c r="AA142" s="214"/>
      <c r="AB142" s="214"/>
      <c r="AC142" s="214"/>
      <c r="AD142" s="214"/>
      <c r="AE142" s="214"/>
      <c r="AF142" s="214"/>
      <c r="AG142" s="271"/>
      <c r="AH142" s="271"/>
      <c r="AI142" s="214"/>
      <c r="AJ142" s="214"/>
      <c r="AK142" s="214"/>
      <c r="AL142" s="214"/>
    </row>
    <row r="143" spans="1:38" ht="12" customHeight="1" x14ac:dyDescent="0.2">
      <c r="A143" s="214"/>
      <c r="B143" s="214" t="s">
        <v>687</v>
      </c>
      <c r="C143" s="214"/>
      <c r="D143" s="214"/>
      <c r="E143" s="214"/>
      <c r="F143" s="214"/>
      <c r="G143" s="214"/>
      <c r="H143" s="214"/>
      <c r="I143" s="214"/>
      <c r="J143" s="214"/>
      <c r="K143" s="214"/>
      <c r="L143" s="214"/>
      <c r="M143" s="214"/>
      <c r="N143" s="214"/>
      <c r="O143" s="214"/>
      <c r="P143" s="214"/>
      <c r="Q143" s="271"/>
      <c r="R143" s="214"/>
      <c r="S143" s="214"/>
      <c r="T143" s="214"/>
      <c r="U143" s="214"/>
      <c r="V143" s="214"/>
      <c r="W143" s="214"/>
      <c r="X143" s="214"/>
      <c r="Y143" s="214"/>
      <c r="Z143" s="214"/>
      <c r="AA143" s="214"/>
      <c r="AB143" s="214"/>
      <c r="AC143" s="214"/>
      <c r="AD143" s="214"/>
      <c r="AE143" s="214"/>
      <c r="AF143" s="214"/>
      <c r="AG143" s="271"/>
      <c r="AH143" s="271"/>
      <c r="AI143" s="214"/>
      <c r="AJ143" s="214"/>
      <c r="AK143" s="214"/>
      <c r="AL143" s="214"/>
    </row>
    <row r="144" spans="1:38" ht="12" customHeight="1" x14ac:dyDescent="0.2">
      <c r="A144" s="214"/>
      <c r="B144" s="214" t="s">
        <v>688</v>
      </c>
      <c r="C144" s="214"/>
      <c r="D144" s="214"/>
      <c r="E144" s="214"/>
      <c r="F144" s="214"/>
      <c r="G144" s="214"/>
      <c r="H144" s="214"/>
      <c r="I144" s="214"/>
      <c r="J144" s="214"/>
      <c r="K144" s="214"/>
      <c r="L144" s="214"/>
      <c r="M144" s="214"/>
      <c r="N144" s="214"/>
      <c r="O144" s="214"/>
      <c r="P144" s="214"/>
      <c r="Q144" s="271"/>
      <c r="R144" s="214"/>
      <c r="S144" s="214"/>
      <c r="T144" s="214"/>
      <c r="U144" s="214"/>
      <c r="V144" s="214"/>
      <c r="W144" s="214"/>
      <c r="X144" s="214"/>
      <c r="Y144" s="214"/>
      <c r="Z144" s="214"/>
      <c r="AA144" s="214"/>
      <c r="AB144" s="214"/>
      <c r="AC144" s="214"/>
      <c r="AD144" s="214"/>
      <c r="AE144" s="214"/>
      <c r="AF144" s="214"/>
      <c r="AG144" s="271"/>
      <c r="AH144" s="271"/>
      <c r="AI144" s="214"/>
      <c r="AJ144" s="214"/>
      <c r="AK144" s="214"/>
      <c r="AL144" s="214"/>
    </row>
    <row r="145" spans="1:38" ht="12" customHeight="1" x14ac:dyDescent="0.2">
      <c r="A145" s="214"/>
      <c r="B145" s="214" t="s">
        <v>696</v>
      </c>
      <c r="C145" s="214"/>
      <c r="D145" s="214"/>
      <c r="E145" s="214"/>
      <c r="F145" s="214"/>
      <c r="G145" s="214"/>
      <c r="H145" s="214"/>
      <c r="I145" s="214"/>
      <c r="J145" s="214"/>
      <c r="K145" s="214"/>
      <c r="L145" s="214"/>
      <c r="M145" s="214"/>
      <c r="N145" s="214"/>
      <c r="O145" s="214"/>
      <c r="P145" s="214"/>
      <c r="Q145" s="214"/>
      <c r="R145" s="214"/>
      <c r="S145" s="214"/>
      <c r="T145" s="214"/>
      <c r="U145" s="214"/>
      <c r="V145" s="214"/>
      <c r="W145" s="214"/>
      <c r="X145" s="214"/>
      <c r="Y145" s="214"/>
      <c r="Z145" s="214"/>
      <c r="AA145" s="214"/>
      <c r="AB145" s="214"/>
      <c r="AC145" s="214"/>
      <c r="AD145" s="214"/>
      <c r="AE145" s="214"/>
      <c r="AF145" s="214"/>
      <c r="AG145" s="271"/>
      <c r="AH145" s="271"/>
      <c r="AI145" s="214"/>
      <c r="AJ145" s="214"/>
      <c r="AK145" s="214"/>
      <c r="AL145" s="214"/>
    </row>
    <row r="146" spans="1:38" ht="12" customHeight="1" x14ac:dyDescent="0.2">
      <c r="A146" s="214" t="s">
        <v>697</v>
      </c>
      <c r="B146" s="214" t="s">
        <v>698</v>
      </c>
      <c r="C146" s="214"/>
      <c r="D146" s="214"/>
      <c r="E146" s="214"/>
      <c r="F146" s="214"/>
      <c r="G146" s="214"/>
      <c r="H146" s="214"/>
      <c r="I146" s="214"/>
      <c r="J146" s="214"/>
      <c r="K146" s="214"/>
      <c r="L146" s="214"/>
      <c r="M146" s="214"/>
      <c r="N146" s="214"/>
      <c r="O146" s="214"/>
      <c r="P146" s="214"/>
      <c r="Q146" s="214"/>
      <c r="R146" s="214"/>
      <c r="S146" s="214"/>
      <c r="T146" s="214"/>
      <c r="U146" s="214"/>
      <c r="V146" s="214"/>
      <c r="W146" s="214"/>
      <c r="X146" s="214"/>
      <c r="Y146" s="214"/>
      <c r="Z146" s="214"/>
      <c r="AA146" s="214"/>
      <c r="AB146" s="214"/>
      <c r="AC146" s="214"/>
      <c r="AD146" s="214"/>
      <c r="AE146" s="214"/>
      <c r="AF146" s="214"/>
      <c r="AG146" s="271"/>
      <c r="AH146" s="271"/>
      <c r="AI146" s="214"/>
      <c r="AJ146" s="214"/>
      <c r="AK146" s="214"/>
      <c r="AL146" s="214"/>
    </row>
    <row r="147" spans="1:38" ht="12" customHeight="1" x14ac:dyDescent="0.2">
      <c r="A147" s="214" t="s">
        <v>699</v>
      </c>
      <c r="B147" s="214" t="s">
        <v>700</v>
      </c>
      <c r="C147" s="214"/>
      <c r="D147" s="214"/>
      <c r="E147" s="214"/>
      <c r="F147" s="214"/>
      <c r="G147" s="214"/>
      <c r="H147" s="214"/>
      <c r="I147" s="214"/>
      <c r="J147" s="214"/>
      <c r="K147" s="214"/>
      <c r="L147" s="214"/>
      <c r="M147" s="214"/>
      <c r="N147" s="214"/>
      <c r="O147" s="214"/>
      <c r="P147" s="214"/>
      <c r="Q147" s="214"/>
      <c r="R147" s="214"/>
      <c r="S147" s="214"/>
      <c r="T147" s="214"/>
      <c r="U147" s="214"/>
      <c r="V147" s="214"/>
      <c r="W147" s="214"/>
      <c r="X147" s="214"/>
      <c r="Y147" s="214"/>
      <c r="Z147" s="214"/>
      <c r="AA147" s="214"/>
      <c r="AB147" s="214"/>
      <c r="AC147" s="214"/>
      <c r="AD147" s="214"/>
      <c r="AE147" s="214"/>
      <c r="AF147" s="214"/>
      <c r="AG147" s="271"/>
      <c r="AH147" s="271"/>
      <c r="AI147" s="214"/>
      <c r="AJ147" s="214"/>
      <c r="AK147" s="214"/>
      <c r="AL147" s="214"/>
    </row>
    <row r="148" spans="1:38" ht="12" customHeight="1" x14ac:dyDescent="0.2">
      <c r="A148" s="214" t="s">
        <v>701</v>
      </c>
      <c r="B148" s="214" t="s">
        <v>702</v>
      </c>
      <c r="C148" s="214"/>
      <c r="D148" s="214"/>
      <c r="E148" s="214"/>
      <c r="F148" s="214"/>
      <c r="G148" s="214"/>
      <c r="H148" s="214"/>
      <c r="I148" s="214"/>
      <c r="J148" s="214"/>
      <c r="K148" s="214"/>
      <c r="L148" s="214"/>
      <c r="M148" s="214"/>
      <c r="N148" s="214"/>
      <c r="O148" s="214"/>
      <c r="P148" s="214"/>
      <c r="Q148" s="214"/>
      <c r="R148" s="214"/>
      <c r="S148" s="214"/>
      <c r="T148" s="214"/>
      <c r="U148" s="214"/>
      <c r="V148" s="214"/>
      <c r="W148" s="214"/>
      <c r="X148" s="214"/>
      <c r="Y148" s="214"/>
      <c r="Z148" s="214"/>
      <c r="AA148" s="214"/>
      <c r="AB148" s="214"/>
      <c r="AC148" s="214"/>
      <c r="AD148" s="214"/>
      <c r="AE148" s="214"/>
      <c r="AF148" s="214"/>
      <c r="AG148" s="271"/>
      <c r="AH148" s="271"/>
      <c r="AI148" s="214"/>
      <c r="AJ148" s="214"/>
      <c r="AK148" s="214"/>
      <c r="AL148" s="214"/>
    </row>
    <row r="149" spans="1:38" ht="12" customHeight="1" x14ac:dyDescent="0.2">
      <c r="A149" s="214"/>
      <c r="B149" s="214"/>
      <c r="C149" s="214"/>
      <c r="D149" s="214"/>
      <c r="E149" s="214"/>
      <c r="F149" s="214"/>
      <c r="G149" s="214"/>
      <c r="H149" s="214"/>
      <c r="I149" s="214"/>
      <c r="J149" s="214"/>
      <c r="K149" s="214"/>
      <c r="L149" s="214"/>
      <c r="M149" s="214"/>
      <c r="N149" s="214"/>
      <c r="O149" s="214"/>
      <c r="P149" s="214"/>
      <c r="Q149" s="214"/>
      <c r="R149" s="214"/>
      <c r="S149" s="214"/>
      <c r="T149" s="214"/>
      <c r="U149" s="214"/>
      <c r="V149" s="214"/>
      <c r="W149" s="214"/>
      <c r="X149" s="214"/>
      <c r="Y149" s="214"/>
      <c r="Z149" s="214"/>
      <c r="AA149" s="214"/>
      <c r="AB149" s="214"/>
      <c r="AC149" s="214"/>
      <c r="AD149" s="214"/>
      <c r="AE149" s="214"/>
      <c r="AF149" s="214"/>
      <c r="AG149" s="271"/>
      <c r="AH149" s="271"/>
      <c r="AI149" s="214"/>
      <c r="AJ149" s="214"/>
      <c r="AK149" s="214"/>
      <c r="AL149" s="214"/>
    </row>
  </sheetData>
  <mergeCells count="5">
    <mergeCell ref="A4:A6"/>
    <mergeCell ref="B4:P4"/>
    <mergeCell ref="Q4:AE4"/>
    <mergeCell ref="AF4:AG4"/>
    <mergeCell ref="AH4:AI4"/>
  </mergeCells>
  <printOptions horizontalCentered="1"/>
  <pageMargins left="0.23622047244094491" right="0.23622047244094491" top="0.74803149606299213" bottom="0.74803149606299213" header="0" footer="0"/>
  <pageSetup paperSize="9" fitToHeight="0" orientation="landscape"/>
  <headerFooter>
    <oddHeader>&amp;CPROYECTO DE PRESUPUESTO 2021</oddHeader>
    <oddFooter>&amp;LPROYECTO DE PRESUPUESTO PARA EL AÑO FISCAL 2020 INFORMACIÓN PARA LA COMISIÓN DE PRESUPUESTO Y CUENTA GENERAL DE LA REPÚBLICA DEL CONGRESO DE LA REPÚBLICA</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U100"/>
  <sheetViews>
    <sheetView showGridLines="0" workbookViewId="0"/>
  </sheetViews>
  <sheetFormatPr baseColWidth="10" defaultColWidth="14.42578125" defaultRowHeight="15" customHeight="1" x14ac:dyDescent="0.2"/>
  <cols>
    <col min="1" max="1" width="57.140625" customWidth="1"/>
    <col min="2" max="7" width="12.140625" customWidth="1"/>
    <col min="8" max="8" width="11" customWidth="1"/>
    <col min="9" max="9" width="13.7109375" customWidth="1"/>
    <col min="10" max="10" width="11.28515625" customWidth="1"/>
    <col min="11" max="11" width="12.28515625" customWidth="1"/>
    <col min="12" max="21" width="11.42578125" customWidth="1"/>
  </cols>
  <sheetData>
    <row r="1" spans="1:21" ht="12" customHeight="1" x14ac:dyDescent="0.2">
      <c r="A1" s="16" t="s">
        <v>703</v>
      </c>
      <c r="B1" s="48"/>
      <c r="C1" s="48"/>
      <c r="D1" s="48"/>
      <c r="E1" s="48"/>
      <c r="F1" s="48"/>
      <c r="G1" s="48"/>
      <c r="H1" s="48"/>
      <c r="I1" s="48"/>
      <c r="J1" s="341"/>
      <c r="K1" s="341"/>
      <c r="L1" s="341"/>
      <c r="M1" s="341"/>
      <c r="N1" s="341"/>
      <c r="O1" s="341"/>
      <c r="P1" s="341"/>
      <c r="Q1" s="341"/>
      <c r="R1" s="341"/>
      <c r="S1" s="341"/>
      <c r="T1" s="341"/>
      <c r="U1" s="341"/>
    </row>
    <row r="2" spans="1:21" ht="12" customHeight="1" x14ac:dyDescent="0.2">
      <c r="A2" s="16" t="s">
        <v>402</v>
      </c>
      <c r="B2" s="48"/>
      <c r="C2" s="48"/>
      <c r="D2" s="48"/>
      <c r="E2" s="48"/>
      <c r="F2" s="48"/>
      <c r="G2" s="48"/>
      <c r="H2" s="48"/>
      <c r="I2" s="48"/>
      <c r="J2" s="48"/>
      <c r="K2" s="48"/>
      <c r="L2" s="48"/>
      <c r="M2" s="48"/>
      <c r="N2" s="48"/>
      <c r="O2" s="48"/>
      <c r="P2" s="48"/>
      <c r="Q2" s="48"/>
      <c r="R2" s="48"/>
      <c r="S2" s="48"/>
      <c r="T2" s="48"/>
      <c r="U2" s="48"/>
    </row>
    <row r="3" spans="1:21" ht="7.5" customHeight="1" x14ac:dyDescent="0.2">
      <c r="A3" s="342"/>
      <c r="B3" s="344"/>
      <c r="C3" s="342"/>
      <c r="D3" s="342"/>
      <c r="E3" s="344"/>
      <c r="F3" s="342"/>
      <c r="G3" s="342"/>
      <c r="H3" s="342"/>
      <c r="I3" s="342"/>
      <c r="J3" s="342"/>
      <c r="K3" s="342"/>
      <c r="L3" s="342"/>
      <c r="M3" s="342"/>
      <c r="N3" s="342"/>
      <c r="O3" s="342"/>
      <c r="P3" s="342"/>
      <c r="Q3" s="342"/>
      <c r="R3" s="342"/>
      <c r="S3" s="342"/>
      <c r="T3" s="342"/>
      <c r="U3" s="342"/>
    </row>
    <row r="4" spans="1:21" ht="12" customHeight="1" x14ac:dyDescent="0.2">
      <c r="A4" s="846" t="s">
        <v>704</v>
      </c>
      <c r="B4" s="846" t="s">
        <v>705</v>
      </c>
      <c r="C4" s="844" t="s">
        <v>706</v>
      </c>
      <c r="D4" s="848" t="s">
        <v>707</v>
      </c>
      <c r="E4" s="850" t="s">
        <v>708</v>
      </c>
      <c r="F4" s="831" t="s">
        <v>709</v>
      </c>
      <c r="G4" s="852" t="s">
        <v>710</v>
      </c>
      <c r="H4" s="850" t="s">
        <v>711</v>
      </c>
      <c r="I4" s="852" t="s">
        <v>712</v>
      </c>
      <c r="J4" s="844" t="s">
        <v>713</v>
      </c>
      <c r="K4" s="342"/>
      <c r="L4" s="342"/>
      <c r="M4" s="342"/>
      <c r="N4" s="342"/>
      <c r="O4" s="342"/>
      <c r="P4" s="342"/>
      <c r="Q4" s="342"/>
      <c r="R4" s="342"/>
      <c r="S4" s="342"/>
      <c r="T4" s="342"/>
      <c r="U4" s="342"/>
    </row>
    <row r="5" spans="1:21" ht="31.5" customHeight="1" x14ac:dyDescent="0.2">
      <c r="A5" s="847"/>
      <c r="B5" s="847"/>
      <c r="C5" s="845"/>
      <c r="D5" s="849"/>
      <c r="E5" s="851"/>
      <c r="F5" s="820"/>
      <c r="G5" s="853"/>
      <c r="H5" s="851"/>
      <c r="I5" s="853"/>
      <c r="J5" s="845"/>
      <c r="K5" s="342"/>
      <c r="L5" s="342"/>
      <c r="M5" s="342"/>
      <c r="N5" s="342"/>
      <c r="O5" s="342"/>
      <c r="P5" s="342"/>
      <c r="Q5" s="342"/>
      <c r="R5" s="342"/>
      <c r="S5" s="342"/>
      <c r="T5" s="342"/>
      <c r="U5" s="342"/>
    </row>
    <row r="6" spans="1:21" ht="12" customHeight="1" x14ac:dyDescent="0.2">
      <c r="A6" s="576" t="s">
        <v>714</v>
      </c>
      <c r="B6" s="249">
        <v>1543453</v>
      </c>
      <c r="C6" s="577">
        <v>1684290</v>
      </c>
      <c r="D6" s="403">
        <v>1341840</v>
      </c>
      <c r="E6" s="249">
        <v>1800877</v>
      </c>
      <c r="F6" s="578">
        <v>1776405</v>
      </c>
      <c r="G6" s="579">
        <f t="shared" ref="G6:G36" si="0">D6-B6</f>
        <v>-201613</v>
      </c>
      <c r="H6" s="580">
        <f t="shared" ref="H6:H7" si="1">G6/B6</f>
        <v>-0.13062464487094846</v>
      </c>
      <c r="I6" s="581">
        <f t="shared" ref="I6:I36" si="2">F6-D6</f>
        <v>434565</v>
      </c>
      <c r="J6" s="582">
        <f t="shared" ref="J6:J7" si="3">I6/D6</f>
        <v>0.32385753890180646</v>
      </c>
      <c r="K6" s="342"/>
      <c r="L6" s="342"/>
      <c r="M6" s="342"/>
      <c r="N6" s="342"/>
      <c r="O6" s="342"/>
      <c r="P6" s="342"/>
      <c r="Q6" s="342"/>
      <c r="R6" s="342"/>
      <c r="S6" s="342"/>
      <c r="T6" s="342"/>
      <c r="U6" s="342"/>
    </row>
    <row r="7" spans="1:21" ht="12" customHeight="1" x14ac:dyDescent="0.2">
      <c r="A7" s="576" t="s">
        <v>715</v>
      </c>
      <c r="B7" s="249">
        <v>22734375</v>
      </c>
      <c r="C7" s="577">
        <v>22394982</v>
      </c>
      <c r="D7" s="403">
        <v>24040191</v>
      </c>
      <c r="E7" s="249">
        <v>21658108</v>
      </c>
      <c r="F7" s="578">
        <v>14318793</v>
      </c>
      <c r="G7" s="579">
        <f t="shared" si="0"/>
        <v>1305816</v>
      </c>
      <c r="H7" s="580">
        <f t="shared" si="1"/>
        <v>5.7437954639175261E-2</v>
      </c>
      <c r="I7" s="581">
        <f t="shared" si="2"/>
        <v>-9721398</v>
      </c>
      <c r="J7" s="582">
        <f t="shared" si="3"/>
        <v>-0.40438106336176782</v>
      </c>
      <c r="K7" s="342"/>
      <c r="L7" s="342"/>
      <c r="M7" s="342"/>
      <c r="N7" s="342"/>
      <c r="O7" s="342"/>
      <c r="P7" s="342"/>
      <c r="Q7" s="342"/>
      <c r="R7" s="342"/>
      <c r="S7" s="342"/>
      <c r="T7" s="342"/>
      <c r="U7" s="342"/>
    </row>
    <row r="8" spans="1:21" ht="12" customHeight="1" x14ac:dyDescent="0.2">
      <c r="A8" s="576" t="s">
        <v>716</v>
      </c>
      <c r="B8" s="249">
        <v>0</v>
      </c>
      <c r="C8" s="577">
        <v>0</v>
      </c>
      <c r="D8" s="403">
        <v>0</v>
      </c>
      <c r="E8" s="249">
        <v>0</v>
      </c>
      <c r="F8" s="578">
        <v>0</v>
      </c>
      <c r="G8" s="579">
        <f t="shared" si="0"/>
        <v>0</v>
      </c>
      <c r="H8" s="580">
        <v>0</v>
      </c>
      <c r="I8" s="581">
        <f t="shared" si="2"/>
        <v>0</v>
      </c>
      <c r="J8" s="582">
        <v>0</v>
      </c>
      <c r="K8" s="342"/>
      <c r="L8" s="342"/>
      <c r="M8" s="342"/>
      <c r="N8" s="342"/>
      <c r="O8" s="342"/>
      <c r="P8" s="342"/>
      <c r="Q8" s="342"/>
      <c r="R8" s="342"/>
      <c r="S8" s="342"/>
      <c r="T8" s="342"/>
      <c r="U8" s="342"/>
    </row>
    <row r="9" spans="1:21" ht="12" customHeight="1" x14ac:dyDescent="0.2">
      <c r="A9" s="576" t="s">
        <v>717</v>
      </c>
      <c r="B9" s="249">
        <v>0</v>
      </c>
      <c r="C9" s="577">
        <v>0</v>
      </c>
      <c r="D9" s="403">
        <v>0</v>
      </c>
      <c r="E9" s="249">
        <v>0</v>
      </c>
      <c r="F9" s="578">
        <v>0</v>
      </c>
      <c r="G9" s="579">
        <f t="shared" si="0"/>
        <v>0</v>
      </c>
      <c r="H9" s="580">
        <v>0</v>
      </c>
      <c r="I9" s="581">
        <f t="shared" si="2"/>
        <v>0</v>
      </c>
      <c r="J9" s="582">
        <v>0</v>
      </c>
      <c r="K9" s="342"/>
      <c r="L9" s="342"/>
      <c r="M9" s="342"/>
      <c r="N9" s="342"/>
      <c r="O9" s="342"/>
      <c r="P9" s="342"/>
      <c r="Q9" s="342"/>
      <c r="R9" s="342"/>
      <c r="S9" s="342"/>
      <c r="T9" s="342"/>
      <c r="U9" s="342"/>
    </row>
    <row r="10" spans="1:21" ht="12" customHeight="1" x14ac:dyDescent="0.2">
      <c r="A10" s="576" t="s">
        <v>718</v>
      </c>
      <c r="B10" s="249">
        <v>7930439</v>
      </c>
      <c r="C10" s="577">
        <v>9401380</v>
      </c>
      <c r="D10" s="403">
        <v>8990641</v>
      </c>
      <c r="E10" s="249">
        <v>6209256</v>
      </c>
      <c r="F10" s="578">
        <v>3573132</v>
      </c>
      <c r="G10" s="579">
        <f t="shared" si="0"/>
        <v>1060202</v>
      </c>
      <c r="H10" s="580">
        <f t="shared" ref="H10:H12" si="4">G10/B10</f>
        <v>0.13368768109810819</v>
      </c>
      <c r="I10" s="581">
        <f t="shared" si="2"/>
        <v>-5417509</v>
      </c>
      <c r="J10" s="582">
        <f t="shared" ref="J10:J12" si="5">I10/D10</f>
        <v>-0.60257205242651779</v>
      </c>
      <c r="K10" s="342"/>
      <c r="L10" s="342"/>
      <c r="M10" s="342"/>
      <c r="N10" s="342"/>
      <c r="O10" s="342"/>
      <c r="P10" s="342"/>
      <c r="Q10" s="342"/>
      <c r="R10" s="342"/>
      <c r="S10" s="342"/>
      <c r="T10" s="342"/>
      <c r="U10" s="342"/>
    </row>
    <row r="11" spans="1:21" ht="12" customHeight="1" x14ac:dyDescent="0.2">
      <c r="A11" s="576" t="s">
        <v>719</v>
      </c>
      <c r="B11" s="249">
        <v>116656</v>
      </c>
      <c r="C11" s="577">
        <v>90790</v>
      </c>
      <c r="D11" s="403">
        <v>89471</v>
      </c>
      <c r="E11" s="249">
        <v>100252</v>
      </c>
      <c r="F11" s="578">
        <v>82883</v>
      </c>
      <c r="G11" s="579">
        <f t="shared" si="0"/>
        <v>-27185</v>
      </c>
      <c r="H11" s="580">
        <f t="shared" si="4"/>
        <v>-0.23303559182553835</v>
      </c>
      <c r="I11" s="581">
        <f t="shared" si="2"/>
        <v>-6588</v>
      </c>
      <c r="J11" s="582">
        <f t="shared" si="5"/>
        <v>-7.3632797219210691E-2</v>
      </c>
      <c r="K11" s="342"/>
      <c r="L11" s="342"/>
      <c r="M11" s="342"/>
      <c r="N11" s="342"/>
      <c r="O11" s="342"/>
      <c r="P11" s="342"/>
      <c r="Q11" s="342"/>
      <c r="R11" s="342"/>
      <c r="S11" s="342"/>
      <c r="T11" s="342"/>
      <c r="U11" s="342"/>
    </row>
    <row r="12" spans="1:21" ht="12" customHeight="1" x14ac:dyDescent="0.2">
      <c r="A12" s="576" t="s">
        <v>720</v>
      </c>
      <c r="B12" s="249">
        <v>966224</v>
      </c>
      <c r="C12" s="577">
        <v>6477517</v>
      </c>
      <c r="D12" s="403">
        <v>4903634</v>
      </c>
      <c r="E12" s="249">
        <v>4036156</v>
      </c>
      <c r="F12" s="578">
        <v>31947765</v>
      </c>
      <c r="G12" s="579">
        <f t="shared" si="0"/>
        <v>3937410</v>
      </c>
      <c r="H12" s="580">
        <f t="shared" si="4"/>
        <v>4.0750488499561177</v>
      </c>
      <c r="I12" s="581">
        <f t="shared" si="2"/>
        <v>27044131</v>
      </c>
      <c r="J12" s="582">
        <f t="shared" si="5"/>
        <v>5.5151202149263181</v>
      </c>
      <c r="K12" s="342"/>
      <c r="L12" s="342"/>
      <c r="M12" s="342"/>
      <c r="N12" s="342"/>
      <c r="O12" s="342"/>
      <c r="P12" s="342"/>
      <c r="Q12" s="342"/>
      <c r="R12" s="342"/>
      <c r="S12" s="342"/>
      <c r="T12" s="342"/>
      <c r="U12" s="342"/>
    </row>
    <row r="13" spans="1:21" ht="12" customHeight="1" x14ac:dyDescent="0.2">
      <c r="A13" s="576" t="s">
        <v>721</v>
      </c>
      <c r="B13" s="249">
        <v>0</v>
      </c>
      <c r="C13" s="577">
        <v>0</v>
      </c>
      <c r="D13" s="403">
        <v>0</v>
      </c>
      <c r="E13" s="249">
        <v>0</v>
      </c>
      <c r="F13" s="578">
        <v>0</v>
      </c>
      <c r="G13" s="579">
        <f t="shared" si="0"/>
        <v>0</v>
      </c>
      <c r="H13" s="580">
        <v>0</v>
      </c>
      <c r="I13" s="581">
        <f t="shared" si="2"/>
        <v>0</v>
      </c>
      <c r="J13" s="582">
        <v>0</v>
      </c>
      <c r="K13" s="342"/>
      <c r="L13" s="342"/>
      <c r="M13" s="342"/>
      <c r="N13" s="342"/>
      <c r="O13" s="342"/>
      <c r="P13" s="342"/>
      <c r="Q13" s="342"/>
      <c r="R13" s="342"/>
      <c r="S13" s="342"/>
      <c r="T13" s="342"/>
      <c r="U13" s="342"/>
    </row>
    <row r="14" spans="1:21" ht="12" customHeight="1" x14ac:dyDescent="0.2">
      <c r="A14" s="576" t="s">
        <v>722</v>
      </c>
      <c r="B14" s="249">
        <v>256630539</v>
      </c>
      <c r="C14" s="577">
        <v>261571891</v>
      </c>
      <c r="D14" s="403">
        <v>270590140</v>
      </c>
      <c r="E14" s="249">
        <v>275388966</v>
      </c>
      <c r="F14" s="578">
        <v>252193207</v>
      </c>
      <c r="G14" s="579">
        <f t="shared" si="0"/>
        <v>13959601</v>
      </c>
      <c r="H14" s="580">
        <f t="shared" ref="H14:H28" si="6">G14/B14</f>
        <v>5.439571242922106E-2</v>
      </c>
      <c r="I14" s="581">
        <f t="shared" si="2"/>
        <v>-18396933</v>
      </c>
      <c r="J14" s="582">
        <f t="shared" ref="J14:J28" si="7">I14/D14</f>
        <v>-6.7988186857067298E-2</v>
      </c>
      <c r="K14" s="342"/>
      <c r="L14" s="342"/>
      <c r="M14" s="342"/>
      <c r="N14" s="342"/>
      <c r="O14" s="342"/>
      <c r="P14" s="342"/>
      <c r="Q14" s="342"/>
      <c r="R14" s="342"/>
      <c r="S14" s="342"/>
      <c r="T14" s="342"/>
      <c r="U14" s="342"/>
    </row>
    <row r="15" spans="1:21" ht="12" customHeight="1" x14ac:dyDescent="0.2">
      <c r="A15" s="576" t="s">
        <v>723</v>
      </c>
      <c r="B15" s="249">
        <v>12380</v>
      </c>
      <c r="C15" s="577">
        <v>122481</v>
      </c>
      <c r="D15" s="403">
        <v>22574</v>
      </c>
      <c r="E15" s="249">
        <v>114709</v>
      </c>
      <c r="F15" s="578">
        <v>34755</v>
      </c>
      <c r="G15" s="579">
        <f t="shared" si="0"/>
        <v>10194</v>
      </c>
      <c r="H15" s="580">
        <f t="shared" si="6"/>
        <v>0.82342487883683357</v>
      </c>
      <c r="I15" s="581">
        <f t="shared" si="2"/>
        <v>12181</v>
      </c>
      <c r="J15" s="582">
        <f t="shared" si="7"/>
        <v>0.53960308319305395</v>
      </c>
      <c r="K15" s="342"/>
      <c r="L15" s="342"/>
      <c r="M15" s="342"/>
      <c r="N15" s="342"/>
      <c r="O15" s="342"/>
      <c r="P15" s="342"/>
      <c r="Q15" s="342"/>
      <c r="R15" s="342"/>
      <c r="S15" s="342"/>
      <c r="T15" s="342"/>
      <c r="U15" s="342"/>
    </row>
    <row r="16" spans="1:21" ht="12" customHeight="1" x14ac:dyDescent="0.2">
      <c r="A16" s="576" t="s">
        <v>724</v>
      </c>
      <c r="B16" s="249">
        <v>4483777</v>
      </c>
      <c r="C16" s="577">
        <v>5161081</v>
      </c>
      <c r="D16" s="403">
        <v>7650970</v>
      </c>
      <c r="E16" s="249">
        <v>5047045</v>
      </c>
      <c r="F16" s="578">
        <v>4795153</v>
      </c>
      <c r="G16" s="579">
        <f t="shared" si="0"/>
        <v>3167193</v>
      </c>
      <c r="H16" s="580">
        <f t="shared" si="6"/>
        <v>0.70636719890395971</v>
      </c>
      <c r="I16" s="581">
        <f t="shared" si="2"/>
        <v>-2855817</v>
      </c>
      <c r="J16" s="582">
        <f t="shared" si="7"/>
        <v>-0.3732620831084163</v>
      </c>
      <c r="K16" s="342"/>
      <c r="L16" s="342"/>
      <c r="M16" s="342"/>
      <c r="N16" s="342"/>
      <c r="O16" s="342"/>
      <c r="P16" s="342"/>
      <c r="Q16" s="342"/>
      <c r="R16" s="342"/>
      <c r="S16" s="342"/>
      <c r="T16" s="342"/>
      <c r="U16" s="342"/>
    </row>
    <row r="17" spans="1:21" ht="12" customHeight="1" x14ac:dyDescent="0.2">
      <c r="A17" s="576" t="s">
        <v>725</v>
      </c>
      <c r="B17" s="249">
        <v>3499535</v>
      </c>
      <c r="C17" s="577">
        <v>1290422</v>
      </c>
      <c r="D17" s="403">
        <v>2707880</v>
      </c>
      <c r="E17" s="249">
        <v>4363174</v>
      </c>
      <c r="F17" s="578">
        <v>2126567</v>
      </c>
      <c r="G17" s="579">
        <f t="shared" si="0"/>
        <v>-791655</v>
      </c>
      <c r="H17" s="580">
        <f t="shared" si="6"/>
        <v>-0.22621719742765825</v>
      </c>
      <c r="I17" s="581">
        <f t="shared" si="2"/>
        <v>-581313</v>
      </c>
      <c r="J17" s="582">
        <f t="shared" si="7"/>
        <v>-0.21467457937574783</v>
      </c>
      <c r="K17" s="342"/>
      <c r="L17" s="342"/>
      <c r="M17" s="342"/>
      <c r="N17" s="342"/>
      <c r="O17" s="342"/>
      <c r="P17" s="342"/>
      <c r="Q17" s="342"/>
      <c r="R17" s="342"/>
      <c r="S17" s="342"/>
      <c r="T17" s="342"/>
      <c r="U17" s="342"/>
    </row>
    <row r="18" spans="1:21" ht="12" customHeight="1" x14ac:dyDescent="0.2">
      <c r="A18" s="576" t="s">
        <v>726</v>
      </c>
      <c r="B18" s="249">
        <v>519148</v>
      </c>
      <c r="C18" s="577">
        <v>1139122</v>
      </c>
      <c r="D18" s="403">
        <v>1461206</v>
      </c>
      <c r="E18" s="249">
        <v>2226360</v>
      </c>
      <c r="F18" s="578">
        <v>1318954</v>
      </c>
      <c r="G18" s="579">
        <f t="shared" si="0"/>
        <v>942058</v>
      </c>
      <c r="H18" s="580">
        <f t="shared" si="6"/>
        <v>1.8146231903041137</v>
      </c>
      <c r="I18" s="581">
        <f t="shared" si="2"/>
        <v>-142252</v>
      </c>
      <c r="J18" s="582">
        <f t="shared" si="7"/>
        <v>-9.7352460912424388E-2</v>
      </c>
      <c r="K18" s="342"/>
      <c r="L18" s="342"/>
      <c r="M18" s="342"/>
      <c r="N18" s="342"/>
      <c r="O18" s="342"/>
      <c r="P18" s="342"/>
      <c r="Q18" s="342"/>
      <c r="R18" s="342"/>
      <c r="S18" s="342"/>
      <c r="T18" s="342"/>
      <c r="U18" s="342"/>
    </row>
    <row r="19" spans="1:21" ht="12" customHeight="1" x14ac:dyDescent="0.2">
      <c r="A19" s="576" t="s">
        <v>727</v>
      </c>
      <c r="B19" s="249">
        <v>78555527</v>
      </c>
      <c r="C19" s="577">
        <v>204946761</v>
      </c>
      <c r="D19" s="403">
        <v>173511016</v>
      </c>
      <c r="E19" s="249">
        <v>233011316</v>
      </c>
      <c r="F19" s="578">
        <v>111789358</v>
      </c>
      <c r="G19" s="579">
        <f t="shared" si="0"/>
        <v>94955489</v>
      </c>
      <c r="H19" s="580">
        <f t="shared" si="6"/>
        <v>1.2087690405284914</v>
      </c>
      <c r="I19" s="581">
        <f t="shared" si="2"/>
        <v>-61721658</v>
      </c>
      <c r="J19" s="582">
        <f t="shared" si="7"/>
        <v>-0.35572184073891883</v>
      </c>
      <c r="K19" s="342"/>
      <c r="L19" s="342"/>
      <c r="M19" s="342"/>
      <c r="N19" s="342"/>
      <c r="O19" s="342"/>
      <c r="P19" s="342"/>
      <c r="Q19" s="342"/>
      <c r="R19" s="342"/>
      <c r="S19" s="342"/>
      <c r="T19" s="342"/>
      <c r="U19" s="342"/>
    </row>
    <row r="20" spans="1:21" ht="12" customHeight="1" x14ac:dyDescent="0.2">
      <c r="A20" s="576" t="s">
        <v>728</v>
      </c>
      <c r="B20" s="249">
        <v>4397202</v>
      </c>
      <c r="C20" s="577">
        <v>7286063</v>
      </c>
      <c r="D20" s="403">
        <v>9468030</v>
      </c>
      <c r="E20" s="249">
        <v>5320123</v>
      </c>
      <c r="F20" s="578">
        <v>4241108</v>
      </c>
      <c r="G20" s="579">
        <f t="shared" si="0"/>
        <v>5070828</v>
      </c>
      <c r="H20" s="580">
        <f t="shared" si="6"/>
        <v>1.1531942357890312</v>
      </c>
      <c r="I20" s="581">
        <f t="shared" si="2"/>
        <v>-5226922</v>
      </c>
      <c r="J20" s="582">
        <f t="shared" si="7"/>
        <v>-0.55206014345117205</v>
      </c>
      <c r="K20" s="342"/>
      <c r="L20" s="342"/>
      <c r="M20" s="342"/>
      <c r="N20" s="342"/>
      <c r="O20" s="342"/>
      <c r="P20" s="342"/>
      <c r="Q20" s="342"/>
      <c r="R20" s="342"/>
      <c r="S20" s="342"/>
      <c r="T20" s="342"/>
      <c r="U20" s="342"/>
    </row>
    <row r="21" spans="1:21" ht="12" customHeight="1" x14ac:dyDescent="0.2">
      <c r="A21" s="576" t="s">
        <v>729</v>
      </c>
      <c r="B21" s="249">
        <v>1796323</v>
      </c>
      <c r="C21" s="577">
        <v>1775222</v>
      </c>
      <c r="D21" s="403">
        <v>2260529</v>
      </c>
      <c r="E21" s="249">
        <v>1938273</v>
      </c>
      <c r="F21" s="578">
        <v>2182002</v>
      </c>
      <c r="G21" s="579">
        <f t="shared" si="0"/>
        <v>464206</v>
      </c>
      <c r="H21" s="580">
        <f t="shared" si="6"/>
        <v>0.2584201170947541</v>
      </c>
      <c r="I21" s="581">
        <f t="shared" si="2"/>
        <v>-78527</v>
      </c>
      <c r="J21" s="582">
        <f t="shared" si="7"/>
        <v>-3.4738328948666443E-2</v>
      </c>
      <c r="K21" s="342"/>
      <c r="L21" s="342"/>
      <c r="M21" s="342"/>
      <c r="N21" s="342"/>
      <c r="O21" s="342"/>
      <c r="P21" s="342"/>
      <c r="Q21" s="342"/>
      <c r="R21" s="342"/>
      <c r="S21" s="342"/>
      <c r="T21" s="342"/>
      <c r="U21" s="342"/>
    </row>
    <row r="22" spans="1:21" ht="12" customHeight="1" x14ac:dyDescent="0.2">
      <c r="A22" s="576" t="s">
        <v>730</v>
      </c>
      <c r="B22" s="249">
        <v>1704632</v>
      </c>
      <c r="C22" s="577">
        <v>2081350</v>
      </c>
      <c r="D22" s="403">
        <v>955717</v>
      </c>
      <c r="E22" s="249">
        <v>2440172</v>
      </c>
      <c r="F22" s="578">
        <v>739383</v>
      </c>
      <c r="G22" s="579">
        <f t="shared" si="0"/>
        <v>-748915</v>
      </c>
      <c r="H22" s="580">
        <f t="shared" si="6"/>
        <v>-0.43934115985151045</v>
      </c>
      <c r="I22" s="581">
        <f t="shared" si="2"/>
        <v>-216334</v>
      </c>
      <c r="J22" s="582">
        <f t="shared" si="7"/>
        <v>-0.22635780257126326</v>
      </c>
      <c r="K22" s="342"/>
      <c r="L22" s="583"/>
      <c r="M22" s="583"/>
      <c r="N22" s="583"/>
      <c r="O22" s="342"/>
      <c r="P22" s="342"/>
      <c r="Q22" s="342"/>
      <c r="R22" s="342"/>
      <c r="S22" s="342"/>
      <c r="T22" s="342"/>
      <c r="U22" s="342"/>
    </row>
    <row r="23" spans="1:21" ht="12" customHeight="1" x14ac:dyDescent="0.2">
      <c r="A23" s="576" t="s">
        <v>731</v>
      </c>
      <c r="B23" s="249">
        <v>11758816</v>
      </c>
      <c r="C23" s="577">
        <v>9909860</v>
      </c>
      <c r="D23" s="403">
        <v>17198328</v>
      </c>
      <c r="E23" s="249">
        <v>17181424</v>
      </c>
      <c r="F23" s="578">
        <v>14972672</v>
      </c>
      <c r="G23" s="579">
        <f t="shared" si="0"/>
        <v>5439512</v>
      </c>
      <c r="H23" s="580">
        <f t="shared" si="6"/>
        <v>0.46259011111322773</v>
      </c>
      <c r="I23" s="581">
        <f t="shared" si="2"/>
        <v>-2225656</v>
      </c>
      <c r="J23" s="582">
        <f t="shared" si="7"/>
        <v>-0.12941118462213302</v>
      </c>
      <c r="K23" s="342"/>
      <c r="L23" s="342"/>
      <c r="M23" s="342"/>
      <c r="N23" s="342"/>
      <c r="O23" s="342"/>
      <c r="P23" s="342"/>
      <c r="Q23" s="342"/>
      <c r="R23" s="342"/>
      <c r="S23" s="342"/>
      <c r="T23" s="342"/>
      <c r="U23" s="342"/>
    </row>
    <row r="24" spans="1:21" ht="12" customHeight="1" x14ac:dyDescent="0.2">
      <c r="A24" s="576" t="s">
        <v>732</v>
      </c>
      <c r="B24" s="249">
        <v>2139441</v>
      </c>
      <c r="C24" s="577">
        <v>3801953</v>
      </c>
      <c r="D24" s="403">
        <v>420000</v>
      </c>
      <c r="E24" s="249">
        <v>900487</v>
      </c>
      <c r="F24" s="578">
        <v>121239</v>
      </c>
      <c r="G24" s="579">
        <f t="shared" si="0"/>
        <v>-1719441</v>
      </c>
      <c r="H24" s="580">
        <f t="shared" si="6"/>
        <v>-0.80368703787578155</v>
      </c>
      <c r="I24" s="581">
        <f t="shared" si="2"/>
        <v>-298761</v>
      </c>
      <c r="J24" s="582">
        <f t="shared" si="7"/>
        <v>-0.71133571428571429</v>
      </c>
      <c r="K24" s="342"/>
      <c r="L24" s="342"/>
      <c r="M24" s="342"/>
      <c r="N24" s="342"/>
      <c r="O24" s="342"/>
      <c r="P24" s="342"/>
      <c r="Q24" s="342"/>
      <c r="R24" s="342"/>
      <c r="S24" s="342"/>
      <c r="T24" s="342"/>
      <c r="U24" s="342"/>
    </row>
    <row r="25" spans="1:21" ht="12" customHeight="1" x14ac:dyDescent="0.2">
      <c r="A25" s="576" t="s">
        <v>733</v>
      </c>
      <c r="B25" s="249">
        <v>13519054</v>
      </c>
      <c r="C25" s="577">
        <v>17275317</v>
      </c>
      <c r="D25" s="403">
        <v>8771587</v>
      </c>
      <c r="E25" s="249">
        <v>14762145</v>
      </c>
      <c r="F25" s="578">
        <v>6164221</v>
      </c>
      <c r="G25" s="579">
        <f t="shared" si="0"/>
        <v>-4747467</v>
      </c>
      <c r="H25" s="580">
        <f t="shared" si="6"/>
        <v>-0.35116858028675674</v>
      </c>
      <c r="I25" s="581">
        <f t="shared" si="2"/>
        <v>-2607366</v>
      </c>
      <c r="J25" s="582">
        <f t="shared" si="7"/>
        <v>-0.29725134117691587</v>
      </c>
      <c r="K25" s="342"/>
      <c r="L25" s="342"/>
      <c r="M25" s="342"/>
      <c r="N25" s="342"/>
      <c r="O25" s="342"/>
      <c r="P25" s="342"/>
      <c r="Q25" s="342"/>
      <c r="R25" s="342"/>
      <c r="S25" s="342"/>
      <c r="T25" s="342"/>
      <c r="U25" s="342"/>
    </row>
    <row r="26" spans="1:21" ht="12" customHeight="1" x14ac:dyDescent="0.2">
      <c r="A26" s="576" t="s">
        <v>734</v>
      </c>
      <c r="B26" s="249">
        <v>683077</v>
      </c>
      <c r="C26" s="577">
        <v>2242459</v>
      </c>
      <c r="D26" s="403">
        <v>1041747</v>
      </c>
      <c r="E26" s="249">
        <v>1502940</v>
      </c>
      <c r="F26" s="578">
        <v>1676882</v>
      </c>
      <c r="G26" s="579">
        <f t="shared" si="0"/>
        <v>358670</v>
      </c>
      <c r="H26" s="580">
        <f t="shared" si="6"/>
        <v>0.52507989582433601</v>
      </c>
      <c r="I26" s="581">
        <f t="shared" si="2"/>
        <v>635135</v>
      </c>
      <c r="J26" s="582">
        <f t="shared" si="7"/>
        <v>0.60968258127933173</v>
      </c>
      <c r="K26" s="342"/>
      <c r="L26" s="342"/>
      <c r="M26" s="342"/>
      <c r="N26" s="342"/>
      <c r="O26" s="342"/>
      <c r="P26" s="342"/>
      <c r="Q26" s="342"/>
      <c r="R26" s="342"/>
      <c r="S26" s="342"/>
      <c r="T26" s="342"/>
      <c r="U26" s="342"/>
    </row>
    <row r="27" spans="1:21" ht="12" customHeight="1" x14ac:dyDescent="0.2">
      <c r="A27" s="576" t="s">
        <v>735</v>
      </c>
      <c r="B27" s="249">
        <v>16145394</v>
      </c>
      <c r="C27" s="577">
        <v>23285771</v>
      </c>
      <c r="D27" s="403">
        <v>18837478</v>
      </c>
      <c r="E27" s="249">
        <v>20414369</v>
      </c>
      <c r="F27" s="578">
        <v>16078748</v>
      </c>
      <c r="G27" s="579">
        <f t="shared" si="0"/>
        <v>2692084</v>
      </c>
      <c r="H27" s="580">
        <f t="shared" si="6"/>
        <v>0.16674006221217022</v>
      </c>
      <c r="I27" s="581">
        <f t="shared" si="2"/>
        <v>-2758730</v>
      </c>
      <c r="J27" s="582">
        <f t="shared" si="7"/>
        <v>-0.14644900978782829</v>
      </c>
      <c r="K27" s="342"/>
      <c r="L27" s="342"/>
      <c r="M27" s="342"/>
      <c r="N27" s="342"/>
      <c r="O27" s="342"/>
      <c r="P27" s="342"/>
      <c r="Q27" s="342"/>
      <c r="R27" s="342"/>
      <c r="S27" s="342"/>
      <c r="T27" s="342"/>
      <c r="U27" s="342"/>
    </row>
    <row r="28" spans="1:21" ht="12" customHeight="1" x14ac:dyDescent="0.2">
      <c r="A28" s="576" t="s">
        <v>736</v>
      </c>
      <c r="B28" s="249">
        <v>29857820</v>
      </c>
      <c r="C28" s="577">
        <v>31097149</v>
      </c>
      <c r="D28" s="403">
        <v>32118395</v>
      </c>
      <c r="E28" s="249">
        <v>34022199</v>
      </c>
      <c r="F28" s="578">
        <v>32168405</v>
      </c>
      <c r="G28" s="579">
        <f t="shared" si="0"/>
        <v>2260575</v>
      </c>
      <c r="H28" s="580">
        <f t="shared" si="6"/>
        <v>7.5711321188218023E-2</v>
      </c>
      <c r="I28" s="581">
        <f t="shared" si="2"/>
        <v>50010</v>
      </c>
      <c r="J28" s="582">
        <f t="shared" si="7"/>
        <v>1.5570516521762686E-3</v>
      </c>
      <c r="K28" s="342"/>
      <c r="L28" s="342"/>
      <c r="M28" s="342"/>
      <c r="N28" s="342"/>
      <c r="O28" s="342"/>
      <c r="P28" s="342"/>
      <c r="Q28" s="342"/>
      <c r="R28" s="342"/>
      <c r="S28" s="342"/>
      <c r="T28" s="342"/>
      <c r="U28" s="342"/>
    </row>
    <row r="29" spans="1:21" ht="12" customHeight="1" x14ac:dyDescent="0.2">
      <c r="A29" s="576" t="s">
        <v>737</v>
      </c>
      <c r="B29" s="249">
        <v>0</v>
      </c>
      <c r="C29" s="577">
        <v>0</v>
      </c>
      <c r="D29" s="403">
        <v>0</v>
      </c>
      <c r="E29" s="249">
        <v>0</v>
      </c>
      <c r="F29" s="578">
        <v>0</v>
      </c>
      <c r="G29" s="579">
        <f t="shared" si="0"/>
        <v>0</v>
      </c>
      <c r="H29" s="580">
        <v>0</v>
      </c>
      <c r="I29" s="581">
        <f t="shared" si="2"/>
        <v>0</v>
      </c>
      <c r="J29" s="582">
        <v>0</v>
      </c>
      <c r="K29" s="342"/>
      <c r="L29" s="342"/>
      <c r="M29" s="342"/>
      <c r="N29" s="342"/>
      <c r="O29" s="342"/>
      <c r="P29" s="342"/>
      <c r="Q29" s="342"/>
      <c r="R29" s="342"/>
      <c r="S29" s="342"/>
      <c r="T29" s="342"/>
      <c r="U29" s="342"/>
    </row>
    <row r="30" spans="1:21" ht="12" customHeight="1" x14ac:dyDescent="0.2">
      <c r="A30" s="576" t="s">
        <v>738</v>
      </c>
      <c r="B30" s="249">
        <v>6249771</v>
      </c>
      <c r="C30" s="577">
        <v>12217356</v>
      </c>
      <c r="D30" s="403">
        <v>10986143</v>
      </c>
      <c r="E30" s="249">
        <v>19890417</v>
      </c>
      <c r="F30" s="578">
        <v>64440653</v>
      </c>
      <c r="G30" s="579">
        <f t="shared" si="0"/>
        <v>4736372</v>
      </c>
      <c r="H30" s="580">
        <f t="shared" ref="H30:H33" si="8">G30/B30</f>
        <v>0.75784728752461494</v>
      </c>
      <c r="I30" s="581">
        <f t="shared" si="2"/>
        <v>53454510</v>
      </c>
      <c r="J30" s="582">
        <f t="shared" ref="J30:J33" si="9">I30/D30</f>
        <v>4.8656302762489076</v>
      </c>
      <c r="K30" s="583"/>
      <c r="L30" s="342"/>
      <c r="M30" s="342"/>
      <c r="N30" s="342"/>
      <c r="O30" s="342"/>
      <c r="P30" s="342"/>
      <c r="Q30" s="342"/>
      <c r="R30" s="342"/>
      <c r="S30" s="342"/>
      <c r="T30" s="342"/>
      <c r="U30" s="342"/>
    </row>
    <row r="31" spans="1:21" ht="12" customHeight="1" x14ac:dyDescent="0.2">
      <c r="A31" s="576" t="s">
        <v>739</v>
      </c>
      <c r="B31" s="249">
        <v>99488</v>
      </c>
      <c r="C31" s="577">
        <v>145708</v>
      </c>
      <c r="D31" s="403">
        <v>63215</v>
      </c>
      <c r="E31" s="249">
        <v>2128285</v>
      </c>
      <c r="F31" s="578">
        <v>635688</v>
      </c>
      <c r="G31" s="579">
        <f t="shared" si="0"/>
        <v>-36273</v>
      </c>
      <c r="H31" s="580">
        <f t="shared" si="8"/>
        <v>-0.36459673528465747</v>
      </c>
      <c r="I31" s="581">
        <f t="shared" si="2"/>
        <v>572473</v>
      </c>
      <c r="J31" s="582">
        <f t="shared" si="9"/>
        <v>9.0559677291782013</v>
      </c>
      <c r="K31" s="342"/>
      <c r="L31" s="342"/>
      <c r="M31" s="342"/>
      <c r="N31" s="342"/>
      <c r="O31" s="342"/>
      <c r="P31" s="342"/>
      <c r="Q31" s="342"/>
      <c r="R31" s="342"/>
      <c r="S31" s="342"/>
      <c r="T31" s="342"/>
      <c r="U31" s="342"/>
    </row>
    <row r="32" spans="1:21" ht="12" customHeight="1" x14ac:dyDescent="0.2">
      <c r="A32" s="576" t="s">
        <v>740</v>
      </c>
      <c r="B32" s="249">
        <v>1170957</v>
      </c>
      <c r="C32" s="577">
        <v>2931900</v>
      </c>
      <c r="D32" s="403">
        <v>246229</v>
      </c>
      <c r="E32" s="249">
        <v>1424398</v>
      </c>
      <c r="F32" s="578">
        <v>467930</v>
      </c>
      <c r="G32" s="579">
        <f t="shared" si="0"/>
        <v>-924728</v>
      </c>
      <c r="H32" s="580">
        <f t="shared" si="8"/>
        <v>-0.78971986161746333</v>
      </c>
      <c r="I32" s="581">
        <f t="shared" si="2"/>
        <v>221701</v>
      </c>
      <c r="J32" s="582">
        <f t="shared" si="9"/>
        <v>0.90038541357841684</v>
      </c>
      <c r="K32" s="342"/>
      <c r="L32" s="342"/>
      <c r="M32" s="342"/>
      <c r="N32" s="342"/>
      <c r="O32" s="342"/>
      <c r="P32" s="342"/>
      <c r="Q32" s="342"/>
      <c r="R32" s="342"/>
      <c r="S32" s="342"/>
      <c r="T32" s="342"/>
      <c r="U32" s="342"/>
    </row>
    <row r="33" spans="1:21" ht="12" customHeight="1" x14ac:dyDescent="0.2">
      <c r="A33" s="576" t="s">
        <v>741</v>
      </c>
      <c r="B33" s="249">
        <v>1590</v>
      </c>
      <c r="C33" s="577">
        <v>847921</v>
      </c>
      <c r="D33" s="403">
        <v>50</v>
      </c>
      <c r="E33" s="249">
        <v>114370</v>
      </c>
      <c r="F33" s="578"/>
      <c r="G33" s="579">
        <f t="shared" si="0"/>
        <v>-1540</v>
      </c>
      <c r="H33" s="580">
        <f t="shared" si="8"/>
        <v>-0.96855345911949686</v>
      </c>
      <c r="I33" s="581">
        <f t="shared" si="2"/>
        <v>-50</v>
      </c>
      <c r="J33" s="582">
        <f t="shared" si="9"/>
        <v>-1</v>
      </c>
      <c r="K33" s="342"/>
      <c r="L33" s="342"/>
      <c r="M33" s="342"/>
      <c r="N33" s="342"/>
      <c r="O33" s="342"/>
      <c r="P33" s="342"/>
      <c r="Q33" s="342"/>
      <c r="R33" s="342"/>
      <c r="S33" s="342"/>
      <c r="T33" s="342"/>
      <c r="U33" s="342"/>
    </row>
    <row r="34" spans="1:21" ht="12" customHeight="1" x14ac:dyDescent="0.2">
      <c r="A34" s="576" t="s">
        <v>742</v>
      </c>
      <c r="B34" s="249">
        <v>0</v>
      </c>
      <c r="C34" s="577">
        <v>0</v>
      </c>
      <c r="D34" s="403">
        <v>0</v>
      </c>
      <c r="E34" s="249">
        <v>0</v>
      </c>
      <c r="F34" s="578">
        <v>0</v>
      </c>
      <c r="G34" s="579">
        <f t="shared" si="0"/>
        <v>0</v>
      </c>
      <c r="H34" s="580">
        <v>0</v>
      </c>
      <c r="I34" s="581">
        <f t="shared" si="2"/>
        <v>0</v>
      </c>
      <c r="J34" s="582">
        <v>0</v>
      </c>
      <c r="K34" s="342"/>
      <c r="L34" s="342"/>
      <c r="M34" s="342"/>
      <c r="N34" s="342"/>
      <c r="O34" s="342"/>
      <c r="P34" s="342"/>
      <c r="Q34" s="342"/>
      <c r="R34" s="342"/>
      <c r="S34" s="342"/>
      <c r="T34" s="342"/>
      <c r="U34" s="342"/>
    </row>
    <row r="35" spans="1:21" ht="12" customHeight="1" x14ac:dyDescent="0.2">
      <c r="A35" s="576" t="s">
        <v>743</v>
      </c>
      <c r="B35" s="249">
        <v>0</v>
      </c>
      <c r="C35" s="577">
        <v>0</v>
      </c>
      <c r="D35" s="403">
        <v>0</v>
      </c>
      <c r="E35" s="249">
        <v>0</v>
      </c>
      <c r="F35" s="578">
        <v>0</v>
      </c>
      <c r="G35" s="579">
        <f t="shared" si="0"/>
        <v>0</v>
      </c>
      <c r="H35" s="580">
        <v>0</v>
      </c>
      <c r="I35" s="581">
        <f t="shared" si="2"/>
        <v>0</v>
      </c>
      <c r="J35" s="582">
        <v>0</v>
      </c>
      <c r="K35" s="342"/>
      <c r="L35" s="342"/>
      <c r="M35" s="342"/>
      <c r="N35" s="342"/>
      <c r="O35" s="342"/>
      <c r="P35" s="342"/>
      <c r="Q35" s="342"/>
      <c r="R35" s="342"/>
      <c r="S35" s="342"/>
      <c r="T35" s="342"/>
      <c r="U35" s="342"/>
    </row>
    <row r="36" spans="1:21" ht="12" customHeight="1" x14ac:dyDescent="0.2">
      <c r="A36" s="576" t="s">
        <v>744</v>
      </c>
      <c r="B36" s="249">
        <v>9500382</v>
      </c>
      <c r="C36" s="577">
        <v>10943875</v>
      </c>
      <c r="D36" s="403">
        <v>15389268</v>
      </c>
      <c r="E36" s="249">
        <v>8822111</v>
      </c>
      <c r="F36" s="578">
        <v>6045662</v>
      </c>
      <c r="G36" s="579">
        <f t="shared" si="0"/>
        <v>5888886</v>
      </c>
      <c r="H36" s="580">
        <f>G36/B36</f>
        <v>0.61985781203324242</v>
      </c>
      <c r="I36" s="581">
        <f t="shared" si="2"/>
        <v>-9343606</v>
      </c>
      <c r="J36" s="582">
        <f>I36/D36</f>
        <v>-0.60715077546248464</v>
      </c>
      <c r="K36" s="342"/>
      <c r="L36" s="342"/>
      <c r="M36" s="342"/>
      <c r="N36" s="342"/>
      <c r="O36" s="342"/>
      <c r="P36" s="342"/>
      <c r="Q36" s="342"/>
      <c r="R36" s="342"/>
      <c r="S36" s="342"/>
      <c r="T36" s="342"/>
      <c r="U36" s="342"/>
    </row>
    <row r="37" spans="1:21" ht="7.5" customHeight="1" x14ac:dyDescent="0.2">
      <c r="A37" s="576"/>
      <c r="B37" s="249"/>
      <c r="C37" s="577"/>
      <c r="D37" s="403"/>
      <c r="E37" s="249"/>
      <c r="F37" s="578"/>
      <c r="G37" s="579"/>
      <c r="H37" s="584"/>
      <c r="I37" s="581"/>
      <c r="J37" s="400"/>
      <c r="K37" s="342"/>
      <c r="L37" s="342"/>
      <c r="M37" s="342"/>
      <c r="N37" s="342"/>
      <c r="O37" s="342"/>
      <c r="P37" s="342"/>
      <c r="Q37" s="342"/>
      <c r="R37" s="342"/>
      <c r="S37" s="342"/>
      <c r="T37" s="342"/>
      <c r="U37" s="342"/>
    </row>
    <row r="38" spans="1:21" ht="19.5" customHeight="1" x14ac:dyDescent="0.2">
      <c r="A38" s="585" t="s">
        <v>745</v>
      </c>
      <c r="B38" s="586">
        <f t="shared" ref="B38:G38" si="10">SUM(B6:B37)</f>
        <v>476016000</v>
      </c>
      <c r="C38" s="586">
        <f t="shared" si="10"/>
        <v>640122621</v>
      </c>
      <c r="D38" s="586">
        <f t="shared" si="10"/>
        <v>613066279</v>
      </c>
      <c r="E38" s="586">
        <f t="shared" si="10"/>
        <v>684817932</v>
      </c>
      <c r="F38" s="586">
        <f t="shared" si="10"/>
        <v>573891565</v>
      </c>
      <c r="G38" s="586">
        <f t="shared" si="10"/>
        <v>137050279</v>
      </c>
      <c r="H38" s="587">
        <f>G38/B38</f>
        <v>0.28791107651843634</v>
      </c>
      <c r="I38" s="588">
        <f>SUM(I6:I37)</f>
        <v>-39174714</v>
      </c>
      <c r="J38" s="589">
        <f>I38/D38</f>
        <v>-6.3899639144889261E-2</v>
      </c>
      <c r="K38" s="342"/>
      <c r="L38" s="342"/>
      <c r="M38" s="342"/>
      <c r="N38" s="342"/>
      <c r="O38" s="342"/>
      <c r="P38" s="342"/>
      <c r="Q38" s="342"/>
      <c r="R38" s="342"/>
      <c r="S38" s="342"/>
      <c r="T38" s="342"/>
      <c r="U38" s="342"/>
    </row>
    <row r="39" spans="1:21" ht="12" customHeight="1" x14ac:dyDescent="0.2">
      <c r="A39" s="339" t="s">
        <v>746</v>
      </c>
      <c r="B39" s="48"/>
      <c r="C39" s="48"/>
      <c r="D39" s="48"/>
      <c r="E39" s="48"/>
      <c r="F39" s="48"/>
      <c r="G39" s="48"/>
      <c r="H39" s="48"/>
      <c r="I39" s="48"/>
      <c r="J39" s="342"/>
      <c r="K39" s="342"/>
      <c r="L39" s="342"/>
      <c r="M39" s="342"/>
      <c r="N39" s="342"/>
      <c r="O39" s="342"/>
      <c r="P39" s="342"/>
      <c r="Q39" s="342"/>
      <c r="R39" s="342"/>
      <c r="S39" s="342"/>
      <c r="T39" s="342"/>
      <c r="U39" s="342"/>
    </row>
    <row r="40" spans="1:21" ht="12" customHeight="1" x14ac:dyDescent="0.2">
      <c r="A40" s="339" t="s">
        <v>747</v>
      </c>
      <c r="B40" s="214"/>
      <c r="C40" s="214"/>
      <c r="D40" s="214"/>
      <c r="E40" s="214"/>
      <c r="F40" s="214"/>
      <c r="G40" s="214"/>
      <c r="H40" s="214"/>
      <c r="I40" s="214"/>
      <c r="J40" s="342"/>
      <c r="K40" s="342"/>
      <c r="L40" s="342"/>
      <c r="M40" s="342"/>
      <c r="N40" s="342"/>
      <c r="O40" s="342"/>
      <c r="P40" s="342"/>
      <c r="Q40" s="342"/>
      <c r="R40" s="342"/>
      <c r="S40" s="342"/>
      <c r="T40" s="342"/>
      <c r="U40" s="342"/>
    </row>
    <row r="41" spans="1:21" ht="12" customHeight="1" x14ac:dyDescent="0.2">
      <c r="A41" s="339" t="s">
        <v>748</v>
      </c>
      <c r="B41" s="48"/>
      <c r="C41" s="48"/>
      <c r="D41" s="48"/>
      <c r="E41" s="48"/>
      <c r="F41" s="48"/>
      <c r="G41" s="48"/>
      <c r="H41" s="48"/>
      <c r="I41" s="48"/>
      <c r="J41" s="342"/>
      <c r="K41" s="342"/>
      <c r="L41" s="342"/>
      <c r="M41" s="342"/>
      <c r="N41" s="342"/>
      <c r="O41" s="342"/>
      <c r="P41" s="342"/>
      <c r="Q41" s="342"/>
      <c r="R41" s="342"/>
      <c r="S41" s="342"/>
      <c r="T41" s="342"/>
      <c r="U41" s="342"/>
    </row>
    <row r="42" spans="1:21" ht="12" customHeight="1" x14ac:dyDescent="0.2">
      <c r="A42" s="339"/>
      <c r="B42" s="48"/>
      <c r="C42" s="48"/>
      <c r="D42" s="48"/>
      <c r="E42" s="48"/>
      <c r="F42" s="48"/>
      <c r="G42" s="48"/>
      <c r="H42" s="48"/>
      <c r="I42" s="48"/>
      <c r="J42" s="342"/>
      <c r="K42" s="342"/>
      <c r="L42" s="342"/>
      <c r="M42" s="342"/>
      <c r="N42" s="342"/>
      <c r="O42" s="342"/>
      <c r="P42" s="342"/>
      <c r="Q42" s="342"/>
      <c r="R42" s="342"/>
      <c r="S42" s="342"/>
      <c r="T42" s="342"/>
      <c r="U42" s="342"/>
    </row>
    <row r="43" spans="1:21" ht="12" customHeight="1" x14ac:dyDescent="0.2">
      <c r="A43" s="342"/>
      <c r="B43" s="342"/>
      <c r="C43" s="342"/>
      <c r="D43" s="342"/>
      <c r="E43" s="342"/>
      <c r="F43" s="342"/>
      <c r="G43" s="342"/>
      <c r="H43" s="342"/>
      <c r="I43" s="342"/>
      <c r="J43" s="342"/>
      <c r="K43" s="342"/>
      <c r="L43" s="342"/>
      <c r="M43" s="342"/>
      <c r="N43" s="342"/>
      <c r="O43" s="342"/>
      <c r="P43" s="342"/>
      <c r="Q43" s="342"/>
      <c r="R43" s="342"/>
      <c r="S43" s="342"/>
      <c r="T43" s="342"/>
      <c r="U43" s="342"/>
    </row>
    <row r="44" spans="1:21" ht="12" customHeight="1" x14ac:dyDescent="0.2">
      <c r="A44" s="342"/>
      <c r="B44" s="342"/>
      <c r="C44" s="342"/>
      <c r="D44" s="342"/>
      <c r="E44" s="342"/>
      <c r="F44" s="342"/>
      <c r="G44" s="342"/>
      <c r="H44" s="342"/>
      <c r="I44" s="342"/>
      <c r="J44" s="342"/>
      <c r="K44" s="342"/>
      <c r="L44" s="342"/>
      <c r="M44" s="342"/>
      <c r="N44" s="342"/>
      <c r="O44" s="342"/>
      <c r="P44" s="342"/>
      <c r="Q44" s="342"/>
      <c r="R44" s="342"/>
      <c r="S44" s="342"/>
      <c r="T44" s="342"/>
      <c r="U44" s="342"/>
    </row>
    <row r="45" spans="1:21" ht="12" customHeight="1" x14ac:dyDescent="0.2">
      <c r="A45" s="342"/>
      <c r="B45" s="583"/>
      <c r="C45" s="583"/>
      <c r="D45" s="583"/>
      <c r="E45" s="583"/>
      <c r="F45" s="583"/>
      <c r="G45" s="342"/>
      <c r="H45" s="342"/>
      <c r="I45" s="342"/>
      <c r="J45" s="342"/>
      <c r="K45" s="342"/>
      <c r="L45" s="342"/>
      <c r="M45" s="342"/>
      <c r="N45" s="342"/>
      <c r="O45" s="342"/>
      <c r="P45" s="342"/>
      <c r="Q45" s="342"/>
      <c r="R45" s="342"/>
      <c r="S45" s="342"/>
      <c r="T45" s="342"/>
      <c r="U45" s="342"/>
    </row>
    <row r="46" spans="1:21" ht="12" customHeight="1" x14ac:dyDescent="0.2">
      <c r="A46" s="342"/>
      <c r="B46" s="342"/>
      <c r="C46" s="342"/>
      <c r="D46" s="342"/>
      <c r="E46" s="342"/>
      <c r="F46" s="342"/>
      <c r="G46" s="342"/>
      <c r="H46" s="342"/>
      <c r="I46" s="342"/>
      <c r="J46" s="342"/>
      <c r="K46" s="342"/>
      <c r="L46" s="342"/>
      <c r="M46" s="342"/>
      <c r="N46" s="342"/>
      <c r="O46" s="342"/>
      <c r="P46" s="342"/>
      <c r="Q46" s="342"/>
      <c r="R46" s="342"/>
      <c r="S46" s="342"/>
      <c r="T46" s="342"/>
      <c r="U46" s="342"/>
    </row>
    <row r="47" spans="1:21" ht="12" customHeight="1" x14ac:dyDescent="0.2">
      <c r="A47" s="342"/>
      <c r="B47" s="342"/>
      <c r="C47" s="342"/>
      <c r="D47" s="342"/>
      <c r="E47" s="342"/>
      <c r="F47" s="342"/>
      <c r="G47" s="342"/>
      <c r="H47" s="342"/>
      <c r="I47" s="342"/>
      <c r="J47" s="342"/>
      <c r="K47" s="342"/>
      <c r="L47" s="342"/>
      <c r="M47" s="342"/>
      <c r="N47" s="342"/>
      <c r="O47" s="342"/>
      <c r="P47" s="342"/>
      <c r="Q47" s="342"/>
      <c r="R47" s="342"/>
      <c r="S47" s="342"/>
      <c r="T47" s="342"/>
      <c r="U47" s="342"/>
    </row>
    <row r="48" spans="1:21" ht="12" customHeight="1" x14ac:dyDescent="0.2">
      <c r="A48" s="342"/>
      <c r="B48" s="342"/>
      <c r="C48" s="342"/>
      <c r="D48" s="342"/>
      <c r="E48" s="342"/>
      <c r="F48" s="342"/>
      <c r="G48" s="342"/>
      <c r="H48" s="342"/>
      <c r="I48" s="342"/>
      <c r="J48" s="342"/>
      <c r="K48" s="342"/>
      <c r="L48" s="342"/>
      <c r="M48" s="342"/>
      <c r="N48" s="342"/>
      <c r="O48" s="342"/>
      <c r="P48" s="342"/>
      <c r="Q48" s="342"/>
      <c r="R48" s="342"/>
      <c r="S48" s="342"/>
      <c r="T48" s="342"/>
      <c r="U48" s="342"/>
    </row>
    <row r="49" spans="1:21" ht="12" customHeight="1" x14ac:dyDescent="0.2">
      <c r="A49" s="342"/>
      <c r="B49" s="342"/>
      <c r="C49" s="342"/>
      <c r="D49" s="342"/>
      <c r="E49" s="342"/>
      <c r="F49" s="342"/>
      <c r="G49" s="342"/>
      <c r="H49" s="342"/>
      <c r="I49" s="342"/>
      <c r="J49" s="342"/>
      <c r="K49" s="342"/>
      <c r="L49" s="342"/>
      <c r="M49" s="342"/>
      <c r="N49" s="342"/>
      <c r="O49" s="342"/>
      <c r="P49" s="342"/>
      <c r="Q49" s="342"/>
      <c r="R49" s="342"/>
      <c r="S49" s="342"/>
      <c r="T49" s="342"/>
      <c r="U49" s="342"/>
    </row>
    <row r="50" spans="1:21" ht="12" customHeight="1" x14ac:dyDescent="0.2">
      <c r="A50" s="342"/>
      <c r="B50" s="342"/>
      <c r="C50" s="342"/>
      <c r="D50" s="342"/>
      <c r="E50" s="342"/>
      <c r="F50" s="342"/>
      <c r="G50" s="342"/>
      <c r="H50" s="342"/>
      <c r="I50" s="342"/>
      <c r="J50" s="342"/>
      <c r="K50" s="342"/>
      <c r="L50" s="342"/>
      <c r="M50" s="342"/>
      <c r="N50" s="342"/>
      <c r="O50" s="342"/>
      <c r="P50" s="342"/>
      <c r="Q50" s="342"/>
      <c r="R50" s="342"/>
      <c r="S50" s="342"/>
      <c r="T50" s="342"/>
      <c r="U50" s="342"/>
    </row>
    <row r="51" spans="1:21" ht="12" customHeight="1" x14ac:dyDescent="0.2">
      <c r="A51" s="342"/>
      <c r="B51" s="342"/>
      <c r="C51" s="342"/>
      <c r="D51" s="342"/>
      <c r="E51" s="342"/>
      <c r="F51" s="342"/>
      <c r="G51" s="342"/>
      <c r="H51" s="342"/>
      <c r="I51" s="342"/>
      <c r="J51" s="342"/>
      <c r="K51" s="342"/>
      <c r="L51" s="342"/>
      <c r="M51" s="342"/>
      <c r="N51" s="342"/>
      <c r="O51" s="342"/>
      <c r="P51" s="342"/>
      <c r="Q51" s="342"/>
      <c r="R51" s="342"/>
      <c r="S51" s="342"/>
      <c r="T51" s="342"/>
      <c r="U51" s="342"/>
    </row>
    <row r="52" spans="1:21" ht="12" customHeight="1" x14ac:dyDescent="0.2">
      <c r="A52" s="342"/>
      <c r="B52" s="342"/>
      <c r="C52" s="342"/>
      <c r="D52" s="342"/>
      <c r="E52" s="342"/>
      <c r="F52" s="342"/>
      <c r="G52" s="342"/>
      <c r="H52" s="342"/>
      <c r="I52" s="342"/>
      <c r="J52" s="342"/>
      <c r="K52" s="342"/>
      <c r="L52" s="342"/>
      <c r="M52" s="342"/>
      <c r="N52" s="342"/>
      <c r="O52" s="342"/>
      <c r="P52" s="342"/>
      <c r="Q52" s="342"/>
      <c r="R52" s="342"/>
      <c r="S52" s="342"/>
      <c r="T52" s="342"/>
      <c r="U52" s="342"/>
    </row>
    <row r="53" spans="1:21" ht="12" customHeight="1" x14ac:dyDescent="0.2">
      <c r="A53" s="342"/>
      <c r="B53" s="342"/>
      <c r="C53" s="342"/>
      <c r="D53" s="342"/>
      <c r="E53" s="342"/>
      <c r="F53" s="342"/>
      <c r="G53" s="342"/>
      <c r="H53" s="342"/>
      <c r="I53" s="342"/>
      <c r="J53" s="342"/>
      <c r="K53" s="342"/>
      <c r="L53" s="342"/>
      <c r="M53" s="342"/>
      <c r="N53" s="342"/>
      <c r="O53" s="342"/>
      <c r="P53" s="342"/>
      <c r="Q53" s="342"/>
      <c r="R53" s="342"/>
      <c r="S53" s="342"/>
      <c r="T53" s="342"/>
      <c r="U53" s="342"/>
    </row>
    <row r="54" spans="1:21" ht="12" customHeight="1" x14ac:dyDescent="0.2">
      <c r="A54" s="342"/>
      <c r="B54" s="342"/>
      <c r="C54" s="342"/>
      <c r="D54" s="342"/>
      <c r="E54" s="342"/>
      <c r="F54" s="342"/>
      <c r="G54" s="342"/>
      <c r="H54" s="342"/>
      <c r="I54" s="342"/>
      <c r="J54" s="342"/>
      <c r="K54" s="342"/>
      <c r="L54" s="342"/>
      <c r="M54" s="342"/>
      <c r="N54" s="342"/>
      <c r="O54" s="342"/>
      <c r="P54" s="342"/>
      <c r="Q54" s="342"/>
      <c r="R54" s="342"/>
      <c r="S54" s="342"/>
      <c r="T54" s="342"/>
      <c r="U54" s="342"/>
    </row>
    <row r="55" spans="1:21" ht="12" customHeight="1" x14ac:dyDescent="0.2">
      <c r="A55" s="342"/>
      <c r="B55" s="342"/>
      <c r="C55" s="342"/>
      <c r="D55" s="342"/>
      <c r="E55" s="342"/>
      <c r="F55" s="342"/>
      <c r="G55" s="342"/>
      <c r="H55" s="342"/>
      <c r="I55" s="342"/>
      <c r="J55" s="342"/>
      <c r="K55" s="342"/>
      <c r="L55" s="342"/>
      <c r="M55" s="342"/>
      <c r="N55" s="342"/>
      <c r="O55" s="342"/>
      <c r="P55" s="342"/>
      <c r="Q55" s="342"/>
      <c r="R55" s="342"/>
      <c r="S55" s="342"/>
      <c r="T55" s="342"/>
      <c r="U55" s="342"/>
    </row>
    <row r="56" spans="1:21" ht="12" customHeight="1" x14ac:dyDescent="0.2">
      <c r="A56" s="342"/>
      <c r="B56" s="342"/>
      <c r="C56" s="342"/>
      <c r="D56" s="342"/>
      <c r="E56" s="342"/>
      <c r="F56" s="342"/>
      <c r="G56" s="342"/>
      <c r="H56" s="342"/>
      <c r="I56" s="342"/>
      <c r="J56" s="342"/>
      <c r="K56" s="342"/>
      <c r="L56" s="342"/>
      <c r="M56" s="342"/>
      <c r="N56" s="342"/>
      <c r="O56" s="342"/>
      <c r="P56" s="342"/>
      <c r="Q56" s="342"/>
      <c r="R56" s="342"/>
      <c r="S56" s="342"/>
      <c r="T56" s="342"/>
      <c r="U56" s="342"/>
    </row>
    <row r="57" spans="1:21" ht="12" customHeight="1" x14ac:dyDescent="0.2">
      <c r="A57" s="342"/>
      <c r="B57" s="342"/>
      <c r="C57" s="342"/>
      <c r="D57" s="342"/>
      <c r="E57" s="342"/>
      <c r="F57" s="342"/>
      <c r="G57" s="342"/>
      <c r="H57" s="342"/>
      <c r="I57" s="342"/>
      <c r="J57" s="342"/>
      <c r="K57" s="342"/>
      <c r="L57" s="342"/>
      <c r="M57" s="342"/>
      <c r="N57" s="342"/>
      <c r="O57" s="342"/>
      <c r="P57" s="342"/>
      <c r="Q57" s="342"/>
      <c r="R57" s="342"/>
      <c r="S57" s="342"/>
      <c r="T57" s="342"/>
      <c r="U57" s="342"/>
    </row>
    <row r="58" spans="1:21" ht="12" customHeight="1" x14ac:dyDescent="0.2">
      <c r="A58" s="342"/>
      <c r="B58" s="342"/>
      <c r="C58" s="342"/>
      <c r="D58" s="342"/>
      <c r="E58" s="342"/>
      <c r="F58" s="342"/>
      <c r="G58" s="342"/>
      <c r="H58" s="342"/>
      <c r="I58" s="342"/>
      <c r="J58" s="342"/>
      <c r="K58" s="342"/>
      <c r="L58" s="342"/>
      <c r="M58" s="342"/>
      <c r="N58" s="342"/>
      <c r="O58" s="342"/>
      <c r="P58" s="342"/>
      <c r="Q58" s="342"/>
      <c r="R58" s="342"/>
      <c r="S58" s="342"/>
      <c r="T58" s="342"/>
      <c r="U58" s="342"/>
    </row>
    <row r="59" spans="1:21" ht="12" customHeight="1" x14ac:dyDescent="0.2">
      <c r="A59" s="342"/>
      <c r="B59" s="342"/>
      <c r="C59" s="342"/>
      <c r="D59" s="342"/>
      <c r="E59" s="342"/>
      <c r="F59" s="342"/>
      <c r="G59" s="342"/>
      <c r="H59" s="342"/>
      <c r="I59" s="342"/>
      <c r="J59" s="342"/>
      <c r="K59" s="342"/>
      <c r="L59" s="342"/>
      <c r="M59" s="342"/>
      <c r="N59" s="342"/>
      <c r="O59" s="342"/>
      <c r="P59" s="342"/>
      <c r="Q59" s="342"/>
      <c r="R59" s="342"/>
      <c r="S59" s="342"/>
      <c r="T59" s="342"/>
      <c r="U59" s="342"/>
    </row>
    <row r="60" spans="1:21" ht="12" customHeight="1" x14ac:dyDescent="0.2">
      <c r="A60" s="342"/>
      <c r="B60" s="342"/>
      <c r="C60" s="342"/>
      <c r="D60" s="342"/>
      <c r="E60" s="342"/>
      <c r="F60" s="342"/>
      <c r="G60" s="342"/>
      <c r="H60" s="342"/>
      <c r="I60" s="342"/>
      <c r="J60" s="342"/>
      <c r="K60" s="342"/>
      <c r="L60" s="342"/>
      <c r="M60" s="342"/>
      <c r="N60" s="342"/>
      <c r="O60" s="342"/>
      <c r="P60" s="342"/>
      <c r="Q60" s="342"/>
      <c r="R60" s="342"/>
      <c r="S60" s="342"/>
      <c r="T60" s="342"/>
      <c r="U60" s="342"/>
    </row>
    <row r="61" spans="1:21" ht="12" customHeight="1" x14ac:dyDescent="0.2">
      <c r="A61" s="342"/>
      <c r="B61" s="342"/>
      <c r="C61" s="342"/>
      <c r="D61" s="342"/>
      <c r="E61" s="342"/>
      <c r="F61" s="342"/>
      <c r="G61" s="342"/>
      <c r="H61" s="342"/>
      <c r="I61" s="342"/>
      <c r="J61" s="342"/>
      <c r="K61" s="342"/>
      <c r="L61" s="342"/>
      <c r="M61" s="342"/>
      <c r="N61" s="342"/>
      <c r="O61" s="342"/>
      <c r="P61" s="342"/>
      <c r="Q61" s="342"/>
      <c r="R61" s="342"/>
      <c r="S61" s="342"/>
      <c r="T61" s="342"/>
      <c r="U61" s="342"/>
    </row>
    <row r="62" spans="1:21" ht="12" customHeight="1" x14ac:dyDescent="0.2">
      <c r="A62" s="342"/>
      <c r="B62" s="342"/>
      <c r="C62" s="342"/>
      <c r="D62" s="342"/>
      <c r="E62" s="342"/>
      <c r="F62" s="342"/>
      <c r="G62" s="342"/>
      <c r="H62" s="342"/>
      <c r="I62" s="342"/>
      <c r="J62" s="342"/>
      <c r="K62" s="342"/>
      <c r="L62" s="342"/>
      <c r="M62" s="342"/>
      <c r="N62" s="342"/>
      <c r="O62" s="342"/>
      <c r="P62" s="342"/>
      <c r="Q62" s="342"/>
      <c r="R62" s="342"/>
      <c r="S62" s="342"/>
      <c r="T62" s="342"/>
      <c r="U62" s="342"/>
    </row>
    <row r="63" spans="1:21" ht="12" customHeight="1" x14ac:dyDescent="0.2">
      <c r="A63" s="342"/>
      <c r="B63" s="342"/>
      <c r="C63" s="342"/>
      <c r="D63" s="342"/>
      <c r="E63" s="342"/>
      <c r="F63" s="342"/>
      <c r="G63" s="342"/>
      <c r="H63" s="342"/>
      <c r="I63" s="342"/>
      <c r="J63" s="342"/>
      <c r="K63" s="342"/>
      <c r="L63" s="342"/>
      <c r="M63" s="342"/>
      <c r="N63" s="342"/>
      <c r="O63" s="342"/>
      <c r="P63" s="342"/>
      <c r="Q63" s="342"/>
      <c r="R63" s="342"/>
      <c r="S63" s="342"/>
      <c r="T63" s="342"/>
      <c r="U63" s="342"/>
    </row>
    <row r="64" spans="1:21" ht="12" customHeight="1" x14ac:dyDescent="0.2">
      <c r="A64" s="342"/>
      <c r="B64" s="342"/>
      <c r="C64" s="342"/>
      <c r="D64" s="342"/>
      <c r="E64" s="342"/>
      <c r="F64" s="342"/>
      <c r="G64" s="342"/>
      <c r="H64" s="342"/>
      <c r="I64" s="342"/>
      <c r="J64" s="342"/>
      <c r="K64" s="342"/>
      <c r="L64" s="342"/>
      <c r="M64" s="342"/>
      <c r="N64" s="342"/>
      <c r="O64" s="342"/>
      <c r="P64" s="342"/>
      <c r="Q64" s="342"/>
      <c r="R64" s="342"/>
      <c r="S64" s="342"/>
      <c r="T64" s="342"/>
      <c r="U64" s="342"/>
    </row>
    <row r="65" spans="1:21" ht="12" customHeight="1" x14ac:dyDescent="0.2">
      <c r="A65" s="342"/>
      <c r="B65" s="342"/>
      <c r="C65" s="342"/>
      <c r="D65" s="342"/>
      <c r="E65" s="342"/>
      <c r="F65" s="342"/>
      <c r="G65" s="342"/>
      <c r="H65" s="342"/>
      <c r="I65" s="342"/>
      <c r="J65" s="342"/>
      <c r="K65" s="342"/>
      <c r="L65" s="342"/>
      <c r="M65" s="342"/>
      <c r="N65" s="342"/>
      <c r="O65" s="342"/>
      <c r="P65" s="342"/>
      <c r="Q65" s="342"/>
      <c r="R65" s="342"/>
      <c r="S65" s="342"/>
      <c r="T65" s="342"/>
      <c r="U65" s="342"/>
    </row>
    <row r="66" spans="1:21" ht="12" customHeight="1" x14ac:dyDescent="0.2">
      <c r="A66" s="342"/>
      <c r="B66" s="342"/>
      <c r="C66" s="342"/>
      <c r="D66" s="342"/>
      <c r="E66" s="342"/>
      <c r="F66" s="342"/>
      <c r="G66" s="342"/>
      <c r="H66" s="342"/>
      <c r="I66" s="342"/>
      <c r="J66" s="342"/>
      <c r="K66" s="342"/>
      <c r="L66" s="342"/>
      <c r="M66" s="342"/>
      <c r="N66" s="342"/>
      <c r="O66" s="342"/>
      <c r="P66" s="342"/>
      <c r="Q66" s="342"/>
      <c r="R66" s="342"/>
      <c r="S66" s="342"/>
      <c r="T66" s="342"/>
      <c r="U66" s="342"/>
    </row>
    <row r="67" spans="1:21" ht="12" customHeight="1" x14ac:dyDescent="0.2">
      <c r="A67" s="342"/>
      <c r="B67" s="342"/>
      <c r="C67" s="342"/>
      <c r="D67" s="342"/>
      <c r="E67" s="342"/>
      <c r="F67" s="342"/>
      <c r="G67" s="342"/>
      <c r="H67" s="342"/>
      <c r="I67" s="342"/>
      <c r="J67" s="342"/>
      <c r="K67" s="342"/>
      <c r="L67" s="342"/>
      <c r="M67" s="342"/>
      <c r="N67" s="342"/>
      <c r="O67" s="342"/>
      <c r="P67" s="342"/>
      <c r="Q67" s="342"/>
      <c r="R67" s="342"/>
      <c r="S67" s="342"/>
      <c r="T67" s="342"/>
      <c r="U67" s="342"/>
    </row>
    <row r="68" spans="1:21" ht="12" customHeight="1" x14ac:dyDescent="0.2">
      <c r="A68" s="342"/>
      <c r="B68" s="342"/>
      <c r="C68" s="342"/>
      <c r="D68" s="342"/>
      <c r="E68" s="342"/>
      <c r="F68" s="342"/>
      <c r="G68" s="342"/>
      <c r="H68" s="342"/>
      <c r="I68" s="342"/>
      <c r="J68" s="342"/>
      <c r="K68" s="342"/>
      <c r="L68" s="342"/>
      <c r="M68" s="342"/>
      <c r="N68" s="342"/>
      <c r="O68" s="342"/>
      <c r="P68" s="342"/>
      <c r="Q68" s="342"/>
      <c r="R68" s="342"/>
      <c r="S68" s="342"/>
      <c r="T68" s="342"/>
      <c r="U68" s="342"/>
    </row>
    <row r="69" spans="1:21" ht="12" customHeight="1" x14ac:dyDescent="0.2">
      <c r="A69" s="342"/>
      <c r="B69" s="342"/>
      <c r="C69" s="342"/>
      <c r="D69" s="342"/>
      <c r="E69" s="342"/>
      <c r="F69" s="342"/>
      <c r="G69" s="342"/>
      <c r="H69" s="342"/>
      <c r="I69" s="342"/>
      <c r="J69" s="342"/>
      <c r="K69" s="342"/>
      <c r="L69" s="342"/>
      <c r="M69" s="342"/>
      <c r="N69" s="342"/>
      <c r="O69" s="342"/>
      <c r="P69" s="342"/>
      <c r="Q69" s="342"/>
      <c r="R69" s="342"/>
      <c r="S69" s="342"/>
      <c r="T69" s="342"/>
      <c r="U69" s="342"/>
    </row>
    <row r="70" spans="1:21" ht="12" customHeight="1" x14ac:dyDescent="0.2">
      <c r="A70" s="342"/>
      <c r="B70" s="342"/>
      <c r="C70" s="342"/>
      <c r="D70" s="342"/>
      <c r="E70" s="342"/>
      <c r="F70" s="342"/>
      <c r="G70" s="342"/>
      <c r="H70" s="342"/>
      <c r="I70" s="342"/>
      <c r="J70" s="342"/>
      <c r="K70" s="342"/>
      <c r="L70" s="342"/>
      <c r="M70" s="342"/>
      <c r="N70" s="342"/>
      <c r="O70" s="342"/>
      <c r="P70" s="342"/>
      <c r="Q70" s="342"/>
      <c r="R70" s="342"/>
      <c r="S70" s="342"/>
      <c r="T70" s="342"/>
      <c r="U70" s="342"/>
    </row>
    <row r="71" spans="1:21" ht="12" customHeight="1" x14ac:dyDescent="0.2">
      <c r="A71" s="342"/>
      <c r="B71" s="342"/>
      <c r="C71" s="342"/>
      <c r="D71" s="342"/>
      <c r="E71" s="342"/>
      <c r="F71" s="342"/>
      <c r="G71" s="342"/>
      <c r="H71" s="342"/>
      <c r="I71" s="342"/>
      <c r="J71" s="342"/>
      <c r="K71" s="342"/>
      <c r="L71" s="342"/>
      <c r="M71" s="342"/>
      <c r="N71" s="342"/>
      <c r="O71" s="342"/>
      <c r="P71" s="342"/>
      <c r="Q71" s="342"/>
      <c r="R71" s="342"/>
      <c r="S71" s="342"/>
      <c r="T71" s="342"/>
      <c r="U71" s="342"/>
    </row>
    <row r="72" spans="1:21" ht="12" customHeight="1" x14ac:dyDescent="0.2">
      <c r="A72" s="342"/>
      <c r="B72" s="342"/>
      <c r="C72" s="342"/>
      <c r="D72" s="342"/>
      <c r="E72" s="342"/>
      <c r="F72" s="342"/>
      <c r="G72" s="342"/>
      <c r="H72" s="342"/>
      <c r="I72" s="342"/>
      <c r="J72" s="342"/>
      <c r="K72" s="342"/>
      <c r="L72" s="342"/>
      <c r="M72" s="342"/>
      <c r="N72" s="342"/>
      <c r="O72" s="342"/>
      <c r="P72" s="342"/>
      <c r="Q72" s="342"/>
      <c r="R72" s="342"/>
      <c r="S72" s="342"/>
      <c r="T72" s="342"/>
      <c r="U72" s="342"/>
    </row>
    <row r="73" spans="1:21" ht="12" customHeight="1" x14ac:dyDescent="0.2">
      <c r="A73" s="342"/>
      <c r="B73" s="342"/>
      <c r="C73" s="342"/>
      <c r="D73" s="342"/>
      <c r="E73" s="342"/>
      <c r="F73" s="342"/>
      <c r="G73" s="342"/>
      <c r="H73" s="342"/>
      <c r="I73" s="342"/>
      <c r="J73" s="342"/>
      <c r="K73" s="342"/>
      <c r="L73" s="342"/>
      <c r="M73" s="342"/>
      <c r="N73" s="342"/>
      <c r="O73" s="342"/>
      <c r="P73" s="342"/>
      <c r="Q73" s="342"/>
      <c r="R73" s="342"/>
      <c r="S73" s="342"/>
      <c r="T73" s="342"/>
      <c r="U73" s="342"/>
    </row>
    <row r="74" spans="1:21" ht="12" customHeight="1" x14ac:dyDescent="0.2">
      <c r="A74" s="342"/>
      <c r="B74" s="342"/>
      <c r="C74" s="342"/>
      <c r="D74" s="342"/>
      <c r="E74" s="342"/>
      <c r="F74" s="342"/>
      <c r="G74" s="342"/>
      <c r="H74" s="342"/>
      <c r="I74" s="342"/>
      <c r="J74" s="342"/>
      <c r="K74" s="342"/>
      <c r="L74" s="342"/>
      <c r="M74" s="342"/>
      <c r="N74" s="342"/>
      <c r="O74" s="342"/>
      <c r="P74" s="342"/>
      <c r="Q74" s="342"/>
      <c r="R74" s="342"/>
      <c r="S74" s="342"/>
      <c r="T74" s="342"/>
      <c r="U74" s="342"/>
    </row>
    <row r="75" spans="1:21" ht="12" customHeight="1" x14ac:dyDescent="0.2">
      <c r="A75" s="342"/>
      <c r="B75" s="342"/>
      <c r="C75" s="342"/>
      <c r="D75" s="342"/>
      <c r="E75" s="342"/>
      <c r="F75" s="342"/>
      <c r="G75" s="342"/>
      <c r="H75" s="342"/>
      <c r="I75" s="342"/>
      <c r="J75" s="342"/>
      <c r="K75" s="342"/>
      <c r="L75" s="342"/>
      <c r="M75" s="342"/>
      <c r="N75" s="342"/>
      <c r="O75" s="342"/>
      <c r="P75" s="342"/>
      <c r="Q75" s="342"/>
      <c r="R75" s="342"/>
      <c r="S75" s="342"/>
      <c r="T75" s="342"/>
      <c r="U75" s="342"/>
    </row>
    <row r="76" spans="1:21" ht="12" customHeight="1" x14ac:dyDescent="0.2">
      <c r="A76" s="342"/>
      <c r="B76" s="342"/>
      <c r="C76" s="342"/>
      <c r="D76" s="342"/>
      <c r="E76" s="342"/>
      <c r="F76" s="342"/>
      <c r="G76" s="342"/>
      <c r="H76" s="342"/>
      <c r="I76" s="342"/>
      <c r="J76" s="342"/>
      <c r="K76" s="342"/>
      <c r="L76" s="342"/>
      <c r="M76" s="342"/>
      <c r="N76" s="342"/>
      <c r="O76" s="342"/>
      <c r="P76" s="342"/>
      <c r="Q76" s="342"/>
      <c r="R76" s="342"/>
      <c r="S76" s="342"/>
      <c r="T76" s="342"/>
      <c r="U76" s="342"/>
    </row>
    <row r="77" spans="1:21" ht="12" customHeight="1" x14ac:dyDescent="0.2">
      <c r="A77" s="342"/>
      <c r="B77" s="342"/>
      <c r="C77" s="342"/>
      <c r="D77" s="342"/>
      <c r="E77" s="342"/>
      <c r="F77" s="342"/>
      <c r="G77" s="342"/>
      <c r="H77" s="342"/>
      <c r="I77" s="342"/>
      <c r="J77" s="342"/>
      <c r="K77" s="342"/>
      <c r="L77" s="342"/>
      <c r="M77" s="342"/>
      <c r="N77" s="342"/>
      <c r="O77" s="342"/>
      <c r="P77" s="342"/>
      <c r="Q77" s="342"/>
      <c r="R77" s="342"/>
      <c r="S77" s="342"/>
      <c r="T77" s="342"/>
      <c r="U77" s="342"/>
    </row>
    <row r="78" spans="1:21" ht="12" customHeight="1" x14ac:dyDescent="0.2">
      <c r="A78" s="342"/>
      <c r="B78" s="342"/>
      <c r="C78" s="342"/>
      <c r="D78" s="342"/>
      <c r="E78" s="342"/>
      <c r="F78" s="342"/>
      <c r="G78" s="342"/>
      <c r="H78" s="342"/>
      <c r="I78" s="342"/>
      <c r="J78" s="342"/>
      <c r="K78" s="342"/>
      <c r="L78" s="342"/>
      <c r="M78" s="342"/>
      <c r="N78" s="342"/>
      <c r="O78" s="342"/>
      <c r="P78" s="342"/>
      <c r="Q78" s="342"/>
      <c r="R78" s="342"/>
      <c r="S78" s="342"/>
      <c r="T78" s="342"/>
      <c r="U78" s="342"/>
    </row>
    <row r="79" spans="1:21" ht="12" customHeight="1" x14ac:dyDescent="0.2">
      <c r="A79" s="342"/>
      <c r="B79" s="342"/>
      <c r="C79" s="342"/>
      <c r="D79" s="342"/>
      <c r="E79" s="342"/>
      <c r="F79" s="342"/>
      <c r="G79" s="342"/>
      <c r="H79" s="342"/>
      <c r="I79" s="342"/>
      <c r="J79" s="342"/>
      <c r="K79" s="342"/>
      <c r="L79" s="342"/>
      <c r="M79" s="342"/>
      <c r="N79" s="342"/>
      <c r="O79" s="342"/>
      <c r="P79" s="342"/>
      <c r="Q79" s="342"/>
      <c r="R79" s="342"/>
      <c r="S79" s="342"/>
      <c r="T79" s="342"/>
      <c r="U79" s="342"/>
    </row>
    <row r="80" spans="1:21" ht="12" customHeight="1" x14ac:dyDescent="0.2">
      <c r="A80" s="342"/>
      <c r="B80" s="342"/>
      <c r="C80" s="342"/>
      <c r="D80" s="342"/>
      <c r="E80" s="342"/>
      <c r="F80" s="342"/>
      <c r="G80" s="342"/>
      <c r="H80" s="342"/>
      <c r="I80" s="342"/>
      <c r="J80" s="342"/>
      <c r="K80" s="342"/>
      <c r="L80" s="342"/>
      <c r="M80" s="342"/>
      <c r="N80" s="342"/>
      <c r="O80" s="342"/>
      <c r="P80" s="342"/>
      <c r="Q80" s="342"/>
      <c r="R80" s="342"/>
      <c r="S80" s="342"/>
      <c r="T80" s="342"/>
      <c r="U80" s="342"/>
    </row>
    <row r="81" spans="1:21" ht="12" customHeight="1" x14ac:dyDescent="0.2">
      <c r="A81" s="342"/>
      <c r="B81" s="342"/>
      <c r="C81" s="342"/>
      <c r="D81" s="342"/>
      <c r="E81" s="342"/>
      <c r="F81" s="342"/>
      <c r="G81" s="342"/>
      <c r="H81" s="342"/>
      <c r="I81" s="342"/>
      <c r="J81" s="342"/>
      <c r="K81" s="342"/>
      <c r="L81" s="342"/>
      <c r="M81" s="342"/>
      <c r="N81" s="342"/>
      <c r="O81" s="342"/>
      <c r="P81" s="342"/>
      <c r="Q81" s="342"/>
      <c r="R81" s="342"/>
      <c r="S81" s="342"/>
      <c r="T81" s="342"/>
      <c r="U81" s="342"/>
    </row>
    <row r="82" spans="1:21" ht="12" customHeight="1" x14ac:dyDescent="0.2">
      <c r="A82" s="342"/>
      <c r="B82" s="342"/>
      <c r="C82" s="342"/>
      <c r="D82" s="342"/>
      <c r="E82" s="342"/>
      <c r="F82" s="342"/>
      <c r="G82" s="342"/>
      <c r="H82" s="342"/>
      <c r="I82" s="342"/>
      <c r="J82" s="342"/>
      <c r="K82" s="342"/>
      <c r="L82" s="342"/>
      <c r="M82" s="342"/>
      <c r="N82" s="342"/>
      <c r="O82" s="342"/>
      <c r="P82" s="342"/>
      <c r="Q82" s="342"/>
      <c r="R82" s="342"/>
      <c r="S82" s="342"/>
      <c r="T82" s="342"/>
      <c r="U82" s="342"/>
    </row>
    <row r="83" spans="1:21" ht="12" customHeight="1" x14ac:dyDescent="0.2">
      <c r="A83" s="342"/>
      <c r="B83" s="342"/>
      <c r="C83" s="342"/>
      <c r="D83" s="342"/>
      <c r="E83" s="342"/>
      <c r="F83" s="342"/>
      <c r="G83" s="342"/>
      <c r="H83" s="342"/>
      <c r="I83" s="342"/>
      <c r="J83" s="342"/>
      <c r="K83" s="342"/>
      <c r="L83" s="342"/>
      <c r="M83" s="342"/>
      <c r="N83" s="342"/>
      <c r="O83" s="342"/>
      <c r="P83" s="342"/>
      <c r="Q83" s="342"/>
      <c r="R83" s="342"/>
      <c r="S83" s="342"/>
      <c r="T83" s="342"/>
      <c r="U83" s="342"/>
    </row>
    <row r="84" spans="1:21" ht="12" customHeight="1" x14ac:dyDescent="0.2">
      <c r="A84" s="342"/>
      <c r="B84" s="342"/>
      <c r="C84" s="342"/>
      <c r="D84" s="342"/>
      <c r="E84" s="342"/>
      <c r="F84" s="342"/>
      <c r="G84" s="342"/>
      <c r="H84" s="342"/>
      <c r="I84" s="342"/>
      <c r="J84" s="342"/>
      <c r="K84" s="342"/>
      <c r="L84" s="342"/>
      <c r="M84" s="342"/>
      <c r="N84" s="342"/>
      <c r="O84" s="342"/>
      <c r="P84" s="342"/>
      <c r="Q84" s="342"/>
      <c r="R84" s="342"/>
      <c r="S84" s="342"/>
      <c r="T84" s="342"/>
      <c r="U84" s="342"/>
    </row>
    <row r="85" spans="1:21" ht="12" customHeight="1" x14ac:dyDescent="0.2">
      <c r="A85" s="342"/>
      <c r="B85" s="342"/>
      <c r="C85" s="342"/>
      <c r="D85" s="342"/>
      <c r="E85" s="342"/>
      <c r="F85" s="342"/>
      <c r="G85" s="342"/>
      <c r="H85" s="342"/>
      <c r="I85" s="342"/>
      <c r="J85" s="342"/>
      <c r="K85" s="342"/>
      <c r="L85" s="342"/>
      <c r="M85" s="342"/>
      <c r="N85" s="342"/>
      <c r="O85" s="342"/>
      <c r="P85" s="342"/>
      <c r="Q85" s="342"/>
      <c r="R85" s="342"/>
      <c r="S85" s="342"/>
      <c r="T85" s="342"/>
      <c r="U85" s="342"/>
    </row>
    <row r="86" spans="1:21" ht="12" customHeight="1" x14ac:dyDescent="0.2">
      <c r="A86" s="342"/>
      <c r="B86" s="342"/>
      <c r="C86" s="342"/>
      <c r="D86" s="342"/>
      <c r="E86" s="342"/>
      <c r="F86" s="342"/>
      <c r="G86" s="342"/>
      <c r="H86" s="342"/>
      <c r="I86" s="342"/>
      <c r="J86" s="342"/>
      <c r="K86" s="342"/>
      <c r="L86" s="342"/>
      <c r="M86" s="342"/>
      <c r="N86" s="342"/>
      <c r="O86" s="342"/>
      <c r="P86" s="342"/>
      <c r="Q86" s="342"/>
      <c r="R86" s="342"/>
      <c r="S86" s="342"/>
      <c r="T86" s="342"/>
      <c r="U86" s="342"/>
    </row>
    <row r="87" spans="1:21" ht="12" customHeight="1" x14ac:dyDescent="0.2">
      <c r="A87" s="342"/>
      <c r="B87" s="342"/>
      <c r="C87" s="342"/>
      <c r="D87" s="342"/>
      <c r="E87" s="342"/>
      <c r="F87" s="342"/>
      <c r="G87" s="342"/>
      <c r="H87" s="342"/>
      <c r="I87" s="342"/>
      <c r="J87" s="342"/>
      <c r="K87" s="342"/>
      <c r="L87" s="342"/>
      <c r="M87" s="342"/>
      <c r="N87" s="342"/>
      <c r="O87" s="342"/>
      <c r="P87" s="342"/>
      <c r="Q87" s="342"/>
      <c r="R87" s="342"/>
      <c r="S87" s="342"/>
      <c r="T87" s="342"/>
      <c r="U87" s="342"/>
    </row>
    <row r="88" spans="1:21" ht="12" customHeight="1" x14ac:dyDescent="0.2">
      <c r="A88" s="342"/>
      <c r="B88" s="342"/>
      <c r="C88" s="342"/>
      <c r="D88" s="342"/>
      <c r="E88" s="342"/>
      <c r="F88" s="342"/>
      <c r="G88" s="342"/>
      <c r="H88" s="342"/>
      <c r="I88" s="342"/>
      <c r="J88" s="342"/>
      <c r="K88" s="342"/>
      <c r="L88" s="342"/>
      <c r="M88" s="342"/>
      <c r="N88" s="342"/>
      <c r="O88" s="342"/>
      <c r="P88" s="342"/>
      <c r="Q88" s="342"/>
      <c r="R88" s="342"/>
      <c r="S88" s="342"/>
      <c r="T88" s="342"/>
      <c r="U88" s="342"/>
    </row>
    <row r="89" spans="1:21" ht="12" customHeight="1" x14ac:dyDescent="0.2">
      <c r="A89" s="342"/>
      <c r="B89" s="342"/>
      <c r="C89" s="342"/>
      <c r="D89" s="342"/>
      <c r="E89" s="342"/>
      <c r="F89" s="342"/>
      <c r="G89" s="342"/>
      <c r="H89" s="342"/>
      <c r="I89" s="342"/>
      <c r="J89" s="342"/>
      <c r="K89" s="342"/>
      <c r="L89" s="342"/>
      <c r="M89" s="342"/>
      <c r="N89" s="342"/>
      <c r="O89" s="342"/>
      <c r="P89" s="342"/>
      <c r="Q89" s="342"/>
      <c r="R89" s="342"/>
      <c r="S89" s="342"/>
      <c r="T89" s="342"/>
      <c r="U89" s="342"/>
    </row>
    <row r="90" spans="1:21" ht="12" customHeight="1" x14ac:dyDescent="0.2">
      <c r="A90" s="342"/>
      <c r="B90" s="342"/>
      <c r="C90" s="342"/>
      <c r="D90" s="342"/>
      <c r="E90" s="342"/>
      <c r="F90" s="342"/>
      <c r="G90" s="342"/>
      <c r="H90" s="342"/>
      <c r="I90" s="342"/>
      <c r="J90" s="342"/>
      <c r="K90" s="342"/>
      <c r="L90" s="342"/>
      <c r="M90" s="342"/>
      <c r="N90" s="342"/>
      <c r="O90" s="342"/>
      <c r="P90" s="342"/>
      <c r="Q90" s="342"/>
      <c r="R90" s="342"/>
      <c r="S90" s="342"/>
      <c r="T90" s="342"/>
      <c r="U90" s="342"/>
    </row>
    <row r="91" spans="1:21" ht="12" customHeight="1" x14ac:dyDescent="0.2">
      <c r="A91" s="342"/>
      <c r="B91" s="342"/>
      <c r="C91" s="342"/>
      <c r="D91" s="342"/>
      <c r="E91" s="342"/>
      <c r="F91" s="342"/>
      <c r="G91" s="342"/>
      <c r="H91" s="342"/>
      <c r="I91" s="342"/>
      <c r="J91" s="342"/>
      <c r="K91" s="342"/>
      <c r="L91" s="342"/>
      <c r="M91" s="342"/>
      <c r="N91" s="342"/>
      <c r="O91" s="342"/>
      <c r="P91" s="342"/>
      <c r="Q91" s="342"/>
      <c r="R91" s="342"/>
      <c r="S91" s="342"/>
      <c r="T91" s="342"/>
      <c r="U91" s="342"/>
    </row>
    <row r="92" spans="1:21" ht="12" customHeight="1" x14ac:dyDescent="0.2">
      <c r="A92" s="342"/>
      <c r="B92" s="342"/>
      <c r="C92" s="342"/>
      <c r="D92" s="342"/>
      <c r="E92" s="342"/>
      <c r="F92" s="342"/>
      <c r="G92" s="342"/>
      <c r="H92" s="342"/>
      <c r="I92" s="342"/>
      <c r="J92" s="342"/>
      <c r="K92" s="342"/>
      <c r="L92" s="342"/>
      <c r="M92" s="342"/>
      <c r="N92" s="342"/>
      <c r="O92" s="342"/>
      <c r="P92" s="342"/>
      <c r="Q92" s="342"/>
      <c r="R92" s="342"/>
      <c r="S92" s="342"/>
      <c r="T92" s="342"/>
      <c r="U92" s="342"/>
    </row>
    <row r="93" spans="1:21" ht="12" customHeight="1" x14ac:dyDescent="0.2">
      <c r="A93" s="342"/>
      <c r="B93" s="342"/>
      <c r="C93" s="342"/>
      <c r="D93" s="342"/>
      <c r="E93" s="342"/>
      <c r="F93" s="342"/>
      <c r="G93" s="342"/>
      <c r="H93" s="342"/>
      <c r="I93" s="342"/>
      <c r="J93" s="342"/>
      <c r="K93" s="342"/>
      <c r="L93" s="342"/>
      <c r="M93" s="342"/>
      <c r="N93" s="342"/>
      <c r="O93" s="342"/>
      <c r="P93" s="342"/>
      <c r="Q93" s="342"/>
      <c r="R93" s="342"/>
      <c r="S93" s="342"/>
      <c r="T93" s="342"/>
      <c r="U93" s="342"/>
    </row>
    <row r="94" spans="1:21" ht="12" customHeight="1" x14ac:dyDescent="0.2">
      <c r="A94" s="342"/>
      <c r="B94" s="342"/>
      <c r="C94" s="342"/>
      <c r="D94" s="342"/>
      <c r="E94" s="342"/>
      <c r="F94" s="342"/>
      <c r="G94" s="342"/>
      <c r="H94" s="342"/>
      <c r="I94" s="342"/>
      <c r="J94" s="342"/>
      <c r="K94" s="342"/>
      <c r="L94" s="342"/>
      <c r="M94" s="342"/>
      <c r="N94" s="342"/>
      <c r="O94" s="342"/>
      <c r="P94" s="342"/>
      <c r="Q94" s="342"/>
      <c r="R94" s="342"/>
      <c r="S94" s="342"/>
      <c r="T94" s="342"/>
      <c r="U94" s="342"/>
    </row>
    <row r="95" spans="1:21" ht="12" customHeight="1" x14ac:dyDescent="0.2">
      <c r="A95" s="342"/>
      <c r="B95" s="342"/>
      <c r="C95" s="342"/>
      <c r="D95" s="342"/>
      <c r="E95" s="342"/>
      <c r="F95" s="342"/>
      <c r="G95" s="342"/>
      <c r="H95" s="342"/>
      <c r="I95" s="342"/>
      <c r="J95" s="342"/>
      <c r="K95" s="342"/>
      <c r="L95" s="342"/>
      <c r="M95" s="342"/>
      <c r="N95" s="342"/>
      <c r="O95" s="342"/>
      <c r="P95" s="342"/>
      <c r="Q95" s="342"/>
      <c r="R95" s="342"/>
      <c r="S95" s="342"/>
      <c r="T95" s="342"/>
      <c r="U95" s="342"/>
    </row>
    <row r="96" spans="1:21" ht="12" customHeight="1" x14ac:dyDescent="0.2">
      <c r="A96" s="342"/>
      <c r="B96" s="342"/>
      <c r="C96" s="342"/>
      <c r="D96" s="342"/>
      <c r="E96" s="342"/>
      <c r="F96" s="342"/>
      <c r="G96" s="342"/>
      <c r="H96" s="342"/>
      <c r="I96" s="342"/>
      <c r="J96" s="342"/>
      <c r="K96" s="342"/>
      <c r="L96" s="342"/>
      <c r="M96" s="342"/>
      <c r="N96" s="342"/>
      <c r="O96" s="342"/>
      <c r="P96" s="342"/>
      <c r="Q96" s="342"/>
      <c r="R96" s="342"/>
      <c r="S96" s="342"/>
      <c r="T96" s="342"/>
      <c r="U96" s="342"/>
    </row>
    <row r="97" spans="1:21" ht="12" customHeight="1" x14ac:dyDescent="0.2">
      <c r="A97" s="342"/>
      <c r="B97" s="342"/>
      <c r="C97" s="342"/>
      <c r="D97" s="342"/>
      <c r="E97" s="342"/>
      <c r="F97" s="342"/>
      <c r="G97" s="342"/>
      <c r="H97" s="342"/>
      <c r="I97" s="342"/>
      <c r="J97" s="342"/>
      <c r="K97" s="342"/>
      <c r="L97" s="342"/>
      <c r="M97" s="342"/>
      <c r="N97" s="342"/>
      <c r="O97" s="342"/>
      <c r="P97" s="342"/>
      <c r="Q97" s="342"/>
      <c r="R97" s="342"/>
      <c r="S97" s="342"/>
      <c r="T97" s="342"/>
      <c r="U97" s="342"/>
    </row>
    <row r="98" spans="1:21" ht="12" customHeight="1" x14ac:dyDescent="0.2">
      <c r="A98" s="342"/>
      <c r="B98" s="342"/>
      <c r="C98" s="342"/>
      <c r="D98" s="342"/>
      <c r="E98" s="342"/>
      <c r="F98" s="342"/>
      <c r="G98" s="342"/>
      <c r="H98" s="342"/>
      <c r="I98" s="342"/>
      <c r="J98" s="342"/>
      <c r="K98" s="342"/>
      <c r="L98" s="342"/>
      <c r="M98" s="342"/>
      <c r="N98" s="342"/>
      <c r="O98" s="342"/>
      <c r="P98" s="342"/>
      <c r="Q98" s="342"/>
      <c r="R98" s="342"/>
      <c r="S98" s="342"/>
      <c r="T98" s="342"/>
      <c r="U98" s="342"/>
    </row>
    <row r="99" spans="1:21" ht="12" customHeight="1" x14ac:dyDescent="0.2">
      <c r="A99" s="342"/>
      <c r="B99" s="342"/>
      <c r="C99" s="342"/>
      <c r="D99" s="342"/>
      <c r="E99" s="342"/>
      <c r="F99" s="342"/>
      <c r="G99" s="342"/>
      <c r="H99" s="342"/>
      <c r="I99" s="342"/>
      <c r="J99" s="342"/>
      <c r="K99" s="342"/>
      <c r="L99" s="342"/>
      <c r="M99" s="342"/>
      <c r="N99" s="342"/>
      <c r="O99" s="342"/>
      <c r="P99" s="342"/>
      <c r="Q99" s="342"/>
      <c r="R99" s="342"/>
      <c r="S99" s="342"/>
      <c r="T99" s="342"/>
      <c r="U99" s="342"/>
    </row>
    <row r="100" spans="1:21" ht="12" customHeight="1" x14ac:dyDescent="0.2">
      <c r="A100" s="342"/>
      <c r="B100" s="342"/>
      <c r="C100" s="342"/>
      <c r="D100" s="342"/>
      <c r="E100" s="342"/>
      <c r="F100" s="342"/>
      <c r="G100" s="342"/>
      <c r="H100" s="342"/>
      <c r="I100" s="342"/>
      <c r="J100" s="342"/>
      <c r="K100" s="342"/>
      <c r="L100" s="342"/>
      <c r="M100" s="342"/>
      <c r="N100" s="342"/>
      <c r="O100" s="342"/>
      <c r="P100" s="342"/>
      <c r="Q100" s="342"/>
      <c r="R100" s="342"/>
      <c r="S100" s="342"/>
      <c r="T100" s="342"/>
      <c r="U100" s="342"/>
    </row>
  </sheetData>
  <mergeCells count="10">
    <mergeCell ref="J4:J5"/>
    <mergeCell ref="A4:A5"/>
    <mergeCell ref="B4:B5"/>
    <mergeCell ref="C4:C5"/>
    <mergeCell ref="F4:F5"/>
    <mergeCell ref="D4:D5"/>
    <mergeCell ref="E4:E5"/>
    <mergeCell ref="G4:G5"/>
    <mergeCell ref="H4:H5"/>
    <mergeCell ref="I4:I5"/>
  </mergeCells>
  <printOptions horizontalCentered="1"/>
  <pageMargins left="0.25" right="0.25" top="0.75" bottom="0.75" header="0" footer="0"/>
  <pageSetup paperSize="9" orientation="landscape"/>
  <headerFooter>
    <oddHeader>&amp;CPROYECTO DE PRESUPUESTO 2021</oddHeader>
    <oddFooter>&amp;LPROYECTO DE PRESUPUESTO PARA EL AÑO FISCAL 2020 INFORMACIÓN PARA LA COMISIÓN DE PRESUPUESTO Y CUENTA GENERAL DE LA REPÚBLICA DEL CONGRESO DE LA REPÚBLICA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8064A2"/>
    <pageSetUpPr fitToPage="1"/>
  </sheetPr>
  <dimension ref="A1:Z129"/>
  <sheetViews>
    <sheetView showGridLines="0" workbookViewId="0">
      <pane ySplit="4" topLeftCell="A5" activePane="bottomLeft" state="frozen"/>
      <selection pane="bottomLeft" activeCell="B6" sqref="B6"/>
    </sheetView>
  </sheetViews>
  <sheetFormatPr baseColWidth="10" defaultColWidth="14.42578125" defaultRowHeight="15" customHeight="1" x14ac:dyDescent="0.2"/>
  <cols>
    <col min="1" max="1" width="51.5703125" customWidth="1"/>
    <col min="2" max="2" width="9.7109375" customWidth="1"/>
    <col min="3" max="3" width="14.7109375" customWidth="1"/>
    <col min="4" max="4" width="15.28515625" customWidth="1"/>
    <col min="5" max="5" width="18.7109375" customWidth="1"/>
    <col min="6" max="6" width="20" customWidth="1"/>
    <col min="7" max="10" width="14.140625" customWidth="1"/>
    <col min="11" max="11" width="15.140625" customWidth="1"/>
    <col min="12" max="12" width="34.140625" customWidth="1"/>
    <col min="13" max="13" width="14.7109375" customWidth="1"/>
    <col min="14" max="14" width="15.7109375" customWidth="1"/>
    <col min="15" max="15" width="13.7109375" customWidth="1"/>
    <col min="16" max="16" width="15.42578125" customWidth="1"/>
    <col min="17" max="17" width="14.140625" customWidth="1"/>
    <col min="18" max="18" width="16.42578125" customWidth="1"/>
    <col min="19" max="26" width="11.42578125" customWidth="1"/>
  </cols>
  <sheetData>
    <row r="1" spans="1:26" ht="15.75" customHeight="1" x14ac:dyDescent="0.2">
      <c r="A1" s="16" t="s">
        <v>749</v>
      </c>
      <c r="B1" s="16"/>
      <c r="C1" s="16"/>
      <c r="D1" s="16"/>
      <c r="E1" s="16"/>
      <c r="F1" s="590"/>
      <c r="G1" s="590"/>
      <c r="H1" s="590"/>
      <c r="I1" s="590"/>
      <c r="J1" s="590"/>
      <c r="K1" s="213"/>
      <c r="L1" s="343"/>
      <c r="M1" s="213"/>
      <c r="N1" s="213"/>
      <c r="O1" s="213"/>
      <c r="P1" s="213"/>
      <c r="Q1" s="213"/>
      <c r="R1" s="213"/>
      <c r="S1" s="342"/>
      <c r="T1" s="342"/>
      <c r="U1" s="342"/>
      <c r="V1" s="342"/>
      <c r="W1" s="342"/>
      <c r="X1" s="342"/>
      <c r="Y1" s="342"/>
      <c r="Z1" s="342"/>
    </row>
    <row r="2" spans="1:26" ht="12" customHeight="1" x14ac:dyDescent="0.2">
      <c r="A2" s="854" t="s">
        <v>422</v>
      </c>
      <c r="B2" s="804"/>
      <c r="C2" s="804"/>
      <c r="D2" s="804"/>
      <c r="E2" s="804"/>
      <c r="F2" s="590"/>
      <c r="G2" s="590"/>
      <c r="H2" s="590"/>
      <c r="I2" s="590"/>
      <c r="J2" s="590"/>
      <c r="K2" s="213"/>
      <c r="L2" s="343"/>
      <c r="M2" s="213"/>
      <c r="N2" s="213"/>
      <c r="O2" s="213"/>
      <c r="P2" s="213"/>
      <c r="Q2" s="213"/>
      <c r="R2" s="213"/>
      <c r="S2" s="48"/>
      <c r="T2" s="48"/>
      <c r="U2" s="48"/>
      <c r="V2" s="48"/>
      <c r="W2" s="48"/>
      <c r="X2" s="48"/>
      <c r="Y2" s="48"/>
      <c r="Z2" s="48"/>
    </row>
    <row r="3" spans="1:26" ht="6" customHeight="1" x14ac:dyDescent="0.2">
      <c r="A3" s="342"/>
      <c r="B3" s="591"/>
      <c r="C3" s="271"/>
      <c r="D3" s="271"/>
      <c r="E3" s="271"/>
      <c r="F3" s="592"/>
      <c r="G3" s="592"/>
      <c r="H3" s="592"/>
      <c r="I3" s="592"/>
      <c r="J3" s="592"/>
      <c r="K3" s="591"/>
      <c r="L3" s="593"/>
      <c r="M3" s="271"/>
      <c r="N3" s="271"/>
      <c r="O3" s="271"/>
      <c r="P3" s="271"/>
      <c r="Q3" s="271"/>
      <c r="R3" s="271"/>
      <c r="S3" s="342"/>
      <c r="T3" s="342"/>
      <c r="U3" s="342"/>
      <c r="V3" s="342"/>
      <c r="W3" s="342"/>
      <c r="X3" s="342"/>
      <c r="Y3" s="342"/>
      <c r="Z3" s="342"/>
    </row>
    <row r="4" spans="1:26" ht="57" customHeight="1" x14ac:dyDescent="0.2">
      <c r="A4" s="594" t="s">
        <v>750</v>
      </c>
      <c r="B4" s="595" t="s">
        <v>751</v>
      </c>
      <c r="C4" s="595" t="s">
        <v>752</v>
      </c>
      <c r="D4" s="595" t="s">
        <v>753</v>
      </c>
      <c r="E4" s="595" t="s">
        <v>754</v>
      </c>
      <c r="F4" s="596" t="s">
        <v>755</v>
      </c>
      <c r="G4" s="597">
        <v>2019</v>
      </c>
      <c r="H4" s="597">
        <v>2020</v>
      </c>
      <c r="I4" s="597">
        <v>2021</v>
      </c>
      <c r="J4" s="597">
        <v>2022</v>
      </c>
      <c r="K4" s="595" t="s">
        <v>756</v>
      </c>
      <c r="L4" s="598" t="s">
        <v>757</v>
      </c>
      <c r="M4" s="595" t="s">
        <v>758</v>
      </c>
      <c r="N4" s="595" t="s">
        <v>759</v>
      </c>
      <c r="O4" s="595" t="s">
        <v>760</v>
      </c>
      <c r="P4" s="595" t="s">
        <v>761</v>
      </c>
      <c r="Q4" s="595" t="s">
        <v>762</v>
      </c>
      <c r="R4" s="599" t="s">
        <v>763</v>
      </c>
      <c r="S4" s="342"/>
      <c r="T4" s="342"/>
      <c r="U4" s="342"/>
      <c r="V4" s="342"/>
      <c r="W4" s="342"/>
      <c r="X4" s="342"/>
      <c r="Y4" s="342"/>
      <c r="Z4" s="342"/>
    </row>
    <row r="5" spans="1:26" ht="12" customHeight="1" x14ac:dyDescent="0.2">
      <c r="A5" s="600" t="s">
        <v>764</v>
      </c>
      <c r="B5" s="601">
        <v>129371</v>
      </c>
      <c r="C5" s="601" t="s">
        <v>765</v>
      </c>
      <c r="D5" s="601" t="s">
        <v>766</v>
      </c>
      <c r="E5" s="601" t="s">
        <v>767</v>
      </c>
      <c r="F5" s="602">
        <v>4703172.72</v>
      </c>
      <c r="G5" s="602">
        <v>2060898.72</v>
      </c>
      <c r="H5" s="602">
        <v>2642274</v>
      </c>
      <c r="I5" s="602">
        <v>0</v>
      </c>
      <c r="J5" s="602">
        <v>0</v>
      </c>
      <c r="K5" s="601" t="s">
        <v>768</v>
      </c>
      <c r="L5" s="603" t="s">
        <v>769</v>
      </c>
      <c r="M5" s="601">
        <v>180</v>
      </c>
      <c r="N5" s="604">
        <v>43908</v>
      </c>
      <c r="O5" s="601">
        <v>199</v>
      </c>
      <c r="P5" s="604">
        <v>44107</v>
      </c>
      <c r="Q5" s="604">
        <v>44202</v>
      </c>
      <c r="R5" s="605">
        <v>44193</v>
      </c>
      <c r="S5" s="342"/>
      <c r="T5" s="342"/>
      <c r="U5" s="342"/>
      <c r="V5" s="342"/>
      <c r="W5" s="342"/>
      <c r="X5" s="342"/>
      <c r="Y5" s="342"/>
      <c r="Z5" s="342"/>
    </row>
    <row r="6" spans="1:26" ht="12" customHeight="1" x14ac:dyDescent="0.2">
      <c r="A6" s="600" t="s">
        <v>770</v>
      </c>
      <c r="B6" s="601">
        <v>274554</v>
      </c>
      <c r="C6" s="601" t="s">
        <v>765</v>
      </c>
      <c r="D6" s="601" t="s">
        <v>766</v>
      </c>
      <c r="E6" s="601" t="s">
        <v>771</v>
      </c>
      <c r="F6" s="602">
        <v>269664247.55000001</v>
      </c>
      <c r="G6" s="602">
        <v>49124995.75</v>
      </c>
      <c r="H6" s="602">
        <v>65305542</v>
      </c>
      <c r="I6" s="602">
        <v>74296768.099999994</v>
      </c>
      <c r="J6" s="602">
        <v>80936941.700000003</v>
      </c>
      <c r="K6" s="601" t="s">
        <v>772</v>
      </c>
      <c r="L6" s="603" t="s">
        <v>773</v>
      </c>
      <c r="M6" s="601">
        <v>540</v>
      </c>
      <c r="N6" s="604">
        <v>44330</v>
      </c>
      <c r="O6" s="601">
        <v>158</v>
      </c>
      <c r="P6" s="604">
        <v>44488</v>
      </c>
      <c r="Q6" s="604">
        <v>44848</v>
      </c>
      <c r="R6" s="605">
        <v>44908</v>
      </c>
      <c r="S6" s="342"/>
      <c r="T6" s="342"/>
      <c r="U6" s="342"/>
      <c r="V6" s="342"/>
      <c r="W6" s="342"/>
      <c r="X6" s="342"/>
      <c r="Y6" s="342"/>
      <c r="Z6" s="342"/>
    </row>
    <row r="7" spans="1:26" ht="12" customHeight="1" x14ac:dyDescent="0.2">
      <c r="A7" s="600" t="s">
        <v>774</v>
      </c>
      <c r="B7" s="601">
        <v>281373</v>
      </c>
      <c r="C7" s="601" t="s">
        <v>765</v>
      </c>
      <c r="D7" s="601" t="s">
        <v>766</v>
      </c>
      <c r="E7" s="601" t="s">
        <v>775</v>
      </c>
      <c r="F7" s="602">
        <v>2798606.78</v>
      </c>
      <c r="G7" s="602">
        <v>2778606.78</v>
      </c>
      <c r="H7" s="602">
        <v>20000</v>
      </c>
      <c r="I7" s="602">
        <v>0</v>
      </c>
      <c r="J7" s="602">
        <v>0</v>
      </c>
      <c r="K7" s="601" t="s">
        <v>776</v>
      </c>
      <c r="L7" s="603" t="s">
        <v>777</v>
      </c>
      <c r="M7" s="601">
        <v>120</v>
      </c>
      <c r="N7" s="604">
        <v>43629</v>
      </c>
      <c r="O7" s="601">
        <v>58</v>
      </c>
      <c r="P7" s="604">
        <v>43687</v>
      </c>
      <c r="Q7" s="604">
        <v>43759</v>
      </c>
      <c r="R7" s="605">
        <v>43754</v>
      </c>
      <c r="S7" s="342"/>
      <c r="T7" s="342"/>
      <c r="U7" s="342"/>
      <c r="V7" s="342"/>
      <c r="W7" s="342"/>
      <c r="X7" s="342"/>
      <c r="Y7" s="342"/>
      <c r="Z7" s="342"/>
    </row>
    <row r="8" spans="1:26" ht="12" customHeight="1" x14ac:dyDescent="0.2">
      <c r="A8" s="606" t="s">
        <v>778</v>
      </c>
      <c r="B8" s="607">
        <v>284255</v>
      </c>
      <c r="C8" s="607" t="s">
        <v>779</v>
      </c>
      <c r="D8" s="601" t="s">
        <v>766</v>
      </c>
      <c r="E8" s="607" t="s">
        <v>780</v>
      </c>
      <c r="F8" s="602">
        <v>2565082.7799999998</v>
      </c>
      <c r="G8" s="608">
        <v>769524.83</v>
      </c>
      <c r="H8" s="608">
        <v>1795557.95</v>
      </c>
      <c r="I8" s="602">
        <v>0</v>
      </c>
      <c r="J8" s="602">
        <v>0</v>
      </c>
      <c r="K8" s="609">
        <v>43789</v>
      </c>
      <c r="L8" s="610" t="s">
        <v>781</v>
      </c>
      <c r="M8" s="607">
        <v>180</v>
      </c>
      <c r="N8" s="609">
        <v>44081</v>
      </c>
      <c r="O8" s="607" t="s">
        <v>197</v>
      </c>
      <c r="P8" s="609" t="s">
        <v>197</v>
      </c>
      <c r="Q8" s="609" t="s">
        <v>197</v>
      </c>
      <c r="R8" s="611" t="s">
        <v>197</v>
      </c>
      <c r="S8" s="342"/>
      <c r="T8" s="342"/>
      <c r="U8" s="342"/>
      <c r="V8" s="342"/>
      <c r="W8" s="342"/>
      <c r="X8" s="342"/>
      <c r="Y8" s="342"/>
      <c r="Z8" s="342"/>
    </row>
    <row r="9" spans="1:26" ht="12" customHeight="1" x14ac:dyDescent="0.2">
      <c r="A9" s="600" t="s">
        <v>782</v>
      </c>
      <c r="B9" s="601">
        <v>284257</v>
      </c>
      <c r="C9" s="601" t="s">
        <v>765</v>
      </c>
      <c r="D9" s="601" t="s">
        <v>766</v>
      </c>
      <c r="E9" s="601" t="s">
        <v>783</v>
      </c>
      <c r="F9" s="602">
        <v>2808104.66</v>
      </c>
      <c r="G9" s="602">
        <v>1807071.26</v>
      </c>
      <c r="H9" s="602">
        <v>1001033.4</v>
      </c>
      <c r="I9" s="608">
        <v>0</v>
      </c>
      <c r="J9" s="608">
        <v>0</v>
      </c>
      <c r="K9" s="604">
        <v>43713</v>
      </c>
      <c r="L9" s="603" t="s">
        <v>784</v>
      </c>
      <c r="M9" s="601">
        <v>150</v>
      </c>
      <c r="N9" s="604">
        <v>43878</v>
      </c>
      <c r="O9" s="601">
        <v>224</v>
      </c>
      <c r="P9" s="604">
        <v>44122</v>
      </c>
      <c r="Q9" s="604"/>
      <c r="R9" s="605"/>
      <c r="S9" s="342"/>
      <c r="T9" s="342"/>
      <c r="U9" s="342"/>
      <c r="V9" s="342"/>
      <c r="W9" s="342"/>
      <c r="X9" s="342"/>
      <c r="Y9" s="342"/>
      <c r="Z9" s="342"/>
    </row>
    <row r="10" spans="1:26" ht="12" customHeight="1" x14ac:dyDescent="0.2">
      <c r="A10" s="600" t="s">
        <v>785</v>
      </c>
      <c r="B10" s="601">
        <v>285522</v>
      </c>
      <c r="C10" s="601" t="s">
        <v>765</v>
      </c>
      <c r="D10" s="601" t="s">
        <v>766</v>
      </c>
      <c r="E10" s="601" t="s">
        <v>783</v>
      </c>
      <c r="F10" s="602">
        <v>4034680.66</v>
      </c>
      <c r="G10" s="602">
        <v>2617044.92</v>
      </c>
      <c r="H10" s="602">
        <v>1417635.74</v>
      </c>
      <c r="I10" s="608">
        <v>0</v>
      </c>
      <c r="J10" s="608">
        <v>0</v>
      </c>
      <c r="K10" s="604">
        <v>43713</v>
      </c>
      <c r="L10" s="603" t="s">
        <v>784</v>
      </c>
      <c r="M10" s="601">
        <v>180</v>
      </c>
      <c r="N10" s="604">
        <v>43911</v>
      </c>
      <c r="O10" s="601">
        <v>221</v>
      </c>
      <c r="P10" s="604">
        <v>44162</v>
      </c>
      <c r="Q10" s="604"/>
      <c r="R10" s="605"/>
      <c r="S10" s="342"/>
      <c r="T10" s="342"/>
      <c r="U10" s="342"/>
      <c r="V10" s="342"/>
      <c r="W10" s="342"/>
      <c r="X10" s="342"/>
      <c r="Y10" s="342"/>
      <c r="Z10" s="342"/>
    </row>
    <row r="11" spans="1:26" ht="12" customHeight="1" x14ac:dyDescent="0.2">
      <c r="A11" s="600" t="s">
        <v>786</v>
      </c>
      <c r="B11" s="601">
        <v>286898</v>
      </c>
      <c r="C11" s="607" t="s">
        <v>765</v>
      </c>
      <c r="D11" s="601" t="s">
        <v>766</v>
      </c>
      <c r="E11" s="607" t="s">
        <v>787</v>
      </c>
      <c r="F11" s="602">
        <v>3148056.3</v>
      </c>
      <c r="G11" s="608">
        <v>1448969.23</v>
      </c>
      <c r="H11" s="608">
        <v>1699087.07</v>
      </c>
      <c r="I11" s="608">
        <v>0</v>
      </c>
      <c r="J11" s="608">
        <v>0</v>
      </c>
      <c r="K11" s="609">
        <v>43733</v>
      </c>
      <c r="L11" s="612" t="s">
        <v>788</v>
      </c>
      <c r="M11" s="607">
        <v>180</v>
      </c>
      <c r="N11" s="609">
        <v>43953</v>
      </c>
      <c r="O11" s="607">
        <v>191</v>
      </c>
      <c r="P11" s="609">
        <v>44180</v>
      </c>
      <c r="Q11" s="609"/>
      <c r="R11" s="613"/>
      <c r="S11" s="342"/>
      <c r="T11" s="342"/>
      <c r="U11" s="342"/>
      <c r="V11" s="342"/>
      <c r="W11" s="342"/>
      <c r="X11" s="342"/>
      <c r="Y11" s="342"/>
      <c r="Z11" s="342"/>
    </row>
    <row r="12" spans="1:26" ht="12" customHeight="1" x14ac:dyDescent="0.2">
      <c r="A12" s="600" t="s">
        <v>789</v>
      </c>
      <c r="B12" s="601">
        <v>287116</v>
      </c>
      <c r="C12" s="601" t="s">
        <v>765</v>
      </c>
      <c r="D12" s="601" t="s">
        <v>766</v>
      </c>
      <c r="E12" s="601" t="s">
        <v>790</v>
      </c>
      <c r="F12" s="602">
        <v>3094071.44</v>
      </c>
      <c r="G12" s="602">
        <v>996259.79</v>
      </c>
      <c r="H12" s="602">
        <v>1993850.44</v>
      </c>
      <c r="I12" s="602">
        <v>103961.20999999996</v>
      </c>
      <c r="J12" s="602">
        <v>0</v>
      </c>
      <c r="K12" s="604">
        <v>43727</v>
      </c>
      <c r="L12" s="603" t="s">
        <v>791</v>
      </c>
      <c r="M12" s="601">
        <v>180</v>
      </c>
      <c r="N12" s="604">
        <v>43979</v>
      </c>
      <c r="O12" s="601">
        <v>196</v>
      </c>
      <c r="P12" s="604">
        <v>44249</v>
      </c>
      <c r="Q12" s="604"/>
      <c r="R12" s="605"/>
      <c r="S12" s="342"/>
      <c r="T12" s="342"/>
      <c r="U12" s="342"/>
      <c r="V12" s="342"/>
      <c r="W12" s="342"/>
      <c r="X12" s="342"/>
      <c r="Y12" s="342"/>
      <c r="Z12" s="342"/>
    </row>
    <row r="13" spans="1:26" ht="12" customHeight="1" x14ac:dyDescent="0.2">
      <c r="A13" s="600" t="s">
        <v>792</v>
      </c>
      <c r="B13" s="601">
        <v>287681</v>
      </c>
      <c r="C13" s="607" t="s">
        <v>765</v>
      </c>
      <c r="D13" s="601" t="s">
        <v>766</v>
      </c>
      <c r="E13" s="607" t="s">
        <v>793</v>
      </c>
      <c r="F13" s="602">
        <v>3074134.6</v>
      </c>
      <c r="G13" s="608">
        <v>1937480.6500000001</v>
      </c>
      <c r="H13" s="608">
        <v>1104016</v>
      </c>
      <c r="I13" s="608">
        <v>32637.949999999953</v>
      </c>
      <c r="J13" s="608">
        <v>0</v>
      </c>
      <c r="K13" s="609">
        <v>43713</v>
      </c>
      <c r="L13" s="612" t="s">
        <v>794</v>
      </c>
      <c r="M13" s="607">
        <v>180</v>
      </c>
      <c r="N13" s="609">
        <v>43907</v>
      </c>
      <c r="O13" s="607">
        <v>117</v>
      </c>
      <c r="P13" s="609">
        <v>44056</v>
      </c>
      <c r="Q13" s="609">
        <v>44074</v>
      </c>
      <c r="R13" s="613"/>
      <c r="S13" s="342"/>
      <c r="T13" s="342"/>
      <c r="U13" s="342"/>
      <c r="V13" s="342"/>
      <c r="W13" s="342"/>
      <c r="X13" s="342"/>
      <c r="Y13" s="342"/>
      <c r="Z13" s="342"/>
    </row>
    <row r="14" spans="1:26" ht="12" customHeight="1" x14ac:dyDescent="0.2">
      <c r="A14" s="600" t="s">
        <v>795</v>
      </c>
      <c r="B14" s="601">
        <v>288007</v>
      </c>
      <c r="C14" s="601" t="s">
        <v>765</v>
      </c>
      <c r="D14" s="601" t="s">
        <v>766</v>
      </c>
      <c r="E14" s="601" t="s">
        <v>796</v>
      </c>
      <c r="F14" s="602">
        <v>3153711.19</v>
      </c>
      <c r="G14" s="602">
        <v>0</v>
      </c>
      <c r="H14" s="602">
        <v>1156598</v>
      </c>
      <c r="I14" s="602">
        <v>1997113.19</v>
      </c>
      <c r="J14" s="602">
        <v>0</v>
      </c>
      <c r="K14" s="604">
        <v>44076</v>
      </c>
      <c r="L14" s="603" t="s">
        <v>797</v>
      </c>
      <c r="M14" s="601">
        <v>180</v>
      </c>
      <c r="N14" s="604">
        <v>44093</v>
      </c>
      <c r="O14" s="601"/>
      <c r="P14" s="601">
        <v>44268</v>
      </c>
      <c r="Q14" s="604"/>
      <c r="R14" s="605"/>
      <c r="S14" s="342"/>
      <c r="T14" s="342"/>
      <c r="U14" s="342"/>
      <c r="V14" s="342"/>
      <c r="W14" s="342"/>
      <c r="X14" s="342"/>
      <c r="Y14" s="342"/>
      <c r="Z14" s="342"/>
    </row>
    <row r="15" spans="1:26" ht="12" customHeight="1" x14ac:dyDescent="0.2">
      <c r="A15" s="606" t="s">
        <v>798</v>
      </c>
      <c r="B15" s="607">
        <v>288374</v>
      </c>
      <c r="C15" s="607" t="s">
        <v>799</v>
      </c>
      <c r="D15" s="601" t="s">
        <v>766</v>
      </c>
      <c r="E15" s="607" t="s">
        <v>800</v>
      </c>
      <c r="F15" s="602">
        <v>5517394.9699999997</v>
      </c>
      <c r="G15" s="608">
        <v>1655218.49</v>
      </c>
      <c r="H15" s="608">
        <v>3862176.48</v>
      </c>
      <c r="I15" s="602">
        <v>0</v>
      </c>
      <c r="J15" s="602">
        <v>0</v>
      </c>
      <c r="K15" s="609">
        <v>43756</v>
      </c>
      <c r="L15" s="610" t="s">
        <v>801</v>
      </c>
      <c r="M15" s="607">
        <v>180</v>
      </c>
      <c r="N15" s="609">
        <v>44041</v>
      </c>
      <c r="O15" s="614" t="s">
        <v>197</v>
      </c>
      <c r="P15" s="609" t="s">
        <v>197</v>
      </c>
      <c r="Q15" s="609" t="s">
        <v>197</v>
      </c>
      <c r="R15" s="611" t="s">
        <v>197</v>
      </c>
      <c r="S15" s="342"/>
      <c r="T15" s="342"/>
      <c r="U15" s="342"/>
      <c r="V15" s="342"/>
      <c r="W15" s="342"/>
      <c r="X15" s="342"/>
      <c r="Y15" s="342"/>
      <c r="Z15" s="342"/>
    </row>
    <row r="16" spans="1:26" ht="12" customHeight="1" x14ac:dyDescent="0.2">
      <c r="A16" s="600" t="s">
        <v>802</v>
      </c>
      <c r="B16" s="601">
        <v>288417</v>
      </c>
      <c r="C16" s="607" t="s">
        <v>765</v>
      </c>
      <c r="D16" s="601" t="s">
        <v>766</v>
      </c>
      <c r="E16" s="607" t="s">
        <v>803</v>
      </c>
      <c r="F16" s="602">
        <v>3418259.9</v>
      </c>
      <c r="G16" s="608">
        <v>1961331.9100000001</v>
      </c>
      <c r="H16" s="608">
        <v>1456927.99</v>
      </c>
      <c r="I16" s="608">
        <v>0</v>
      </c>
      <c r="J16" s="608">
        <v>0</v>
      </c>
      <c r="K16" s="609">
        <v>43728</v>
      </c>
      <c r="L16" s="612" t="s">
        <v>804</v>
      </c>
      <c r="M16" s="607">
        <v>180</v>
      </c>
      <c r="N16" s="609">
        <v>43927</v>
      </c>
      <c r="O16" s="607">
        <v>155</v>
      </c>
      <c r="P16" s="609">
        <v>44164</v>
      </c>
      <c r="Q16" s="609"/>
      <c r="R16" s="613"/>
      <c r="S16" s="342"/>
      <c r="T16" s="342"/>
      <c r="U16" s="342"/>
      <c r="V16" s="342"/>
      <c r="W16" s="342"/>
      <c r="X16" s="342"/>
      <c r="Y16" s="342"/>
      <c r="Z16" s="342"/>
    </row>
    <row r="17" spans="1:26" ht="12" customHeight="1" x14ac:dyDescent="0.2">
      <c r="A17" s="600" t="s">
        <v>805</v>
      </c>
      <c r="B17" s="601">
        <v>289523</v>
      </c>
      <c r="C17" s="601" t="s">
        <v>765</v>
      </c>
      <c r="D17" s="601" t="s">
        <v>766</v>
      </c>
      <c r="E17" s="601" t="s">
        <v>806</v>
      </c>
      <c r="F17" s="602">
        <v>6767777.7699999996</v>
      </c>
      <c r="G17" s="602">
        <v>1964858.65</v>
      </c>
      <c r="H17" s="602">
        <v>2674371</v>
      </c>
      <c r="I17" s="602">
        <v>2128548.1199999992</v>
      </c>
      <c r="J17" s="602">
        <v>0</v>
      </c>
      <c r="K17" s="604">
        <v>43788</v>
      </c>
      <c r="L17" s="603" t="s">
        <v>807</v>
      </c>
      <c r="M17" s="601">
        <v>270</v>
      </c>
      <c r="N17" s="604">
        <v>44068</v>
      </c>
      <c r="O17" s="601">
        <v>150</v>
      </c>
      <c r="P17" s="604">
        <v>44281</v>
      </c>
      <c r="Q17" s="604"/>
      <c r="R17" s="605"/>
      <c r="S17" s="342"/>
      <c r="T17" s="342"/>
      <c r="U17" s="342"/>
      <c r="V17" s="342"/>
      <c r="W17" s="342"/>
      <c r="X17" s="342"/>
      <c r="Y17" s="342"/>
      <c r="Z17" s="342"/>
    </row>
    <row r="18" spans="1:26" ht="12" customHeight="1" x14ac:dyDescent="0.2">
      <c r="A18" s="600" t="s">
        <v>808</v>
      </c>
      <c r="B18" s="601">
        <v>289563</v>
      </c>
      <c r="C18" s="601" t="s">
        <v>765</v>
      </c>
      <c r="D18" s="601" t="s">
        <v>766</v>
      </c>
      <c r="E18" s="601" t="s">
        <v>809</v>
      </c>
      <c r="F18" s="602">
        <v>2951877.84</v>
      </c>
      <c r="G18" s="602">
        <v>2951877.84</v>
      </c>
      <c r="H18" s="602">
        <v>0</v>
      </c>
      <c r="I18" s="615">
        <v>0</v>
      </c>
      <c r="J18" s="615">
        <v>0</v>
      </c>
      <c r="K18" s="604">
        <v>43525</v>
      </c>
      <c r="L18" s="603" t="s">
        <v>810</v>
      </c>
      <c r="M18" s="601">
        <v>180</v>
      </c>
      <c r="N18" s="604">
        <v>43719</v>
      </c>
      <c r="O18" s="601"/>
      <c r="P18" s="604">
        <v>43734</v>
      </c>
      <c r="Q18" s="604">
        <v>43734</v>
      </c>
      <c r="R18" s="605">
        <v>43846</v>
      </c>
      <c r="S18" s="342"/>
      <c r="T18" s="342"/>
      <c r="U18" s="342"/>
      <c r="V18" s="342"/>
      <c r="W18" s="342"/>
      <c r="X18" s="342"/>
      <c r="Y18" s="342"/>
      <c r="Z18" s="342"/>
    </row>
    <row r="19" spans="1:26" ht="12" customHeight="1" x14ac:dyDescent="0.2">
      <c r="A19" s="600" t="s">
        <v>811</v>
      </c>
      <c r="B19" s="601">
        <v>289572</v>
      </c>
      <c r="C19" s="601" t="s">
        <v>765</v>
      </c>
      <c r="D19" s="601" t="s">
        <v>766</v>
      </c>
      <c r="E19" s="601" t="s">
        <v>812</v>
      </c>
      <c r="F19" s="602">
        <v>2723696.82</v>
      </c>
      <c r="G19" s="602">
        <v>0</v>
      </c>
      <c r="H19" s="602">
        <v>1797640</v>
      </c>
      <c r="I19" s="602">
        <v>926056.81999999983</v>
      </c>
      <c r="J19" s="602">
        <v>0</v>
      </c>
      <c r="K19" s="604">
        <v>43851</v>
      </c>
      <c r="L19" s="603" t="s">
        <v>813</v>
      </c>
      <c r="M19" s="601">
        <v>180</v>
      </c>
      <c r="N19" s="604">
        <v>44044</v>
      </c>
      <c r="O19" s="601"/>
      <c r="P19" s="604">
        <v>44244</v>
      </c>
      <c r="Q19" s="604"/>
      <c r="R19" s="605"/>
      <c r="S19" s="342"/>
      <c r="T19" s="342"/>
      <c r="U19" s="342"/>
      <c r="V19" s="342"/>
      <c r="W19" s="342"/>
      <c r="X19" s="342"/>
      <c r="Y19" s="342"/>
      <c r="Z19" s="342"/>
    </row>
    <row r="20" spans="1:26" ht="12" customHeight="1" x14ac:dyDescent="0.2">
      <c r="A20" s="600" t="s">
        <v>814</v>
      </c>
      <c r="B20" s="601">
        <v>291425</v>
      </c>
      <c r="C20" s="601" t="s">
        <v>765</v>
      </c>
      <c r="D20" s="601" t="s">
        <v>766</v>
      </c>
      <c r="E20" s="601" t="s">
        <v>815</v>
      </c>
      <c r="F20" s="602">
        <v>45112990.430000007</v>
      </c>
      <c r="G20" s="602">
        <v>22962776.199999999</v>
      </c>
      <c r="H20" s="602">
        <v>12527995</v>
      </c>
      <c r="I20" s="602">
        <v>9622219.2300000004</v>
      </c>
      <c r="J20" s="602">
        <v>0</v>
      </c>
      <c r="K20" s="601" t="s">
        <v>816</v>
      </c>
      <c r="L20" s="603" t="s">
        <v>817</v>
      </c>
      <c r="M20" s="601">
        <v>300</v>
      </c>
      <c r="N20" s="604">
        <v>43809</v>
      </c>
      <c r="O20" s="601">
        <v>369</v>
      </c>
      <c r="P20" s="604">
        <v>44178</v>
      </c>
      <c r="Q20" s="604"/>
      <c r="R20" s="616"/>
      <c r="S20" s="342"/>
      <c r="T20" s="342"/>
      <c r="U20" s="342"/>
      <c r="V20" s="342"/>
      <c r="W20" s="342"/>
      <c r="X20" s="342"/>
      <c r="Y20" s="342"/>
      <c r="Z20" s="342"/>
    </row>
    <row r="21" spans="1:26" ht="12" customHeight="1" x14ac:dyDescent="0.2">
      <c r="A21" s="600" t="s">
        <v>818</v>
      </c>
      <c r="B21" s="601">
        <v>291640</v>
      </c>
      <c r="C21" s="607" t="s">
        <v>765</v>
      </c>
      <c r="D21" s="601" t="s">
        <v>766</v>
      </c>
      <c r="E21" s="607" t="s">
        <v>819</v>
      </c>
      <c r="F21" s="602">
        <v>2915309.68</v>
      </c>
      <c r="G21" s="608">
        <v>1184077.18</v>
      </c>
      <c r="H21" s="608">
        <v>1624908.68</v>
      </c>
      <c r="I21" s="608">
        <v>106323.8200000003</v>
      </c>
      <c r="J21" s="608">
        <v>0</v>
      </c>
      <c r="K21" s="609">
        <v>43698</v>
      </c>
      <c r="L21" s="612" t="s">
        <v>820</v>
      </c>
      <c r="M21" s="607">
        <v>150</v>
      </c>
      <c r="N21" s="609">
        <v>43865</v>
      </c>
      <c r="O21" s="607">
        <v>181</v>
      </c>
      <c r="P21" s="609">
        <v>44224</v>
      </c>
      <c r="Q21" s="609"/>
      <c r="R21" s="613"/>
      <c r="S21" s="342"/>
      <c r="T21" s="342"/>
      <c r="U21" s="342"/>
      <c r="V21" s="342"/>
      <c r="W21" s="342"/>
      <c r="X21" s="342"/>
      <c r="Y21" s="342"/>
      <c r="Z21" s="342"/>
    </row>
    <row r="22" spans="1:26" ht="12" customHeight="1" x14ac:dyDescent="0.2">
      <c r="A22" s="600" t="s">
        <v>821</v>
      </c>
      <c r="B22" s="601">
        <v>291778</v>
      </c>
      <c r="C22" s="601" t="s">
        <v>765</v>
      </c>
      <c r="D22" s="601" t="s">
        <v>766</v>
      </c>
      <c r="E22" s="601" t="s">
        <v>822</v>
      </c>
      <c r="F22" s="602">
        <v>3318214.43</v>
      </c>
      <c r="G22" s="602">
        <v>2159318.48</v>
      </c>
      <c r="H22" s="602">
        <v>1158895.95</v>
      </c>
      <c r="I22" s="608">
        <v>0</v>
      </c>
      <c r="J22" s="608">
        <v>0</v>
      </c>
      <c r="K22" s="604">
        <v>43710</v>
      </c>
      <c r="L22" s="603" t="s">
        <v>784</v>
      </c>
      <c r="M22" s="601">
        <v>180</v>
      </c>
      <c r="N22" s="604">
        <v>43905</v>
      </c>
      <c r="O22" s="601">
        <v>153</v>
      </c>
      <c r="P22" s="604">
        <v>44218</v>
      </c>
      <c r="Q22" s="604"/>
      <c r="R22" s="605"/>
      <c r="S22" s="342"/>
      <c r="T22" s="342"/>
      <c r="U22" s="342"/>
      <c r="V22" s="342"/>
      <c r="W22" s="342"/>
      <c r="X22" s="342"/>
      <c r="Y22" s="342"/>
      <c r="Z22" s="342"/>
    </row>
    <row r="23" spans="1:26" ht="12" customHeight="1" x14ac:dyDescent="0.2">
      <c r="A23" s="600" t="s">
        <v>823</v>
      </c>
      <c r="B23" s="601">
        <v>292111</v>
      </c>
      <c r="C23" s="601" t="s">
        <v>779</v>
      </c>
      <c r="D23" s="601" t="s">
        <v>766</v>
      </c>
      <c r="E23" s="601" t="s">
        <v>824</v>
      </c>
      <c r="F23" s="602">
        <v>2175959.4300000002</v>
      </c>
      <c r="G23" s="602">
        <v>652787.82999999996</v>
      </c>
      <c r="H23" s="602">
        <v>1523171.6</v>
      </c>
      <c r="I23" s="602">
        <v>0</v>
      </c>
      <c r="J23" s="602">
        <v>0</v>
      </c>
      <c r="K23" s="604">
        <v>43787</v>
      </c>
      <c r="L23" s="603" t="s">
        <v>825</v>
      </c>
      <c r="M23" s="601">
        <v>180</v>
      </c>
      <c r="N23" s="604">
        <v>44233</v>
      </c>
      <c r="O23" s="601" t="s">
        <v>197</v>
      </c>
      <c r="P23" s="601" t="s">
        <v>197</v>
      </c>
      <c r="Q23" s="604" t="s">
        <v>197</v>
      </c>
      <c r="R23" s="605" t="s">
        <v>197</v>
      </c>
      <c r="S23" s="342"/>
      <c r="T23" s="342"/>
      <c r="U23" s="342"/>
      <c r="V23" s="342"/>
      <c r="W23" s="342"/>
      <c r="X23" s="342"/>
      <c r="Y23" s="342"/>
      <c r="Z23" s="342"/>
    </row>
    <row r="24" spans="1:26" ht="12" customHeight="1" x14ac:dyDescent="0.2">
      <c r="A24" s="606" t="s">
        <v>826</v>
      </c>
      <c r="B24" s="607">
        <v>292482</v>
      </c>
      <c r="C24" s="607" t="s">
        <v>779</v>
      </c>
      <c r="D24" s="601" t="s">
        <v>766</v>
      </c>
      <c r="E24" s="607" t="s">
        <v>827</v>
      </c>
      <c r="F24" s="602">
        <v>3758975.28</v>
      </c>
      <c r="G24" s="608">
        <v>1924643.46</v>
      </c>
      <c r="H24" s="608">
        <v>1834331.82</v>
      </c>
      <c r="I24" s="602">
        <v>0</v>
      </c>
      <c r="J24" s="602">
        <v>0</v>
      </c>
      <c r="K24" s="609">
        <v>43677</v>
      </c>
      <c r="L24" s="610" t="s">
        <v>828</v>
      </c>
      <c r="M24" s="607">
        <v>180</v>
      </c>
      <c r="N24" s="609">
        <v>43926</v>
      </c>
      <c r="O24" s="607" t="s">
        <v>197</v>
      </c>
      <c r="P24" s="609" t="s">
        <v>197</v>
      </c>
      <c r="Q24" s="609" t="s">
        <v>197</v>
      </c>
      <c r="R24" s="611" t="s">
        <v>197</v>
      </c>
      <c r="S24" s="342"/>
      <c r="T24" s="342"/>
      <c r="U24" s="342"/>
      <c r="V24" s="342"/>
      <c r="W24" s="342"/>
      <c r="X24" s="342"/>
      <c r="Y24" s="342"/>
      <c r="Z24" s="342"/>
    </row>
    <row r="25" spans="1:26" ht="12" customHeight="1" x14ac:dyDescent="0.2">
      <c r="A25" s="600" t="s">
        <v>829</v>
      </c>
      <c r="B25" s="601">
        <v>292834</v>
      </c>
      <c r="C25" s="601" t="s">
        <v>830</v>
      </c>
      <c r="D25" s="601" t="s">
        <v>766</v>
      </c>
      <c r="E25" s="601" t="s">
        <v>831</v>
      </c>
      <c r="F25" s="602">
        <v>5252140.97</v>
      </c>
      <c r="G25" s="602">
        <v>525214.1</v>
      </c>
      <c r="H25" s="602">
        <v>3588922</v>
      </c>
      <c r="I25" s="602">
        <v>1138004.8700000001</v>
      </c>
      <c r="J25" s="602">
        <v>0</v>
      </c>
      <c r="K25" s="604">
        <v>43823</v>
      </c>
      <c r="L25" s="603" t="s">
        <v>832</v>
      </c>
      <c r="M25" s="601">
        <v>270</v>
      </c>
      <c r="N25" s="604">
        <v>44114</v>
      </c>
      <c r="O25" s="601">
        <v>183</v>
      </c>
      <c r="P25" s="604">
        <v>44286</v>
      </c>
      <c r="Q25" s="604"/>
      <c r="R25" s="605"/>
      <c r="S25" s="342"/>
      <c r="T25" s="342"/>
      <c r="U25" s="342"/>
      <c r="V25" s="342"/>
      <c r="W25" s="342"/>
      <c r="X25" s="342"/>
      <c r="Y25" s="342"/>
      <c r="Z25" s="342"/>
    </row>
    <row r="26" spans="1:26" ht="12" customHeight="1" x14ac:dyDescent="0.2">
      <c r="A26" s="600" t="s">
        <v>833</v>
      </c>
      <c r="B26" s="601">
        <v>293510</v>
      </c>
      <c r="C26" s="601" t="s">
        <v>765</v>
      </c>
      <c r="D26" s="601" t="s">
        <v>766</v>
      </c>
      <c r="E26" s="601" t="s">
        <v>834</v>
      </c>
      <c r="F26" s="602">
        <v>2900340.68</v>
      </c>
      <c r="G26" s="602">
        <v>903407.52</v>
      </c>
      <c r="H26" s="602">
        <v>1996933.1600000001</v>
      </c>
      <c r="I26" s="608">
        <v>0</v>
      </c>
      <c r="J26" s="608">
        <v>0</v>
      </c>
      <c r="K26" s="604">
        <v>44108</v>
      </c>
      <c r="L26" s="603" t="s">
        <v>835</v>
      </c>
      <c r="M26" s="601">
        <v>210</v>
      </c>
      <c r="N26" s="604">
        <v>43966</v>
      </c>
      <c r="O26" s="601">
        <v>150</v>
      </c>
      <c r="P26" s="604">
        <v>44116</v>
      </c>
      <c r="Q26" s="604"/>
      <c r="R26" s="605"/>
      <c r="S26" s="342"/>
      <c r="T26" s="342"/>
      <c r="U26" s="342"/>
      <c r="V26" s="342"/>
      <c r="W26" s="342"/>
      <c r="X26" s="342"/>
      <c r="Y26" s="342"/>
      <c r="Z26" s="342"/>
    </row>
    <row r="27" spans="1:26" ht="12" customHeight="1" x14ac:dyDescent="0.2">
      <c r="A27" s="600" t="s">
        <v>836</v>
      </c>
      <c r="B27" s="601">
        <v>293717</v>
      </c>
      <c r="C27" s="607" t="s">
        <v>765</v>
      </c>
      <c r="D27" s="601" t="s">
        <v>766</v>
      </c>
      <c r="E27" s="607" t="s">
        <v>837</v>
      </c>
      <c r="F27" s="602">
        <v>4986667</v>
      </c>
      <c r="G27" s="608">
        <v>2615310</v>
      </c>
      <c r="H27" s="608">
        <v>2371357</v>
      </c>
      <c r="I27" s="608">
        <v>0</v>
      </c>
      <c r="J27" s="608">
        <v>0</v>
      </c>
      <c r="K27" s="609">
        <v>43699</v>
      </c>
      <c r="L27" s="612" t="s">
        <v>838</v>
      </c>
      <c r="M27" s="607">
        <v>180</v>
      </c>
      <c r="N27" s="609">
        <v>43905</v>
      </c>
      <c r="O27" s="607">
        <v>97</v>
      </c>
      <c r="P27" s="609">
        <v>44156</v>
      </c>
      <c r="Q27" s="609"/>
      <c r="R27" s="613"/>
      <c r="S27" s="342"/>
      <c r="T27" s="342"/>
      <c r="U27" s="342"/>
      <c r="V27" s="342"/>
      <c r="W27" s="342"/>
      <c r="X27" s="342"/>
      <c r="Y27" s="342"/>
      <c r="Z27" s="342"/>
    </row>
    <row r="28" spans="1:26" ht="12" customHeight="1" x14ac:dyDescent="0.2">
      <c r="A28" s="606" t="s">
        <v>839</v>
      </c>
      <c r="B28" s="607">
        <v>293841</v>
      </c>
      <c r="C28" s="607" t="s">
        <v>799</v>
      </c>
      <c r="D28" s="601" t="s">
        <v>766</v>
      </c>
      <c r="E28" s="607" t="s">
        <v>827</v>
      </c>
      <c r="F28" s="602">
        <v>5559531.2800000003</v>
      </c>
      <c r="G28" s="608">
        <v>2216272.39</v>
      </c>
      <c r="H28" s="608">
        <v>3343258.89</v>
      </c>
      <c r="I28" s="602">
        <v>0</v>
      </c>
      <c r="J28" s="602">
        <v>0</v>
      </c>
      <c r="K28" s="609">
        <v>43672</v>
      </c>
      <c r="L28" s="610" t="s">
        <v>840</v>
      </c>
      <c r="M28" s="607">
        <v>180</v>
      </c>
      <c r="N28" s="609">
        <v>43937</v>
      </c>
      <c r="O28" s="607" t="s">
        <v>197</v>
      </c>
      <c r="P28" s="609" t="s">
        <v>197</v>
      </c>
      <c r="Q28" s="609"/>
      <c r="R28" s="611"/>
      <c r="S28" s="342"/>
      <c r="T28" s="342"/>
      <c r="U28" s="342"/>
      <c r="V28" s="342"/>
      <c r="W28" s="342"/>
      <c r="X28" s="342"/>
      <c r="Y28" s="342"/>
      <c r="Z28" s="342"/>
    </row>
    <row r="29" spans="1:26" ht="12" customHeight="1" x14ac:dyDescent="0.2">
      <c r="A29" s="606" t="s">
        <v>841</v>
      </c>
      <c r="B29" s="607">
        <v>293849</v>
      </c>
      <c r="C29" s="607" t="s">
        <v>799</v>
      </c>
      <c r="D29" s="601" t="s">
        <v>766</v>
      </c>
      <c r="E29" s="607" t="s">
        <v>827</v>
      </c>
      <c r="F29" s="602">
        <v>5378646.21</v>
      </c>
      <c r="G29" s="608">
        <v>2113891.64</v>
      </c>
      <c r="H29" s="608">
        <v>3264754.57</v>
      </c>
      <c r="I29" s="602">
        <v>0</v>
      </c>
      <c r="J29" s="602">
        <v>0</v>
      </c>
      <c r="K29" s="609">
        <v>43672</v>
      </c>
      <c r="L29" s="610" t="s">
        <v>840</v>
      </c>
      <c r="M29" s="607">
        <v>180</v>
      </c>
      <c r="N29" s="609">
        <v>43936</v>
      </c>
      <c r="O29" s="607" t="s">
        <v>197</v>
      </c>
      <c r="P29" s="609" t="s">
        <v>197</v>
      </c>
      <c r="Q29" s="607" t="s">
        <v>197</v>
      </c>
      <c r="R29" s="611" t="s">
        <v>197</v>
      </c>
      <c r="S29" s="342"/>
      <c r="T29" s="342"/>
      <c r="U29" s="342"/>
      <c r="V29" s="342"/>
      <c r="W29" s="342"/>
      <c r="X29" s="342"/>
      <c r="Y29" s="342"/>
      <c r="Z29" s="342"/>
    </row>
    <row r="30" spans="1:26" ht="12" customHeight="1" x14ac:dyDescent="0.2">
      <c r="A30" s="600" t="s">
        <v>842</v>
      </c>
      <c r="B30" s="601">
        <v>294111</v>
      </c>
      <c r="C30" s="607" t="s">
        <v>765</v>
      </c>
      <c r="D30" s="601" t="s">
        <v>766</v>
      </c>
      <c r="E30" s="607" t="s">
        <v>843</v>
      </c>
      <c r="F30" s="602">
        <v>3922997.13</v>
      </c>
      <c r="G30" s="608">
        <v>224574.37</v>
      </c>
      <c r="H30" s="608">
        <v>804053</v>
      </c>
      <c r="I30" s="608">
        <v>2894369.76</v>
      </c>
      <c r="J30" s="608">
        <v>0</v>
      </c>
      <c r="K30" s="609">
        <v>43698</v>
      </c>
      <c r="L30" s="612" t="s">
        <v>844</v>
      </c>
      <c r="M30" s="607">
        <v>180</v>
      </c>
      <c r="N30" s="609">
        <v>43898</v>
      </c>
      <c r="O30" s="607"/>
      <c r="P30" s="609">
        <v>44255</v>
      </c>
      <c r="Q30" s="609"/>
      <c r="R30" s="613"/>
      <c r="S30" s="342"/>
      <c r="T30" s="342"/>
      <c r="U30" s="342"/>
      <c r="V30" s="342"/>
      <c r="W30" s="342"/>
      <c r="X30" s="342"/>
      <c r="Y30" s="342"/>
      <c r="Z30" s="342"/>
    </row>
    <row r="31" spans="1:26" ht="12" customHeight="1" x14ac:dyDescent="0.2">
      <c r="A31" s="606" t="s">
        <v>845</v>
      </c>
      <c r="B31" s="607">
        <v>294386</v>
      </c>
      <c r="C31" s="607" t="s">
        <v>779</v>
      </c>
      <c r="D31" s="601" t="s">
        <v>766</v>
      </c>
      <c r="E31" s="607" t="s">
        <v>846</v>
      </c>
      <c r="F31" s="602">
        <v>3017075.71</v>
      </c>
      <c r="G31" s="608">
        <v>1604803.77</v>
      </c>
      <c r="H31" s="608">
        <v>1412271.94</v>
      </c>
      <c r="I31" s="602">
        <v>0</v>
      </c>
      <c r="J31" s="602">
        <v>0</v>
      </c>
      <c r="K31" s="609">
        <v>43693</v>
      </c>
      <c r="L31" s="610" t="s">
        <v>847</v>
      </c>
      <c r="M31" s="607">
        <v>180</v>
      </c>
      <c r="N31" s="609">
        <v>43921</v>
      </c>
      <c r="O31" s="607">
        <v>171</v>
      </c>
      <c r="P31" s="609">
        <v>44091</v>
      </c>
      <c r="Q31" s="609" t="s">
        <v>197</v>
      </c>
      <c r="R31" s="611" t="s">
        <v>197</v>
      </c>
      <c r="S31" s="342"/>
      <c r="T31" s="342"/>
      <c r="U31" s="342"/>
      <c r="V31" s="342"/>
      <c r="W31" s="342"/>
      <c r="X31" s="342"/>
      <c r="Y31" s="342"/>
      <c r="Z31" s="342"/>
    </row>
    <row r="32" spans="1:26" ht="12" customHeight="1" x14ac:dyDescent="0.2">
      <c r="A32" s="600" t="s">
        <v>848</v>
      </c>
      <c r="B32" s="601">
        <v>295175</v>
      </c>
      <c r="C32" s="607" t="s">
        <v>765</v>
      </c>
      <c r="D32" s="601" t="s">
        <v>766</v>
      </c>
      <c r="E32" s="607" t="s">
        <v>849</v>
      </c>
      <c r="F32" s="602">
        <v>3773955.76</v>
      </c>
      <c r="G32" s="608">
        <v>1473205</v>
      </c>
      <c r="H32" s="608">
        <v>2300750.7599999998</v>
      </c>
      <c r="I32" s="608">
        <v>0</v>
      </c>
      <c r="J32" s="608">
        <v>0</v>
      </c>
      <c r="K32" s="609">
        <v>43705</v>
      </c>
      <c r="L32" s="612" t="s">
        <v>838</v>
      </c>
      <c r="M32" s="607">
        <v>180</v>
      </c>
      <c r="N32" s="609">
        <v>43901</v>
      </c>
      <c r="O32" s="607">
        <v>85</v>
      </c>
      <c r="P32" s="609">
        <v>44216</v>
      </c>
      <c r="Q32" s="609"/>
      <c r="R32" s="613"/>
      <c r="S32" s="342"/>
      <c r="T32" s="342"/>
      <c r="U32" s="342"/>
      <c r="V32" s="342"/>
      <c r="W32" s="342"/>
      <c r="X32" s="342"/>
      <c r="Y32" s="342"/>
      <c r="Z32" s="342"/>
    </row>
    <row r="33" spans="1:26" ht="12" customHeight="1" x14ac:dyDescent="0.2">
      <c r="A33" s="600" t="s">
        <v>850</v>
      </c>
      <c r="B33" s="601">
        <v>295532</v>
      </c>
      <c r="C33" s="601" t="s">
        <v>799</v>
      </c>
      <c r="D33" s="601" t="s">
        <v>766</v>
      </c>
      <c r="E33" s="601" t="s">
        <v>800</v>
      </c>
      <c r="F33" s="602">
        <v>4235185.91</v>
      </c>
      <c r="G33" s="602">
        <v>1270555.77</v>
      </c>
      <c r="H33" s="602">
        <v>2964630.14</v>
      </c>
      <c r="I33" s="602">
        <v>0</v>
      </c>
      <c r="J33" s="602">
        <v>0</v>
      </c>
      <c r="K33" s="604">
        <v>43756</v>
      </c>
      <c r="L33" s="603" t="s">
        <v>851</v>
      </c>
      <c r="M33" s="601">
        <v>210</v>
      </c>
      <c r="N33" s="604">
        <v>44039</v>
      </c>
      <c r="O33" s="601" t="s">
        <v>197</v>
      </c>
      <c r="P33" s="601" t="s">
        <v>197</v>
      </c>
      <c r="Q33" s="604" t="s">
        <v>197</v>
      </c>
      <c r="R33" s="605" t="s">
        <v>197</v>
      </c>
      <c r="S33" s="342"/>
      <c r="T33" s="342"/>
      <c r="U33" s="342"/>
      <c r="V33" s="342"/>
      <c r="W33" s="342"/>
      <c r="X33" s="342"/>
      <c r="Y33" s="342"/>
      <c r="Z33" s="342"/>
    </row>
    <row r="34" spans="1:26" ht="12" customHeight="1" x14ac:dyDescent="0.2">
      <c r="A34" s="606" t="s">
        <v>852</v>
      </c>
      <c r="B34" s="607">
        <v>295582</v>
      </c>
      <c r="C34" s="607" t="s">
        <v>799</v>
      </c>
      <c r="D34" s="601" t="s">
        <v>766</v>
      </c>
      <c r="E34" s="607" t="s">
        <v>853</v>
      </c>
      <c r="F34" s="602">
        <v>2838278.45</v>
      </c>
      <c r="G34" s="608">
        <v>917199.31</v>
      </c>
      <c r="H34" s="608">
        <v>1921079.14</v>
      </c>
      <c r="I34" s="602">
        <v>0</v>
      </c>
      <c r="J34" s="602">
        <v>0</v>
      </c>
      <c r="K34" s="609">
        <v>43756</v>
      </c>
      <c r="L34" s="610" t="s">
        <v>854</v>
      </c>
      <c r="M34" s="607">
        <v>180</v>
      </c>
      <c r="N34" s="609">
        <v>43988</v>
      </c>
      <c r="O34" s="607" t="s">
        <v>197</v>
      </c>
      <c r="P34" s="609" t="s">
        <v>197</v>
      </c>
      <c r="Q34" s="609" t="s">
        <v>197</v>
      </c>
      <c r="R34" s="611" t="s">
        <v>197</v>
      </c>
      <c r="S34" s="342"/>
      <c r="T34" s="342"/>
      <c r="U34" s="342"/>
      <c r="V34" s="342"/>
      <c r="W34" s="342"/>
      <c r="X34" s="342"/>
      <c r="Y34" s="342"/>
      <c r="Z34" s="342"/>
    </row>
    <row r="35" spans="1:26" ht="12" customHeight="1" x14ac:dyDescent="0.2">
      <c r="A35" s="600" t="s">
        <v>855</v>
      </c>
      <c r="B35" s="601">
        <v>295886</v>
      </c>
      <c r="C35" s="601" t="s">
        <v>765</v>
      </c>
      <c r="D35" s="601" t="s">
        <v>766</v>
      </c>
      <c r="E35" s="601" t="s">
        <v>856</v>
      </c>
      <c r="F35" s="602">
        <v>3971190.17</v>
      </c>
      <c r="G35" s="602">
        <v>2283299</v>
      </c>
      <c r="H35" s="602">
        <v>1687891.17</v>
      </c>
      <c r="I35" s="602">
        <v>0</v>
      </c>
      <c r="J35" s="602">
        <v>0</v>
      </c>
      <c r="K35" s="604">
        <v>43741</v>
      </c>
      <c r="L35" s="603" t="s">
        <v>857</v>
      </c>
      <c r="M35" s="601">
        <v>180</v>
      </c>
      <c r="N35" s="604">
        <v>44109</v>
      </c>
      <c r="O35" s="601">
        <v>162</v>
      </c>
      <c r="P35" s="604">
        <v>44271</v>
      </c>
      <c r="Q35" s="604"/>
      <c r="R35" s="605"/>
      <c r="S35" s="342"/>
      <c r="T35" s="342"/>
      <c r="U35" s="342"/>
      <c r="V35" s="342"/>
      <c r="W35" s="342"/>
      <c r="X35" s="342"/>
      <c r="Y35" s="342"/>
      <c r="Z35" s="342"/>
    </row>
    <row r="36" spans="1:26" ht="12" customHeight="1" x14ac:dyDescent="0.2">
      <c r="A36" s="600" t="s">
        <v>858</v>
      </c>
      <c r="B36" s="601">
        <v>297240</v>
      </c>
      <c r="C36" s="601" t="s">
        <v>765</v>
      </c>
      <c r="D36" s="601" t="s">
        <v>766</v>
      </c>
      <c r="E36" s="601" t="s">
        <v>859</v>
      </c>
      <c r="F36" s="602">
        <v>3257068.28</v>
      </c>
      <c r="G36" s="602">
        <v>1383340.51</v>
      </c>
      <c r="H36" s="602">
        <v>1873727.77</v>
      </c>
      <c r="I36" s="608">
        <v>0</v>
      </c>
      <c r="J36" s="608">
        <v>0</v>
      </c>
      <c r="K36" s="604">
        <v>43745</v>
      </c>
      <c r="L36" s="603" t="s">
        <v>860</v>
      </c>
      <c r="M36" s="601">
        <v>180</v>
      </c>
      <c r="N36" s="604">
        <v>43940</v>
      </c>
      <c r="O36" s="601">
        <v>127</v>
      </c>
      <c r="P36" s="604">
        <v>44101</v>
      </c>
      <c r="Q36" s="604">
        <v>44101</v>
      </c>
      <c r="R36" s="605"/>
      <c r="S36" s="342"/>
      <c r="T36" s="342"/>
      <c r="U36" s="342"/>
      <c r="V36" s="342"/>
      <c r="W36" s="342"/>
      <c r="X36" s="342"/>
      <c r="Y36" s="342"/>
      <c r="Z36" s="342"/>
    </row>
    <row r="37" spans="1:26" ht="12" customHeight="1" x14ac:dyDescent="0.2">
      <c r="A37" s="600" t="s">
        <v>861</v>
      </c>
      <c r="B37" s="601">
        <v>297278</v>
      </c>
      <c r="C37" s="607" t="s">
        <v>765</v>
      </c>
      <c r="D37" s="601" t="s">
        <v>766</v>
      </c>
      <c r="E37" s="607" t="s">
        <v>859</v>
      </c>
      <c r="F37" s="602">
        <v>3183935.04</v>
      </c>
      <c r="G37" s="608">
        <v>741863.76</v>
      </c>
      <c r="H37" s="608">
        <v>2442071.2799999998</v>
      </c>
      <c r="I37" s="608">
        <v>0</v>
      </c>
      <c r="J37" s="608">
        <v>0</v>
      </c>
      <c r="K37" s="609">
        <v>43767</v>
      </c>
      <c r="L37" s="612" t="s">
        <v>860</v>
      </c>
      <c r="M37" s="607">
        <v>180</v>
      </c>
      <c r="N37" s="609">
        <v>43964</v>
      </c>
      <c r="O37" s="607">
        <v>126</v>
      </c>
      <c r="P37" s="609">
        <v>44146</v>
      </c>
      <c r="Q37" s="609"/>
      <c r="R37" s="613"/>
      <c r="S37" s="342"/>
      <c r="T37" s="342"/>
      <c r="U37" s="342"/>
      <c r="V37" s="342"/>
      <c r="W37" s="342"/>
      <c r="X37" s="342"/>
      <c r="Y37" s="342"/>
      <c r="Z37" s="342"/>
    </row>
    <row r="38" spans="1:26" ht="12" customHeight="1" x14ac:dyDescent="0.2">
      <c r="A38" s="600" t="s">
        <v>862</v>
      </c>
      <c r="B38" s="601">
        <v>297645</v>
      </c>
      <c r="C38" s="607" t="s">
        <v>765</v>
      </c>
      <c r="D38" s="601" t="s">
        <v>766</v>
      </c>
      <c r="E38" s="607" t="s">
        <v>863</v>
      </c>
      <c r="F38" s="602">
        <v>2931965.29</v>
      </c>
      <c r="G38" s="608">
        <v>1629477.9500000002</v>
      </c>
      <c r="H38" s="608">
        <v>1302487.3400000001</v>
      </c>
      <c r="I38" s="608">
        <v>0</v>
      </c>
      <c r="J38" s="608">
        <v>0</v>
      </c>
      <c r="K38" s="609">
        <v>43713</v>
      </c>
      <c r="L38" s="612" t="s">
        <v>864</v>
      </c>
      <c r="M38" s="607">
        <v>180</v>
      </c>
      <c r="N38" s="609">
        <v>43907</v>
      </c>
      <c r="O38" s="607"/>
      <c r="P38" s="609">
        <v>44016</v>
      </c>
      <c r="Q38" s="609">
        <v>43650</v>
      </c>
      <c r="R38" s="613">
        <v>44094</v>
      </c>
      <c r="S38" s="342"/>
      <c r="T38" s="342"/>
      <c r="U38" s="342"/>
      <c r="V38" s="342"/>
      <c r="W38" s="342"/>
      <c r="X38" s="342"/>
      <c r="Y38" s="342"/>
      <c r="Z38" s="342"/>
    </row>
    <row r="39" spans="1:26" ht="12" customHeight="1" x14ac:dyDescent="0.2">
      <c r="A39" s="600" t="s">
        <v>865</v>
      </c>
      <c r="B39" s="601">
        <v>297646</v>
      </c>
      <c r="C39" s="607" t="s">
        <v>765</v>
      </c>
      <c r="D39" s="601" t="s">
        <v>766</v>
      </c>
      <c r="E39" s="607" t="s">
        <v>866</v>
      </c>
      <c r="F39" s="602">
        <v>3795387.29</v>
      </c>
      <c r="G39" s="608">
        <v>1960492.43</v>
      </c>
      <c r="H39" s="608">
        <v>1834894.86</v>
      </c>
      <c r="I39" s="608">
        <v>0</v>
      </c>
      <c r="J39" s="608">
        <v>0</v>
      </c>
      <c r="K39" s="609">
        <v>43742</v>
      </c>
      <c r="L39" s="612" t="s">
        <v>867</v>
      </c>
      <c r="M39" s="607">
        <v>180</v>
      </c>
      <c r="N39" s="609">
        <v>43941</v>
      </c>
      <c r="O39" s="607">
        <v>145</v>
      </c>
      <c r="P39" s="609">
        <v>44119</v>
      </c>
      <c r="Q39" s="609"/>
      <c r="R39" s="613"/>
      <c r="S39" s="342"/>
      <c r="T39" s="342"/>
      <c r="U39" s="342"/>
      <c r="V39" s="342"/>
      <c r="W39" s="342"/>
      <c r="X39" s="342"/>
      <c r="Y39" s="342"/>
      <c r="Z39" s="342"/>
    </row>
    <row r="40" spans="1:26" ht="12" customHeight="1" x14ac:dyDescent="0.2">
      <c r="A40" s="600" t="s">
        <v>868</v>
      </c>
      <c r="B40" s="601">
        <v>297648</v>
      </c>
      <c r="C40" s="601" t="s">
        <v>869</v>
      </c>
      <c r="D40" s="601" t="s">
        <v>766</v>
      </c>
      <c r="E40" s="601" t="s">
        <v>870</v>
      </c>
      <c r="F40" s="602">
        <v>3713734.18</v>
      </c>
      <c r="G40" s="602">
        <v>510643.35</v>
      </c>
      <c r="H40" s="602">
        <v>3203090.83</v>
      </c>
      <c r="I40" s="602">
        <v>0</v>
      </c>
      <c r="J40" s="602">
        <v>0</v>
      </c>
      <c r="K40" s="604">
        <v>43797</v>
      </c>
      <c r="L40" s="603" t="s">
        <v>871</v>
      </c>
      <c r="M40" s="601">
        <v>180</v>
      </c>
      <c r="N40" s="604">
        <v>44261</v>
      </c>
      <c r="O40" s="601" t="s">
        <v>197</v>
      </c>
      <c r="P40" s="601" t="s">
        <v>197</v>
      </c>
      <c r="Q40" s="604" t="s">
        <v>197</v>
      </c>
      <c r="R40" s="616" t="s">
        <v>197</v>
      </c>
      <c r="S40" s="342"/>
      <c r="T40" s="342"/>
      <c r="U40" s="342"/>
      <c r="V40" s="342"/>
      <c r="W40" s="342"/>
      <c r="X40" s="342"/>
      <c r="Y40" s="342"/>
      <c r="Z40" s="342"/>
    </row>
    <row r="41" spans="1:26" ht="12" customHeight="1" x14ac:dyDescent="0.2">
      <c r="A41" s="606" t="s">
        <v>872</v>
      </c>
      <c r="B41" s="607">
        <v>297649</v>
      </c>
      <c r="C41" s="607" t="s">
        <v>869</v>
      </c>
      <c r="D41" s="601" t="s">
        <v>766</v>
      </c>
      <c r="E41" s="607" t="s">
        <v>870</v>
      </c>
      <c r="F41" s="602">
        <v>6289710.2199999997</v>
      </c>
      <c r="G41" s="608">
        <v>624513.18999999994</v>
      </c>
      <c r="H41" s="608">
        <v>4046338</v>
      </c>
      <c r="I41" s="608">
        <v>1618859.03</v>
      </c>
      <c r="J41" s="608">
        <v>0</v>
      </c>
      <c r="K41" s="609">
        <v>43797</v>
      </c>
      <c r="L41" s="610" t="s">
        <v>871</v>
      </c>
      <c r="M41" s="607">
        <v>180</v>
      </c>
      <c r="N41" s="609">
        <v>44205</v>
      </c>
      <c r="O41" s="607" t="s">
        <v>197</v>
      </c>
      <c r="P41" s="609" t="s">
        <v>197</v>
      </c>
      <c r="Q41" s="609" t="s">
        <v>197</v>
      </c>
      <c r="R41" s="611" t="s">
        <v>197</v>
      </c>
      <c r="S41" s="342"/>
      <c r="T41" s="342"/>
      <c r="U41" s="342"/>
      <c r="V41" s="342"/>
      <c r="W41" s="342"/>
      <c r="X41" s="342"/>
      <c r="Y41" s="342"/>
      <c r="Z41" s="342"/>
    </row>
    <row r="42" spans="1:26" ht="12" customHeight="1" x14ac:dyDescent="0.2">
      <c r="A42" s="600" t="s">
        <v>873</v>
      </c>
      <c r="B42" s="601">
        <v>297653</v>
      </c>
      <c r="C42" s="601" t="s">
        <v>869</v>
      </c>
      <c r="D42" s="601" t="s">
        <v>766</v>
      </c>
      <c r="E42" s="601" t="s">
        <v>870</v>
      </c>
      <c r="F42" s="602">
        <v>4541870.45</v>
      </c>
      <c r="G42" s="602">
        <v>864843.46</v>
      </c>
      <c r="H42" s="602">
        <v>3677026.99</v>
      </c>
      <c r="I42" s="602">
        <v>0</v>
      </c>
      <c r="J42" s="602">
        <v>0</v>
      </c>
      <c r="K42" s="604">
        <v>43797</v>
      </c>
      <c r="L42" s="603" t="s">
        <v>871</v>
      </c>
      <c r="M42" s="601">
        <v>210</v>
      </c>
      <c r="N42" s="604">
        <v>44235</v>
      </c>
      <c r="O42" s="601" t="s">
        <v>197</v>
      </c>
      <c r="P42" s="604" t="s">
        <v>197</v>
      </c>
      <c r="Q42" s="604" t="s">
        <v>197</v>
      </c>
      <c r="R42" s="605" t="s">
        <v>197</v>
      </c>
      <c r="S42" s="342"/>
      <c r="T42" s="342"/>
      <c r="U42" s="342"/>
      <c r="V42" s="342"/>
      <c r="W42" s="342"/>
      <c r="X42" s="342"/>
      <c r="Y42" s="342"/>
      <c r="Z42" s="342"/>
    </row>
    <row r="43" spans="1:26" ht="12" customHeight="1" x14ac:dyDescent="0.2">
      <c r="A43" s="600" t="s">
        <v>874</v>
      </c>
      <c r="B43" s="601">
        <v>297655</v>
      </c>
      <c r="C43" s="607" t="s">
        <v>765</v>
      </c>
      <c r="D43" s="601" t="s">
        <v>766</v>
      </c>
      <c r="E43" s="607" t="s">
        <v>875</v>
      </c>
      <c r="F43" s="602">
        <v>4673926.49</v>
      </c>
      <c r="G43" s="608">
        <v>2324291.73</v>
      </c>
      <c r="H43" s="608">
        <v>2349634.7599999998</v>
      </c>
      <c r="I43" s="608">
        <v>0</v>
      </c>
      <c r="J43" s="608">
        <v>0</v>
      </c>
      <c r="K43" s="609">
        <v>43713</v>
      </c>
      <c r="L43" s="612" t="s">
        <v>876</v>
      </c>
      <c r="M43" s="607">
        <v>180</v>
      </c>
      <c r="N43" s="609">
        <v>43908</v>
      </c>
      <c r="O43" s="607"/>
      <c r="P43" s="609">
        <v>44216</v>
      </c>
      <c r="Q43" s="609"/>
      <c r="R43" s="613"/>
      <c r="S43" s="342"/>
      <c r="T43" s="342"/>
      <c r="U43" s="342"/>
      <c r="V43" s="342"/>
      <c r="W43" s="342"/>
      <c r="X43" s="342"/>
      <c r="Y43" s="342"/>
      <c r="Z43" s="342"/>
    </row>
    <row r="44" spans="1:26" ht="12" customHeight="1" x14ac:dyDescent="0.2">
      <c r="A44" s="600" t="s">
        <v>877</v>
      </c>
      <c r="B44" s="601">
        <v>297659</v>
      </c>
      <c r="C44" s="601" t="s">
        <v>765</v>
      </c>
      <c r="D44" s="601" t="s">
        <v>766</v>
      </c>
      <c r="E44" s="601" t="s">
        <v>878</v>
      </c>
      <c r="F44" s="602">
        <v>4126289.28</v>
      </c>
      <c r="G44" s="602">
        <v>412628.23</v>
      </c>
      <c r="H44" s="602">
        <v>3713661.05</v>
      </c>
      <c r="I44" s="608">
        <v>0</v>
      </c>
      <c r="J44" s="608">
        <v>0</v>
      </c>
      <c r="K44" s="604">
        <v>44169</v>
      </c>
      <c r="L44" s="603" t="s">
        <v>879</v>
      </c>
      <c r="M44" s="601">
        <v>180</v>
      </c>
      <c r="N44" s="604">
        <v>43997</v>
      </c>
      <c r="O44" s="601">
        <v>152</v>
      </c>
      <c r="P44" s="604">
        <v>44149</v>
      </c>
      <c r="Q44" s="604"/>
      <c r="R44" s="605"/>
      <c r="S44" s="342"/>
      <c r="T44" s="342"/>
      <c r="U44" s="342"/>
      <c r="V44" s="342"/>
      <c r="W44" s="342"/>
      <c r="X44" s="342"/>
      <c r="Y44" s="342"/>
      <c r="Z44" s="342"/>
    </row>
    <row r="45" spans="1:26" ht="12" customHeight="1" x14ac:dyDescent="0.2">
      <c r="A45" s="606" t="s">
        <v>880</v>
      </c>
      <c r="B45" s="607">
        <v>298146</v>
      </c>
      <c r="C45" s="607" t="s">
        <v>799</v>
      </c>
      <c r="D45" s="601" t="s">
        <v>766</v>
      </c>
      <c r="E45" s="607" t="s">
        <v>846</v>
      </c>
      <c r="F45" s="602">
        <v>5469105.2599999998</v>
      </c>
      <c r="G45" s="608">
        <v>1229000</v>
      </c>
      <c r="H45" s="608">
        <v>4240105.26</v>
      </c>
      <c r="I45" s="602">
        <v>0</v>
      </c>
      <c r="J45" s="602">
        <v>0</v>
      </c>
      <c r="K45" s="609">
        <v>43732</v>
      </c>
      <c r="L45" s="610" t="s">
        <v>881</v>
      </c>
      <c r="M45" s="607">
        <v>240</v>
      </c>
      <c r="N45" s="609">
        <v>44139</v>
      </c>
      <c r="O45" s="607" t="s">
        <v>197</v>
      </c>
      <c r="P45" s="609" t="s">
        <v>197</v>
      </c>
      <c r="Q45" s="609" t="s">
        <v>197</v>
      </c>
      <c r="R45" s="611" t="s">
        <v>197</v>
      </c>
      <c r="S45" s="342"/>
      <c r="T45" s="342"/>
      <c r="U45" s="342"/>
      <c r="V45" s="342"/>
      <c r="W45" s="342"/>
      <c r="X45" s="342"/>
      <c r="Y45" s="342"/>
      <c r="Z45" s="342"/>
    </row>
    <row r="46" spans="1:26" ht="12" customHeight="1" x14ac:dyDescent="0.2">
      <c r="A46" s="606" t="s">
        <v>882</v>
      </c>
      <c r="B46" s="607">
        <v>298444</v>
      </c>
      <c r="C46" s="601" t="s">
        <v>799</v>
      </c>
      <c r="D46" s="601" t="s">
        <v>766</v>
      </c>
      <c r="E46" s="607" t="s">
        <v>846</v>
      </c>
      <c r="F46" s="602">
        <v>7232488.1600000001</v>
      </c>
      <c r="G46" s="608">
        <v>1841303.55</v>
      </c>
      <c r="H46" s="608">
        <v>5391184.6100000003</v>
      </c>
      <c r="I46" s="602">
        <v>0</v>
      </c>
      <c r="J46" s="602">
        <v>0</v>
      </c>
      <c r="K46" s="609">
        <v>43732</v>
      </c>
      <c r="L46" s="612" t="s">
        <v>881</v>
      </c>
      <c r="M46" s="607">
        <v>240</v>
      </c>
      <c r="N46" s="617">
        <v>44260</v>
      </c>
      <c r="O46" s="607" t="s">
        <v>197</v>
      </c>
      <c r="P46" s="617" t="s">
        <v>197</v>
      </c>
      <c r="Q46" s="601" t="s">
        <v>197</v>
      </c>
      <c r="R46" s="611" t="s">
        <v>197</v>
      </c>
      <c r="S46" s="342"/>
      <c r="T46" s="342"/>
      <c r="U46" s="342"/>
      <c r="V46" s="342"/>
      <c r="W46" s="342"/>
      <c r="X46" s="342"/>
      <c r="Y46" s="342"/>
      <c r="Z46" s="342"/>
    </row>
    <row r="47" spans="1:26" ht="12" customHeight="1" x14ac:dyDescent="0.2">
      <c r="A47" s="606" t="s">
        <v>883</v>
      </c>
      <c r="B47" s="607">
        <v>300297</v>
      </c>
      <c r="C47" s="607" t="s">
        <v>884</v>
      </c>
      <c r="D47" s="601" t="s">
        <v>766</v>
      </c>
      <c r="E47" s="607" t="s">
        <v>885</v>
      </c>
      <c r="F47" s="602">
        <v>6333992.9699999997</v>
      </c>
      <c r="G47" s="608">
        <v>6005985</v>
      </c>
      <c r="H47" s="608">
        <v>328007.96999999997</v>
      </c>
      <c r="I47" s="602">
        <v>0</v>
      </c>
      <c r="J47" s="602">
        <v>0</v>
      </c>
      <c r="K47" s="609">
        <v>43623</v>
      </c>
      <c r="L47" s="610" t="s">
        <v>886</v>
      </c>
      <c r="M47" s="607">
        <v>180</v>
      </c>
      <c r="N47" s="609">
        <v>43818</v>
      </c>
      <c r="O47" s="607">
        <v>87</v>
      </c>
      <c r="P47" s="609">
        <v>43905</v>
      </c>
      <c r="Q47" s="609">
        <v>44057</v>
      </c>
      <c r="R47" s="613">
        <v>43905</v>
      </c>
      <c r="S47" s="342"/>
      <c r="T47" s="342"/>
      <c r="U47" s="342"/>
      <c r="V47" s="342"/>
      <c r="W47" s="342"/>
      <c r="X47" s="342"/>
      <c r="Y47" s="342"/>
      <c r="Z47" s="342"/>
    </row>
    <row r="48" spans="1:26" ht="12" customHeight="1" x14ac:dyDescent="0.2">
      <c r="A48" s="600" t="s">
        <v>887</v>
      </c>
      <c r="B48" s="601">
        <v>300533</v>
      </c>
      <c r="C48" s="607" t="s">
        <v>884</v>
      </c>
      <c r="D48" s="601" t="s">
        <v>766</v>
      </c>
      <c r="E48" s="607" t="s">
        <v>888</v>
      </c>
      <c r="F48" s="602">
        <v>5583012.0599999996</v>
      </c>
      <c r="G48" s="608">
        <v>5303861.3</v>
      </c>
      <c r="H48" s="608">
        <v>279150.76</v>
      </c>
      <c r="I48" s="602">
        <v>0</v>
      </c>
      <c r="J48" s="602">
        <v>0</v>
      </c>
      <c r="K48" s="609">
        <v>43623</v>
      </c>
      <c r="L48" s="612" t="s">
        <v>886</v>
      </c>
      <c r="M48" s="607">
        <v>180</v>
      </c>
      <c r="N48" s="609">
        <v>43818</v>
      </c>
      <c r="O48" s="609">
        <v>82</v>
      </c>
      <c r="P48" s="609">
        <v>43900</v>
      </c>
      <c r="Q48" s="609">
        <v>44060</v>
      </c>
      <c r="R48" s="613">
        <v>43903</v>
      </c>
      <c r="S48" s="342"/>
      <c r="T48" s="342"/>
      <c r="U48" s="342"/>
      <c r="V48" s="342"/>
      <c r="W48" s="342"/>
      <c r="X48" s="342"/>
      <c r="Y48" s="342"/>
      <c r="Z48" s="342"/>
    </row>
    <row r="49" spans="1:26" ht="12" customHeight="1" x14ac:dyDescent="0.2">
      <c r="A49" s="600" t="s">
        <v>889</v>
      </c>
      <c r="B49" s="601">
        <v>300540</v>
      </c>
      <c r="C49" s="607" t="s">
        <v>884</v>
      </c>
      <c r="D49" s="601" t="s">
        <v>766</v>
      </c>
      <c r="E49" s="607" t="s">
        <v>890</v>
      </c>
      <c r="F49" s="602">
        <v>6054137.4800000004</v>
      </c>
      <c r="G49" s="608">
        <v>5751429.1900000004</v>
      </c>
      <c r="H49" s="608">
        <v>302708.29000000004</v>
      </c>
      <c r="I49" s="602">
        <v>0</v>
      </c>
      <c r="J49" s="602">
        <v>0</v>
      </c>
      <c r="K49" s="609">
        <v>43623</v>
      </c>
      <c r="L49" s="612" t="s">
        <v>891</v>
      </c>
      <c r="M49" s="607">
        <v>180</v>
      </c>
      <c r="N49" s="609">
        <v>43818</v>
      </c>
      <c r="O49" s="609">
        <v>78</v>
      </c>
      <c r="P49" s="609">
        <v>43896</v>
      </c>
      <c r="Q49" s="609">
        <v>44058</v>
      </c>
      <c r="R49" s="613">
        <v>43899</v>
      </c>
      <c r="S49" s="342"/>
      <c r="T49" s="342"/>
      <c r="U49" s="342"/>
      <c r="V49" s="342"/>
      <c r="W49" s="342"/>
      <c r="X49" s="342"/>
      <c r="Y49" s="342"/>
      <c r="Z49" s="342"/>
    </row>
    <row r="50" spans="1:26" ht="12" customHeight="1" x14ac:dyDescent="0.2">
      <c r="A50" s="600" t="s">
        <v>892</v>
      </c>
      <c r="B50" s="601">
        <v>300661</v>
      </c>
      <c r="C50" s="601" t="s">
        <v>765</v>
      </c>
      <c r="D50" s="601" t="s">
        <v>766</v>
      </c>
      <c r="E50" s="601" t="s">
        <v>893</v>
      </c>
      <c r="F50" s="602">
        <v>4328857.04</v>
      </c>
      <c r="G50" s="602">
        <v>2393023.5</v>
      </c>
      <c r="H50" s="602">
        <v>1935833.54</v>
      </c>
      <c r="I50" s="608">
        <v>0</v>
      </c>
      <c r="J50" s="608">
        <v>0</v>
      </c>
      <c r="K50" s="604">
        <v>43726</v>
      </c>
      <c r="L50" s="603" t="s">
        <v>894</v>
      </c>
      <c r="M50" s="601">
        <v>180</v>
      </c>
      <c r="N50" s="604">
        <v>43928</v>
      </c>
      <c r="O50" s="601">
        <v>155</v>
      </c>
      <c r="P50" s="604">
        <v>44159</v>
      </c>
      <c r="Q50" s="604"/>
      <c r="R50" s="605"/>
      <c r="S50" s="342"/>
      <c r="T50" s="342"/>
      <c r="U50" s="342"/>
      <c r="V50" s="342"/>
      <c r="W50" s="342"/>
      <c r="X50" s="342"/>
      <c r="Y50" s="342"/>
      <c r="Z50" s="342"/>
    </row>
    <row r="51" spans="1:26" ht="12" customHeight="1" x14ac:dyDescent="0.2">
      <c r="A51" s="600" t="s">
        <v>895</v>
      </c>
      <c r="B51" s="601">
        <v>300662</v>
      </c>
      <c r="C51" s="601" t="s">
        <v>799</v>
      </c>
      <c r="D51" s="601" t="s">
        <v>766</v>
      </c>
      <c r="E51" s="601" t="s">
        <v>853</v>
      </c>
      <c r="F51" s="602">
        <v>3602324.87</v>
      </c>
      <c r="G51" s="602">
        <v>1106641.81</v>
      </c>
      <c r="H51" s="602">
        <v>2495683.06</v>
      </c>
      <c r="I51" s="602">
        <v>0</v>
      </c>
      <c r="J51" s="602">
        <v>0</v>
      </c>
      <c r="K51" s="604">
        <v>43756</v>
      </c>
      <c r="L51" s="603" t="s">
        <v>854</v>
      </c>
      <c r="M51" s="601">
        <v>180</v>
      </c>
      <c r="N51" s="604">
        <v>43988</v>
      </c>
      <c r="O51" s="601" t="s">
        <v>197</v>
      </c>
      <c r="P51" s="601" t="s">
        <v>197</v>
      </c>
      <c r="Q51" s="604" t="s">
        <v>197</v>
      </c>
      <c r="R51" s="605" t="s">
        <v>197</v>
      </c>
      <c r="S51" s="342"/>
      <c r="T51" s="342"/>
      <c r="U51" s="342"/>
      <c r="V51" s="342"/>
      <c r="W51" s="342"/>
      <c r="X51" s="342"/>
      <c r="Y51" s="342"/>
      <c r="Z51" s="342"/>
    </row>
    <row r="52" spans="1:26" ht="12" customHeight="1" x14ac:dyDescent="0.2">
      <c r="A52" s="600" t="s">
        <v>896</v>
      </c>
      <c r="B52" s="601">
        <v>302281</v>
      </c>
      <c r="C52" s="601" t="s">
        <v>765</v>
      </c>
      <c r="D52" s="601" t="s">
        <v>766</v>
      </c>
      <c r="E52" s="601" t="s">
        <v>897</v>
      </c>
      <c r="F52" s="602">
        <v>3487152.96</v>
      </c>
      <c r="G52" s="602">
        <v>1549774.1099999999</v>
      </c>
      <c r="H52" s="602">
        <v>1937378.85</v>
      </c>
      <c r="I52" s="608">
        <v>0</v>
      </c>
      <c r="J52" s="608">
        <v>0</v>
      </c>
      <c r="K52" s="604">
        <v>43705</v>
      </c>
      <c r="L52" s="603" t="s">
        <v>898</v>
      </c>
      <c r="M52" s="601">
        <v>150</v>
      </c>
      <c r="N52" s="604">
        <v>43874</v>
      </c>
      <c r="O52" s="601">
        <v>181</v>
      </c>
      <c r="P52" s="604">
        <v>44216</v>
      </c>
      <c r="Q52" s="604"/>
      <c r="R52" s="605"/>
      <c r="S52" s="342"/>
      <c r="T52" s="342"/>
      <c r="U52" s="342"/>
      <c r="V52" s="342"/>
      <c r="W52" s="342"/>
      <c r="X52" s="342"/>
      <c r="Y52" s="342"/>
      <c r="Z52" s="342"/>
    </row>
    <row r="53" spans="1:26" ht="12" customHeight="1" x14ac:dyDescent="0.2">
      <c r="A53" s="600" t="s">
        <v>899</v>
      </c>
      <c r="B53" s="601">
        <v>302286</v>
      </c>
      <c r="C53" s="607" t="s">
        <v>765</v>
      </c>
      <c r="D53" s="601" t="s">
        <v>766</v>
      </c>
      <c r="E53" s="607" t="s">
        <v>900</v>
      </c>
      <c r="F53" s="602">
        <v>3880639.65</v>
      </c>
      <c r="G53" s="608">
        <v>3513221.1799999997</v>
      </c>
      <c r="H53" s="608">
        <v>367418.47</v>
      </c>
      <c r="I53" s="608">
        <v>0</v>
      </c>
      <c r="J53" s="608">
        <v>0</v>
      </c>
      <c r="K53" s="609">
        <v>43664</v>
      </c>
      <c r="L53" s="612" t="s">
        <v>901</v>
      </c>
      <c r="M53" s="607">
        <v>150</v>
      </c>
      <c r="N53" s="609">
        <v>43829</v>
      </c>
      <c r="O53" s="607"/>
      <c r="P53" s="609">
        <v>43854</v>
      </c>
      <c r="Q53" s="609">
        <v>43854</v>
      </c>
      <c r="R53" s="613">
        <v>43874</v>
      </c>
      <c r="S53" s="342"/>
      <c r="T53" s="342"/>
      <c r="U53" s="342"/>
      <c r="V53" s="342"/>
      <c r="W53" s="342"/>
      <c r="X53" s="342"/>
      <c r="Y53" s="342"/>
      <c r="Z53" s="342"/>
    </row>
    <row r="54" spans="1:26" ht="12" customHeight="1" x14ac:dyDescent="0.2">
      <c r="A54" s="600" t="s">
        <v>902</v>
      </c>
      <c r="B54" s="601">
        <v>302288</v>
      </c>
      <c r="C54" s="601" t="s">
        <v>765</v>
      </c>
      <c r="D54" s="601" t="s">
        <v>766</v>
      </c>
      <c r="E54" s="601" t="s">
        <v>903</v>
      </c>
      <c r="F54" s="602">
        <v>2372714.38</v>
      </c>
      <c r="G54" s="602">
        <v>2107493.79</v>
      </c>
      <c r="H54" s="602">
        <v>265220.59000000003</v>
      </c>
      <c r="I54" s="602">
        <v>0</v>
      </c>
      <c r="J54" s="602">
        <v>0</v>
      </c>
      <c r="K54" s="604">
        <v>43648</v>
      </c>
      <c r="L54" s="603" t="s">
        <v>904</v>
      </c>
      <c r="M54" s="601">
        <v>150</v>
      </c>
      <c r="N54" s="604">
        <v>43811</v>
      </c>
      <c r="O54" s="601"/>
      <c r="P54" s="604">
        <v>43861</v>
      </c>
      <c r="Q54" s="604">
        <v>43861</v>
      </c>
      <c r="R54" s="605">
        <v>44027</v>
      </c>
      <c r="S54" s="342"/>
      <c r="T54" s="342"/>
      <c r="U54" s="342"/>
      <c r="V54" s="342"/>
      <c r="W54" s="342"/>
      <c r="X54" s="342"/>
      <c r="Y54" s="342"/>
      <c r="Z54" s="342"/>
    </row>
    <row r="55" spans="1:26" ht="12" customHeight="1" x14ac:dyDescent="0.2">
      <c r="A55" s="600" t="s">
        <v>905</v>
      </c>
      <c r="B55" s="601">
        <v>302294</v>
      </c>
      <c r="C55" s="607" t="s">
        <v>765</v>
      </c>
      <c r="D55" s="601" t="s">
        <v>766</v>
      </c>
      <c r="E55" s="607" t="s">
        <v>906</v>
      </c>
      <c r="F55" s="602">
        <v>3405409.81</v>
      </c>
      <c r="G55" s="608">
        <v>2717821</v>
      </c>
      <c r="H55" s="608">
        <v>687588.81</v>
      </c>
      <c r="I55" s="608">
        <v>0</v>
      </c>
      <c r="J55" s="608">
        <v>0</v>
      </c>
      <c r="K55" s="609">
        <v>43677</v>
      </c>
      <c r="L55" s="612" t="s">
        <v>907</v>
      </c>
      <c r="M55" s="607">
        <v>150</v>
      </c>
      <c r="N55" s="609">
        <v>43847</v>
      </c>
      <c r="O55" s="607"/>
      <c r="P55" s="609">
        <v>44076</v>
      </c>
      <c r="Q55" s="609">
        <v>44076</v>
      </c>
      <c r="R55" s="613"/>
      <c r="S55" s="342"/>
      <c r="T55" s="342"/>
      <c r="U55" s="342"/>
      <c r="V55" s="342"/>
      <c r="W55" s="342"/>
      <c r="X55" s="342"/>
      <c r="Y55" s="342"/>
      <c r="Z55" s="342"/>
    </row>
    <row r="56" spans="1:26" ht="12" customHeight="1" x14ac:dyDescent="0.2">
      <c r="A56" s="606" t="s">
        <v>908</v>
      </c>
      <c r="B56" s="607">
        <v>303321</v>
      </c>
      <c r="C56" s="607" t="s">
        <v>799</v>
      </c>
      <c r="D56" s="601" t="s">
        <v>766</v>
      </c>
      <c r="E56" s="607" t="s">
        <v>909</v>
      </c>
      <c r="F56" s="602">
        <v>16599900</v>
      </c>
      <c r="G56" s="608">
        <v>10826830</v>
      </c>
      <c r="H56" s="608">
        <v>5773070</v>
      </c>
      <c r="I56" s="602">
        <v>0</v>
      </c>
      <c r="J56" s="602">
        <v>0</v>
      </c>
      <c r="K56" s="609">
        <v>43703</v>
      </c>
      <c r="L56" s="610" t="s">
        <v>910</v>
      </c>
      <c r="M56" s="607">
        <v>300</v>
      </c>
      <c r="N56" s="609">
        <v>44020</v>
      </c>
      <c r="O56" s="609">
        <v>125</v>
      </c>
      <c r="P56" s="609">
        <v>44145</v>
      </c>
      <c r="Q56" s="607">
        <v>44155</v>
      </c>
      <c r="R56" s="613">
        <v>44148</v>
      </c>
      <c r="S56" s="342"/>
      <c r="T56" s="342"/>
      <c r="U56" s="342"/>
      <c r="V56" s="342"/>
      <c r="W56" s="342"/>
      <c r="X56" s="342"/>
      <c r="Y56" s="342"/>
      <c r="Z56" s="342"/>
    </row>
    <row r="57" spans="1:26" ht="12" customHeight="1" x14ac:dyDescent="0.2">
      <c r="A57" s="600" t="s">
        <v>911</v>
      </c>
      <c r="B57" s="601">
        <v>304779</v>
      </c>
      <c r="C57" s="607" t="s">
        <v>765</v>
      </c>
      <c r="D57" s="601" t="s">
        <v>766</v>
      </c>
      <c r="E57" s="607" t="s">
        <v>912</v>
      </c>
      <c r="F57" s="602">
        <v>4043202.07</v>
      </c>
      <c r="G57" s="608">
        <v>1418904.08</v>
      </c>
      <c r="H57" s="608">
        <v>2473576</v>
      </c>
      <c r="I57" s="608">
        <v>150721.98999999976</v>
      </c>
      <c r="J57" s="608">
        <v>0</v>
      </c>
      <c r="K57" s="609">
        <v>43776</v>
      </c>
      <c r="L57" s="612" t="s">
        <v>913</v>
      </c>
      <c r="M57" s="607">
        <v>210</v>
      </c>
      <c r="N57" s="609">
        <v>44004</v>
      </c>
      <c r="O57" s="607">
        <v>211</v>
      </c>
      <c r="P57" s="609">
        <v>44277</v>
      </c>
      <c r="Q57" s="609"/>
      <c r="R57" s="613"/>
      <c r="S57" s="342"/>
      <c r="T57" s="342"/>
      <c r="U57" s="342"/>
      <c r="V57" s="342"/>
      <c r="W57" s="342"/>
      <c r="X57" s="342"/>
      <c r="Y57" s="342"/>
      <c r="Z57" s="342"/>
    </row>
    <row r="58" spans="1:26" ht="12" customHeight="1" x14ac:dyDescent="0.2">
      <c r="A58" s="606" t="s">
        <v>914</v>
      </c>
      <c r="B58" s="607">
        <v>309772</v>
      </c>
      <c r="C58" s="607" t="s">
        <v>799</v>
      </c>
      <c r="D58" s="601" t="s">
        <v>766</v>
      </c>
      <c r="E58" s="607" t="s">
        <v>909</v>
      </c>
      <c r="F58" s="602">
        <v>14940560.119999999</v>
      </c>
      <c r="G58" s="608">
        <v>8952613.4700000007</v>
      </c>
      <c r="H58" s="608">
        <v>5987946.6499999985</v>
      </c>
      <c r="I58" s="602">
        <v>0</v>
      </c>
      <c r="J58" s="602">
        <v>0</v>
      </c>
      <c r="K58" s="609">
        <v>43710</v>
      </c>
      <c r="L58" s="610" t="s">
        <v>915</v>
      </c>
      <c r="M58" s="607">
        <v>240</v>
      </c>
      <c r="N58" s="609">
        <v>43961</v>
      </c>
      <c r="O58" s="607">
        <v>129</v>
      </c>
      <c r="P58" s="609">
        <v>44090</v>
      </c>
      <c r="Q58" s="609">
        <v>44100</v>
      </c>
      <c r="R58" s="613">
        <v>44093</v>
      </c>
      <c r="S58" s="342"/>
      <c r="T58" s="342"/>
      <c r="U58" s="342"/>
      <c r="V58" s="342"/>
      <c r="W58" s="342"/>
      <c r="X58" s="342"/>
      <c r="Y58" s="342"/>
      <c r="Z58" s="342"/>
    </row>
    <row r="59" spans="1:26" ht="12" customHeight="1" x14ac:dyDescent="0.2">
      <c r="A59" s="600" t="s">
        <v>916</v>
      </c>
      <c r="B59" s="601">
        <v>317531</v>
      </c>
      <c r="C59" s="601" t="s">
        <v>765</v>
      </c>
      <c r="D59" s="601" t="s">
        <v>766</v>
      </c>
      <c r="E59" s="601" t="s">
        <v>917</v>
      </c>
      <c r="F59" s="602">
        <v>5902999.1500000004</v>
      </c>
      <c r="G59" s="602">
        <v>4860266.42</v>
      </c>
      <c r="H59" s="602">
        <v>1042732.73</v>
      </c>
      <c r="I59" s="615">
        <v>0</v>
      </c>
      <c r="J59" s="615">
        <v>0</v>
      </c>
      <c r="K59" s="604">
        <v>43662</v>
      </c>
      <c r="L59" s="603" t="s">
        <v>918</v>
      </c>
      <c r="M59" s="601">
        <v>240</v>
      </c>
      <c r="N59" s="604">
        <v>43917</v>
      </c>
      <c r="O59" s="601"/>
      <c r="P59" s="604">
        <v>44084</v>
      </c>
      <c r="Q59" s="604">
        <v>44085</v>
      </c>
      <c r="R59" s="605">
        <v>44099</v>
      </c>
      <c r="S59" s="342"/>
      <c r="T59" s="342"/>
      <c r="U59" s="342"/>
      <c r="V59" s="342"/>
      <c r="W59" s="342"/>
      <c r="X59" s="342"/>
      <c r="Y59" s="342"/>
      <c r="Z59" s="342"/>
    </row>
    <row r="60" spans="1:26" ht="12" customHeight="1" x14ac:dyDescent="0.2">
      <c r="A60" s="600" t="s">
        <v>919</v>
      </c>
      <c r="B60" s="601">
        <v>371784</v>
      </c>
      <c r="C60" s="607" t="s">
        <v>765</v>
      </c>
      <c r="D60" s="601" t="s">
        <v>766</v>
      </c>
      <c r="E60" s="607" t="s">
        <v>920</v>
      </c>
      <c r="F60" s="602">
        <v>3343248.64</v>
      </c>
      <c r="G60" s="608">
        <v>2714463.5</v>
      </c>
      <c r="H60" s="608">
        <v>628785.14</v>
      </c>
      <c r="I60" s="615">
        <v>0</v>
      </c>
      <c r="J60" s="615">
        <v>0</v>
      </c>
      <c r="K60" s="609">
        <v>43496</v>
      </c>
      <c r="L60" s="612" t="s">
        <v>921</v>
      </c>
      <c r="M60" s="607">
        <v>150</v>
      </c>
      <c r="N60" s="609">
        <v>43647</v>
      </c>
      <c r="O60" s="607">
        <v>28</v>
      </c>
      <c r="P60" s="609">
        <v>43675</v>
      </c>
      <c r="Q60" s="609">
        <v>43759</v>
      </c>
      <c r="R60" s="613">
        <v>43778</v>
      </c>
      <c r="S60" s="342"/>
      <c r="T60" s="342"/>
      <c r="U60" s="342"/>
      <c r="V60" s="342"/>
      <c r="W60" s="342"/>
      <c r="X60" s="342"/>
      <c r="Y60" s="342"/>
      <c r="Z60" s="342"/>
    </row>
    <row r="61" spans="1:26" ht="12" customHeight="1" x14ac:dyDescent="0.2">
      <c r="A61" s="600" t="s">
        <v>922</v>
      </c>
      <c r="B61" s="601">
        <v>387628</v>
      </c>
      <c r="C61" s="601" t="s">
        <v>779</v>
      </c>
      <c r="D61" s="601" t="s">
        <v>766</v>
      </c>
      <c r="E61" s="601" t="s">
        <v>923</v>
      </c>
      <c r="F61" s="602">
        <v>11214767.880000001</v>
      </c>
      <c r="G61" s="602">
        <v>0</v>
      </c>
      <c r="H61" s="602">
        <v>11214767.880000001</v>
      </c>
      <c r="I61" s="602">
        <v>0</v>
      </c>
      <c r="J61" s="602">
        <v>0</v>
      </c>
      <c r="K61" s="604">
        <v>43879</v>
      </c>
      <c r="L61" s="603" t="s">
        <v>924</v>
      </c>
      <c r="M61" s="601">
        <v>270</v>
      </c>
      <c r="N61" s="604">
        <v>44166</v>
      </c>
      <c r="O61" s="601">
        <v>158</v>
      </c>
      <c r="P61" s="604">
        <v>44324</v>
      </c>
      <c r="Q61" s="604">
        <v>44334</v>
      </c>
      <c r="R61" s="605">
        <v>44327</v>
      </c>
      <c r="S61" s="342"/>
      <c r="T61" s="342"/>
      <c r="U61" s="342"/>
      <c r="V61" s="342"/>
      <c r="W61" s="342"/>
      <c r="X61" s="342"/>
      <c r="Y61" s="342"/>
      <c r="Z61" s="342"/>
    </row>
    <row r="62" spans="1:26" ht="12" customHeight="1" x14ac:dyDescent="0.2">
      <c r="A62" s="600" t="s">
        <v>925</v>
      </c>
      <c r="B62" s="601">
        <v>387629</v>
      </c>
      <c r="C62" s="601" t="s">
        <v>779</v>
      </c>
      <c r="D62" s="601" t="s">
        <v>766</v>
      </c>
      <c r="E62" s="601" t="s">
        <v>926</v>
      </c>
      <c r="F62" s="602">
        <v>9311117.9399999995</v>
      </c>
      <c r="G62" s="602">
        <v>0</v>
      </c>
      <c r="H62" s="602">
        <v>7218929</v>
      </c>
      <c r="I62" s="602">
        <v>2092188.9399999995</v>
      </c>
      <c r="J62" s="602">
        <v>0</v>
      </c>
      <c r="K62" s="604">
        <v>43886</v>
      </c>
      <c r="L62" s="603" t="s">
        <v>927</v>
      </c>
      <c r="M62" s="601">
        <v>210</v>
      </c>
      <c r="N62" s="604">
        <v>44112</v>
      </c>
      <c r="O62" s="601">
        <v>154</v>
      </c>
      <c r="P62" s="604">
        <v>44266</v>
      </c>
      <c r="Q62" s="604">
        <v>44276</v>
      </c>
      <c r="R62" s="605">
        <v>44269</v>
      </c>
      <c r="S62" s="342"/>
      <c r="T62" s="342"/>
      <c r="U62" s="342"/>
      <c r="V62" s="342"/>
      <c r="W62" s="342"/>
      <c r="X62" s="342"/>
      <c r="Y62" s="342"/>
      <c r="Z62" s="342"/>
    </row>
    <row r="63" spans="1:26" ht="12" customHeight="1" x14ac:dyDescent="0.2">
      <c r="A63" s="600" t="s">
        <v>928</v>
      </c>
      <c r="B63" s="601">
        <v>387631</v>
      </c>
      <c r="C63" s="601" t="s">
        <v>779</v>
      </c>
      <c r="D63" s="601" t="s">
        <v>766</v>
      </c>
      <c r="E63" s="601" t="s">
        <v>929</v>
      </c>
      <c r="F63" s="602">
        <v>9199503.1099999994</v>
      </c>
      <c r="G63" s="602">
        <v>0</v>
      </c>
      <c r="H63" s="602">
        <v>6983880</v>
      </c>
      <c r="I63" s="602">
        <v>2215623.1099999994</v>
      </c>
      <c r="J63" s="602">
        <v>0</v>
      </c>
      <c r="K63" s="604">
        <v>43886</v>
      </c>
      <c r="L63" s="603" t="s">
        <v>927</v>
      </c>
      <c r="M63" s="601">
        <v>300</v>
      </c>
      <c r="N63" s="604">
        <v>44202</v>
      </c>
      <c r="O63" s="601">
        <v>154</v>
      </c>
      <c r="P63" s="604">
        <v>44356</v>
      </c>
      <c r="Q63" s="604">
        <v>44366</v>
      </c>
      <c r="R63" s="605">
        <v>44359</v>
      </c>
      <c r="S63" s="342"/>
      <c r="T63" s="342"/>
      <c r="U63" s="342"/>
      <c r="V63" s="342"/>
      <c r="W63" s="342"/>
      <c r="X63" s="342"/>
      <c r="Y63" s="342"/>
      <c r="Z63" s="342"/>
    </row>
    <row r="64" spans="1:26" ht="12" customHeight="1" x14ac:dyDescent="0.2">
      <c r="A64" s="600" t="s">
        <v>930</v>
      </c>
      <c r="B64" s="601">
        <v>387638</v>
      </c>
      <c r="C64" s="601" t="s">
        <v>779</v>
      </c>
      <c r="D64" s="601" t="s">
        <v>766</v>
      </c>
      <c r="E64" s="601" t="s">
        <v>931</v>
      </c>
      <c r="F64" s="602">
        <v>7900000</v>
      </c>
      <c r="G64" s="602">
        <v>0</v>
      </c>
      <c r="H64" s="602">
        <v>4582000</v>
      </c>
      <c r="I64" s="602">
        <v>3318000</v>
      </c>
      <c r="J64" s="602">
        <v>0</v>
      </c>
      <c r="K64" s="604">
        <v>43885</v>
      </c>
      <c r="L64" s="603" t="s">
        <v>932</v>
      </c>
      <c r="M64" s="601">
        <v>300</v>
      </c>
      <c r="N64" s="604">
        <v>44342</v>
      </c>
      <c r="O64" s="601">
        <v>0</v>
      </c>
      <c r="P64" s="604">
        <v>44342</v>
      </c>
      <c r="Q64" s="604">
        <v>44352</v>
      </c>
      <c r="R64" s="605">
        <v>44345</v>
      </c>
      <c r="S64" s="342"/>
      <c r="T64" s="342"/>
      <c r="U64" s="342"/>
      <c r="V64" s="342"/>
      <c r="W64" s="342"/>
      <c r="X64" s="342"/>
      <c r="Y64" s="342"/>
      <c r="Z64" s="342"/>
    </row>
    <row r="65" spans="1:26" ht="12" customHeight="1" x14ac:dyDescent="0.2">
      <c r="A65" s="600" t="s">
        <v>933</v>
      </c>
      <c r="B65" s="601">
        <v>387646</v>
      </c>
      <c r="C65" s="601" t="s">
        <v>779</v>
      </c>
      <c r="D65" s="601" t="s">
        <v>766</v>
      </c>
      <c r="E65" s="601" t="s">
        <v>934</v>
      </c>
      <c r="F65" s="602">
        <v>7580817.2199999997</v>
      </c>
      <c r="G65" s="602">
        <v>0</v>
      </c>
      <c r="H65" s="602">
        <v>7415503</v>
      </c>
      <c r="I65" s="602">
        <v>165314.21999999974</v>
      </c>
      <c r="J65" s="602">
        <v>0</v>
      </c>
      <c r="K65" s="604">
        <v>43879</v>
      </c>
      <c r="L65" s="603" t="s">
        <v>935</v>
      </c>
      <c r="M65" s="601">
        <v>210</v>
      </c>
      <c r="N65" s="604">
        <v>44106</v>
      </c>
      <c r="O65" s="601">
        <v>154</v>
      </c>
      <c r="P65" s="604">
        <v>44260</v>
      </c>
      <c r="Q65" s="604">
        <v>44270</v>
      </c>
      <c r="R65" s="605">
        <v>44263</v>
      </c>
      <c r="S65" s="342"/>
      <c r="T65" s="342"/>
      <c r="U65" s="342"/>
      <c r="V65" s="342"/>
      <c r="W65" s="342"/>
      <c r="X65" s="342"/>
      <c r="Y65" s="342"/>
      <c r="Z65" s="342"/>
    </row>
    <row r="66" spans="1:26" ht="12" customHeight="1" x14ac:dyDescent="0.2">
      <c r="A66" s="600" t="s">
        <v>936</v>
      </c>
      <c r="B66" s="601">
        <v>387647</v>
      </c>
      <c r="C66" s="601" t="s">
        <v>779</v>
      </c>
      <c r="D66" s="601" t="s">
        <v>766</v>
      </c>
      <c r="E66" s="601" t="s">
        <v>937</v>
      </c>
      <c r="F66" s="602">
        <v>2997122.8</v>
      </c>
      <c r="G66" s="602">
        <v>0</v>
      </c>
      <c r="H66" s="602">
        <v>2997122.8</v>
      </c>
      <c r="I66" s="602">
        <v>0</v>
      </c>
      <c r="J66" s="602">
        <v>0</v>
      </c>
      <c r="K66" s="604">
        <v>43882</v>
      </c>
      <c r="L66" s="603" t="s">
        <v>938</v>
      </c>
      <c r="M66" s="601">
        <v>120</v>
      </c>
      <c r="N66" s="604">
        <v>44016</v>
      </c>
      <c r="O66" s="601">
        <v>158</v>
      </c>
      <c r="P66" s="604">
        <v>44174</v>
      </c>
      <c r="Q66" s="604">
        <v>44184</v>
      </c>
      <c r="R66" s="605">
        <v>44177</v>
      </c>
      <c r="S66" s="342"/>
      <c r="T66" s="342"/>
      <c r="U66" s="342"/>
      <c r="V66" s="342"/>
      <c r="W66" s="342"/>
      <c r="X66" s="342"/>
      <c r="Y66" s="342"/>
      <c r="Z66" s="342"/>
    </row>
    <row r="67" spans="1:26" ht="12" customHeight="1" x14ac:dyDescent="0.2">
      <c r="A67" s="600" t="s">
        <v>939</v>
      </c>
      <c r="B67" s="601">
        <v>387661</v>
      </c>
      <c r="C67" s="601" t="s">
        <v>779</v>
      </c>
      <c r="D67" s="601" t="s">
        <v>766</v>
      </c>
      <c r="E67" s="601" t="s">
        <v>940</v>
      </c>
      <c r="F67" s="602">
        <v>4921284.2699999996</v>
      </c>
      <c r="G67" s="602">
        <v>0</v>
      </c>
      <c r="H67" s="602">
        <v>4253479</v>
      </c>
      <c r="I67" s="602">
        <v>667805.26999999955</v>
      </c>
      <c r="J67" s="602">
        <v>0</v>
      </c>
      <c r="K67" s="604">
        <v>43879</v>
      </c>
      <c r="L67" s="603" t="s">
        <v>941</v>
      </c>
      <c r="M67" s="601">
        <v>150</v>
      </c>
      <c r="N67" s="604">
        <v>44045</v>
      </c>
      <c r="O67" s="601">
        <v>154</v>
      </c>
      <c r="P67" s="604">
        <v>44199</v>
      </c>
      <c r="Q67" s="604">
        <v>44209</v>
      </c>
      <c r="R67" s="605">
        <v>44202</v>
      </c>
      <c r="S67" s="342"/>
      <c r="T67" s="342"/>
      <c r="U67" s="342"/>
      <c r="V67" s="342"/>
      <c r="W67" s="342"/>
      <c r="X67" s="342"/>
      <c r="Y67" s="342"/>
      <c r="Z67" s="342"/>
    </row>
    <row r="68" spans="1:26" ht="12" customHeight="1" x14ac:dyDescent="0.2">
      <c r="A68" s="600" t="s">
        <v>942</v>
      </c>
      <c r="B68" s="601">
        <v>387667</v>
      </c>
      <c r="C68" s="601" t="s">
        <v>779</v>
      </c>
      <c r="D68" s="601" t="s">
        <v>766</v>
      </c>
      <c r="E68" s="601" t="s">
        <v>937</v>
      </c>
      <c r="F68" s="602">
        <v>7621113.21</v>
      </c>
      <c r="G68" s="602">
        <v>0</v>
      </c>
      <c r="H68" s="602">
        <v>6196027</v>
      </c>
      <c r="I68" s="602">
        <v>1425086.21</v>
      </c>
      <c r="J68" s="602">
        <v>0</v>
      </c>
      <c r="K68" s="604">
        <v>43879</v>
      </c>
      <c r="L68" s="603" t="s">
        <v>943</v>
      </c>
      <c r="M68" s="601">
        <v>210</v>
      </c>
      <c r="N68" s="604">
        <v>44105</v>
      </c>
      <c r="O68" s="601">
        <v>158</v>
      </c>
      <c r="P68" s="604">
        <v>44263</v>
      </c>
      <c r="Q68" s="604" t="str">
        <f ca="1">Q62:Q68</f>
        <v>#REF!</v>
      </c>
      <c r="R68" s="605">
        <v>44266</v>
      </c>
      <c r="S68" s="342"/>
      <c r="T68" s="342"/>
      <c r="U68" s="342"/>
      <c r="V68" s="342"/>
      <c r="W68" s="342"/>
      <c r="X68" s="342"/>
      <c r="Y68" s="342"/>
      <c r="Z68" s="342"/>
    </row>
    <row r="69" spans="1:26" ht="12" customHeight="1" x14ac:dyDescent="0.2">
      <c r="A69" s="606" t="s">
        <v>944</v>
      </c>
      <c r="B69" s="618">
        <v>2001621</v>
      </c>
      <c r="C69" s="618" t="s">
        <v>945</v>
      </c>
      <c r="D69" s="618" t="s">
        <v>766</v>
      </c>
      <c r="E69" s="618" t="s">
        <v>946</v>
      </c>
      <c r="F69" s="615">
        <v>900000</v>
      </c>
      <c r="G69" s="615">
        <v>135270</v>
      </c>
      <c r="H69" s="615">
        <v>273645</v>
      </c>
      <c r="I69" s="615">
        <v>491085</v>
      </c>
      <c r="J69" s="615">
        <v>0</v>
      </c>
      <c r="K69" s="619">
        <v>43683</v>
      </c>
      <c r="L69" s="610" t="s">
        <v>947</v>
      </c>
      <c r="M69" s="618">
        <v>180</v>
      </c>
      <c r="N69" s="619">
        <v>43869</v>
      </c>
      <c r="O69" s="618"/>
      <c r="P69" s="619">
        <v>44049</v>
      </c>
      <c r="Q69" s="619"/>
      <c r="R69" s="611"/>
      <c r="S69" s="342"/>
      <c r="T69" s="342"/>
      <c r="U69" s="342"/>
      <c r="V69" s="342"/>
      <c r="W69" s="342"/>
      <c r="X69" s="342"/>
      <c r="Y69" s="342"/>
      <c r="Z69" s="342"/>
    </row>
    <row r="70" spans="1:26" ht="12" customHeight="1" x14ac:dyDescent="0.2">
      <c r="A70" s="606" t="s">
        <v>948</v>
      </c>
      <c r="B70" s="618">
        <v>2001621</v>
      </c>
      <c r="C70" s="618" t="s">
        <v>945</v>
      </c>
      <c r="D70" s="618" t="s">
        <v>766</v>
      </c>
      <c r="E70" s="618" t="s">
        <v>949</v>
      </c>
      <c r="F70" s="615">
        <v>671340.43</v>
      </c>
      <c r="G70" s="615">
        <v>134670.89000000001</v>
      </c>
      <c r="H70" s="615">
        <v>536669.54</v>
      </c>
      <c r="I70" s="615">
        <v>0</v>
      </c>
      <c r="J70" s="615">
        <v>0</v>
      </c>
      <c r="K70" s="619">
        <v>43683</v>
      </c>
      <c r="L70" s="610" t="s">
        <v>950</v>
      </c>
      <c r="M70" s="618">
        <v>120</v>
      </c>
      <c r="N70" s="619">
        <v>43807</v>
      </c>
      <c r="O70" s="619"/>
      <c r="P70" s="619">
        <v>43829</v>
      </c>
      <c r="Q70" s="618"/>
      <c r="R70" s="620"/>
      <c r="S70" s="342"/>
      <c r="T70" s="342"/>
      <c r="U70" s="342"/>
      <c r="V70" s="342"/>
      <c r="W70" s="342"/>
      <c r="X70" s="342"/>
      <c r="Y70" s="342"/>
      <c r="Z70" s="342"/>
    </row>
    <row r="71" spans="1:26" ht="12" customHeight="1" x14ac:dyDescent="0.2">
      <c r="A71" s="606" t="s">
        <v>951</v>
      </c>
      <c r="B71" s="618">
        <v>2001621</v>
      </c>
      <c r="C71" s="618" t="s">
        <v>945</v>
      </c>
      <c r="D71" s="618" t="s">
        <v>766</v>
      </c>
      <c r="E71" s="618" t="s">
        <v>952</v>
      </c>
      <c r="F71" s="615">
        <v>581544.26</v>
      </c>
      <c r="G71" s="615">
        <v>116308.85</v>
      </c>
      <c r="H71" s="615">
        <v>465235.41</v>
      </c>
      <c r="I71" s="615">
        <v>0</v>
      </c>
      <c r="J71" s="615">
        <v>0</v>
      </c>
      <c r="K71" s="619">
        <v>43747</v>
      </c>
      <c r="L71" s="610" t="s">
        <v>953</v>
      </c>
      <c r="M71" s="618">
        <v>120</v>
      </c>
      <c r="N71" s="619">
        <v>43876</v>
      </c>
      <c r="O71" s="618">
        <v>0</v>
      </c>
      <c r="P71" s="619">
        <v>43876</v>
      </c>
      <c r="Q71" s="619"/>
      <c r="R71" s="620"/>
      <c r="S71" s="342"/>
      <c r="T71" s="342"/>
      <c r="U71" s="342"/>
      <c r="V71" s="342"/>
      <c r="W71" s="342"/>
      <c r="X71" s="342"/>
      <c r="Y71" s="342"/>
      <c r="Z71" s="342"/>
    </row>
    <row r="72" spans="1:26" ht="12" customHeight="1" x14ac:dyDescent="0.2">
      <c r="A72" s="606" t="s">
        <v>954</v>
      </c>
      <c r="B72" s="618">
        <v>2001621</v>
      </c>
      <c r="C72" s="618" t="s">
        <v>945</v>
      </c>
      <c r="D72" s="618" t="s">
        <v>766</v>
      </c>
      <c r="E72" s="618" t="s">
        <v>955</v>
      </c>
      <c r="F72" s="615">
        <v>560000</v>
      </c>
      <c r="G72" s="615">
        <v>224560</v>
      </c>
      <c r="H72" s="615">
        <v>335440</v>
      </c>
      <c r="I72" s="615">
        <v>0</v>
      </c>
      <c r="J72" s="615">
        <v>0</v>
      </c>
      <c r="K72" s="619">
        <v>43664</v>
      </c>
      <c r="L72" s="610" t="s">
        <v>956</v>
      </c>
      <c r="M72" s="618">
        <v>120</v>
      </c>
      <c r="N72" s="619">
        <v>43804</v>
      </c>
      <c r="O72" s="618"/>
      <c r="P72" s="619">
        <v>44137</v>
      </c>
      <c r="Q72" s="618"/>
      <c r="R72" s="620"/>
      <c r="S72" s="342"/>
      <c r="T72" s="342"/>
      <c r="U72" s="342"/>
      <c r="V72" s="342"/>
      <c r="W72" s="342"/>
      <c r="X72" s="342"/>
      <c r="Y72" s="342"/>
      <c r="Z72" s="342"/>
    </row>
    <row r="73" spans="1:26" ht="12" customHeight="1" x14ac:dyDescent="0.2">
      <c r="A73" s="606" t="s">
        <v>957</v>
      </c>
      <c r="B73" s="618">
        <v>2001621</v>
      </c>
      <c r="C73" s="618" t="s">
        <v>945</v>
      </c>
      <c r="D73" s="618" t="s">
        <v>766</v>
      </c>
      <c r="E73" s="618" t="s">
        <v>958</v>
      </c>
      <c r="F73" s="615">
        <v>503546.24</v>
      </c>
      <c r="G73" s="615">
        <v>202022.76</v>
      </c>
      <c r="H73" s="615">
        <v>301523.48</v>
      </c>
      <c r="I73" s="615">
        <v>0</v>
      </c>
      <c r="J73" s="615">
        <v>0</v>
      </c>
      <c r="K73" s="619">
        <v>43655</v>
      </c>
      <c r="L73" s="610" t="s">
        <v>959</v>
      </c>
      <c r="M73" s="618">
        <v>120</v>
      </c>
      <c r="N73" s="619">
        <v>43786</v>
      </c>
      <c r="O73" s="618"/>
      <c r="P73" s="619">
        <v>43780</v>
      </c>
      <c r="Q73" s="619"/>
      <c r="R73" s="620"/>
      <c r="S73" s="342"/>
      <c r="T73" s="342"/>
      <c r="U73" s="342"/>
      <c r="V73" s="342"/>
      <c r="W73" s="342"/>
      <c r="X73" s="342"/>
      <c r="Y73" s="342"/>
      <c r="Z73" s="342"/>
    </row>
    <row r="74" spans="1:26" ht="12" customHeight="1" x14ac:dyDescent="0.2">
      <c r="A74" s="606" t="s">
        <v>960</v>
      </c>
      <c r="B74" s="618">
        <v>2001621</v>
      </c>
      <c r="C74" s="618" t="s">
        <v>945</v>
      </c>
      <c r="D74" s="618" t="s">
        <v>766</v>
      </c>
      <c r="E74" s="618" t="s">
        <v>961</v>
      </c>
      <c r="F74" s="615">
        <v>461505.14</v>
      </c>
      <c r="G74" s="615">
        <v>92670.23</v>
      </c>
      <c r="H74" s="615">
        <v>368834.91</v>
      </c>
      <c r="I74" s="615">
        <v>0</v>
      </c>
      <c r="J74" s="615">
        <v>0</v>
      </c>
      <c r="K74" s="619">
        <v>43713</v>
      </c>
      <c r="L74" s="610" t="s">
        <v>962</v>
      </c>
      <c r="M74" s="618">
        <v>120</v>
      </c>
      <c r="N74" s="619">
        <v>43845</v>
      </c>
      <c r="O74" s="618">
        <v>29</v>
      </c>
      <c r="P74" s="619">
        <v>43874</v>
      </c>
      <c r="Q74" s="619"/>
      <c r="R74" s="620"/>
      <c r="S74" s="342"/>
      <c r="T74" s="342"/>
      <c r="U74" s="342"/>
      <c r="V74" s="342"/>
      <c r="W74" s="342"/>
      <c r="X74" s="342"/>
      <c r="Y74" s="342"/>
      <c r="Z74" s="342"/>
    </row>
    <row r="75" spans="1:26" ht="12" customHeight="1" x14ac:dyDescent="0.2">
      <c r="A75" s="606" t="s">
        <v>963</v>
      </c>
      <c r="B75" s="618">
        <v>2001621</v>
      </c>
      <c r="C75" s="618" t="s">
        <v>945</v>
      </c>
      <c r="D75" s="618" t="s">
        <v>766</v>
      </c>
      <c r="E75" s="618" t="s">
        <v>964</v>
      </c>
      <c r="F75" s="615">
        <v>720000</v>
      </c>
      <c r="G75" s="615">
        <v>0</v>
      </c>
      <c r="H75" s="615">
        <v>720000</v>
      </c>
      <c r="I75" s="615">
        <v>0</v>
      </c>
      <c r="J75" s="615">
        <v>0</v>
      </c>
      <c r="K75" s="619">
        <v>43832</v>
      </c>
      <c r="L75" s="610" t="s">
        <v>965</v>
      </c>
      <c r="M75" s="618">
        <v>150</v>
      </c>
      <c r="N75" s="619">
        <v>43994</v>
      </c>
      <c r="O75" s="618">
        <v>90</v>
      </c>
      <c r="P75" s="619">
        <v>44084</v>
      </c>
      <c r="Q75" s="619"/>
      <c r="R75" s="620"/>
      <c r="S75" s="342"/>
      <c r="T75" s="342"/>
      <c r="U75" s="342"/>
      <c r="V75" s="342"/>
      <c r="W75" s="342"/>
      <c r="X75" s="342"/>
      <c r="Y75" s="342"/>
      <c r="Z75" s="342"/>
    </row>
    <row r="76" spans="1:26" ht="12" customHeight="1" x14ac:dyDescent="0.2">
      <c r="A76" s="606" t="s">
        <v>966</v>
      </c>
      <c r="B76" s="607">
        <v>2131774</v>
      </c>
      <c r="C76" s="601" t="s">
        <v>765</v>
      </c>
      <c r="D76" s="607" t="s">
        <v>967</v>
      </c>
      <c r="E76" s="607" t="s">
        <v>968</v>
      </c>
      <c r="F76" s="602">
        <v>12356950.939999999</v>
      </c>
      <c r="G76" s="608">
        <v>1235695.0900000001</v>
      </c>
      <c r="H76" s="608">
        <v>3697265</v>
      </c>
      <c r="I76" s="608">
        <v>7423990.8499999996</v>
      </c>
      <c r="J76" s="602">
        <v>0</v>
      </c>
      <c r="K76" s="609">
        <v>43809</v>
      </c>
      <c r="L76" s="612" t="s">
        <v>969</v>
      </c>
      <c r="M76" s="607">
        <v>300</v>
      </c>
      <c r="N76" s="617" t="s">
        <v>970</v>
      </c>
      <c r="O76" s="607" t="s">
        <v>971</v>
      </c>
      <c r="P76" s="617" t="s">
        <v>972</v>
      </c>
      <c r="Q76" s="621"/>
      <c r="R76" s="620"/>
      <c r="S76" s="342"/>
      <c r="T76" s="342"/>
      <c r="U76" s="342"/>
      <c r="V76" s="342"/>
      <c r="W76" s="342"/>
      <c r="X76" s="342"/>
      <c r="Y76" s="342"/>
      <c r="Z76" s="342"/>
    </row>
    <row r="77" spans="1:26" ht="12" customHeight="1" x14ac:dyDescent="0.2">
      <c r="A77" s="606" t="s">
        <v>973</v>
      </c>
      <c r="B77" s="618">
        <v>2339705</v>
      </c>
      <c r="C77" s="618" t="s">
        <v>945</v>
      </c>
      <c r="D77" s="618" t="s">
        <v>766</v>
      </c>
      <c r="E77" s="618" t="s">
        <v>974</v>
      </c>
      <c r="F77" s="615">
        <v>4041499.92</v>
      </c>
      <c r="G77" s="615">
        <v>1781794.92</v>
      </c>
      <c r="H77" s="615">
        <v>2259705</v>
      </c>
      <c r="I77" s="615">
        <v>0</v>
      </c>
      <c r="J77" s="615">
        <v>0</v>
      </c>
      <c r="K77" s="619">
        <v>43710</v>
      </c>
      <c r="L77" s="610" t="s">
        <v>975</v>
      </c>
      <c r="M77" s="618">
        <v>180</v>
      </c>
      <c r="N77" s="619">
        <v>43905</v>
      </c>
      <c r="O77" s="618"/>
      <c r="P77" s="619">
        <v>43905</v>
      </c>
      <c r="Q77" s="619"/>
      <c r="R77" s="620"/>
      <c r="S77" s="342"/>
      <c r="T77" s="342"/>
      <c r="U77" s="342"/>
      <c r="V77" s="342"/>
      <c r="W77" s="342"/>
      <c r="X77" s="342"/>
      <c r="Y77" s="342"/>
      <c r="Z77" s="342"/>
    </row>
    <row r="78" spans="1:26" ht="12" customHeight="1" x14ac:dyDescent="0.2">
      <c r="A78" s="600" t="s">
        <v>976</v>
      </c>
      <c r="B78" s="621">
        <v>2380895</v>
      </c>
      <c r="C78" s="621" t="s">
        <v>765</v>
      </c>
      <c r="D78" s="601" t="s">
        <v>766</v>
      </c>
      <c r="E78" s="601" t="s">
        <v>977</v>
      </c>
      <c r="F78" s="622">
        <v>16519076.460000001</v>
      </c>
      <c r="G78" s="622">
        <f>+F78</f>
        <v>16519076.460000001</v>
      </c>
      <c r="H78" s="622">
        <v>0</v>
      </c>
      <c r="I78" s="622">
        <v>0</v>
      </c>
      <c r="J78" s="622">
        <v>0</v>
      </c>
      <c r="K78" s="623">
        <v>43601</v>
      </c>
      <c r="L78" s="603" t="s">
        <v>978</v>
      </c>
      <c r="M78" s="621">
        <v>60</v>
      </c>
      <c r="N78" s="623">
        <v>43676</v>
      </c>
      <c r="O78" s="621" t="s">
        <v>979</v>
      </c>
      <c r="P78" s="621" t="s">
        <v>197</v>
      </c>
      <c r="Q78" s="623">
        <v>43676</v>
      </c>
      <c r="R78" s="624">
        <v>43721</v>
      </c>
      <c r="S78" s="342"/>
      <c r="T78" s="342"/>
      <c r="U78" s="342"/>
      <c r="V78" s="342"/>
      <c r="W78" s="342"/>
      <c r="X78" s="342"/>
      <c r="Y78" s="342"/>
      <c r="Z78" s="342"/>
    </row>
    <row r="79" spans="1:26" ht="12" customHeight="1" x14ac:dyDescent="0.2">
      <c r="A79" s="606" t="s">
        <v>980</v>
      </c>
      <c r="B79" s="618">
        <v>2389079</v>
      </c>
      <c r="C79" s="618" t="s">
        <v>945</v>
      </c>
      <c r="D79" s="618" t="s">
        <v>766</v>
      </c>
      <c r="E79" s="618" t="s">
        <v>981</v>
      </c>
      <c r="F79" s="615">
        <v>12695722.66</v>
      </c>
      <c r="G79" s="615">
        <v>4231514.17</v>
      </c>
      <c r="H79" s="615">
        <v>6719298</v>
      </c>
      <c r="I79" s="615">
        <v>1744910.49</v>
      </c>
      <c r="J79" s="615">
        <v>0</v>
      </c>
      <c r="K79" s="619">
        <v>43670</v>
      </c>
      <c r="L79" s="610" t="s">
        <v>982</v>
      </c>
      <c r="M79" s="618">
        <v>450</v>
      </c>
      <c r="N79" s="619">
        <v>44127</v>
      </c>
      <c r="O79" s="618">
        <v>93</v>
      </c>
      <c r="P79" s="619">
        <v>44220</v>
      </c>
      <c r="Q79" s="619"/>
      <c r="R79" s="620"/>
      <c r="S79" s="342"/>
      <c r="T79" s="342"/>
      <c r="U79" s="342"/>
      <c r="V79" s="342"/>
      <c r="W79" s="342"/>
      <c r="X79" s="342"/>
      <c r="Y79" s="342"/>
      <c r="Z79" s="342"/>
    </row>
    <row r="80" spans="1:26" ht="12" customHeight="1" x14ac:dyDescent="0.2">
      <c r="A80" s="606" t="s">
        <v>983</v>
      </c>
      <c r="B80" s="618">
        <v>2396141</v>
      </c>
      <c r="C80" s="618" t="s">
        <v>945</v>
      </c>
      <c r="D80" s="618" t="s">
        <v>766</v>
      </c>
      <c r="E80" s="618" t="s">
        <v>984</v>
      </c>
      <c r="F80" s="615">
        <v>2593694.38</v>
      </c>
      <c r="G80" s="615">
        <v>1143784.3799999999</v>
      </c>
      <c r="H80" s="615">
        <v>1449910</v>
      </c>
      <c r="I80" s="615">
        <v>0</v>
      </c>
      <c r="J80" s="615">
        <v>0</v>
      </c>
      <c r="K80" s="619">
        <v>43710</v>
      </c>
      <c r="L80" s="610" t="s">
        <v>985</v>
      </c>
      <c r="M80" s="618">
        <v>210</v>
      </c>
      <c r="N80" s="619">
        <v>43935</v>
      </c>
      <c r="O80" s="625">
        <v>106</v>
      </c>
      <c r="P80" s="619">
        <v>44040</v>
      </c>
      <c r="Q80" s="619"/>
      <c r="R80" s="620"/>
      <c r="S80" s="342"/>
      <c r="T80" s="342"/>
      <c r="U80" s="342"/>
      <c r="V80" s="342"/>
      <c r="W80" s="342"/>
      <c r="X80" s="342"/>
      <c r="Y80" s="342"/>
      <c r="Z80" s="342"/>
    </row>
    <row r="81" spans="1:26" ht="12" customHeight="1" x14ac:dyDescent="0.2">
      <c r="A81" s="600" t="s">
        <v>986</v>
      </c>
      <c r="B81" s="621">
        <v>2400516</v>
      </c>
      <c r="C81" s="621" t="s">
        <v>765</v>
      </c>
      <c r="D81" s="601" t="s">
        <v>766</v>
      </c>
      <c r="E81" s="601" t="s">
        <v>987</v>
      </c>
      <c r="F81" s="622">
        <v>4681750.3</v>
      </c>
      <c r="G81" s="622">
        <f t="shared" ref="G81:G82" si="0">+F81</f>
        <v>4681750.3</v>
      </c>
      <c r="H81" s="622">
        <v>0</v>
      </c>
      <c r="I81" s="622">
        <v>0</v>
      </c>
      <c r="J81" s="622">
        <v>0</v>
      </c>
      <c r="K81" s="623">
        <v>43601</v>
      </c>
      <c r="L81" s="603" t="s">
        <v>988</v>
      </c>
      <c r="M81" s="621" t="s">
        <v>989</v>
      </c>
      <c r="N81" s="623">
        <v>43702</v>
      </c>
      <c r="O81" s="621" t="s">
        <v>979</v>
      </c>
      <c r="P81" s="621" t="s">
        <v>197</v>
      </c>
      <c r="Q81" s="623">
        <v>43702</v>
      </c>
      <c r="R81" s="624">
        <v>43725</v>
      </c>
      <c r="S81" s="342"/>
      <c r="T81" s="342"/>
      <c r="U81" s="342"/>
      <c r="V81" s="342"/>
      <c r="W81" s="342"/>
      <c r="X81" s="342"/>
      <c r="Y81" s="342"/>
      <c r="Z81" s="342"/>
    </row>
    <row r="82" spans="1:26" ht="12" customHeight="1" x14ac:dyDescent="0.2">
      <c r="A82" s="600" t="s">
        <v>990</v>
      </c>
      <c r="B82" s="621">
        <v>2400819</v>
      </c>
      <c r="C82" s="621" t="s">
        <v>765</v>
      </c>
      <c r="D82" s="601" t="s">
        <v>766</v>
      </c>
      <c r="E82" s="601" t="s">
        <v>991</v>
      </c>
      <c r="F82" s="622">
        <v>9359007.9399999995</v>
      </c>
      <c r="G82" s="622">
        <f t="shared" si="0"/>
        <v>9359007.9399999995</v>
      </c>
      <c r="H82" s="622">
        <v>0</v>
      </c>
      <c r="I82" s="622">
        <v>0</v>
      </c>
      <c r="J82" s="622">
        <v>0</v>
      </c>
      <c r="K82" s="623">
        <v>43609</v>
      </c>
      <c r="L82" s="603" t="s">
        <v>992</v>
      </c>
      <c r="M82" s="621">
        <v>120</v>
      </c>
      <c r="N82" s="623">
        <v>43739</v>
      </c>
      <c r="O82" s="621" t="s">
        <v>979</v>
      </c>
      <c r="P82" s="621" t="s">
        <v>197</v>
      </c>
      <c r="Q82" s="623">
        <v>43739</v>
      </c>
      <c r="R82" s="624">
        <v>43756</v>
      </c>
      <c r="S82" s="342"/>
      <c r="T82" s="342"/>
      <c r="U82" s="342"/>
      <c r="V82" s="342"/>
      <c r="W82" s="342"/>
      <c r="X82" s="342"/>
      <c r="Y82" s="342"/>
      <c r="Z82" s="342"/>
    </row>
    <row r="83" spans="1:26" ht="12" customHeight="1" x14ac:dyDescent="0.2">
      <c r="A83" s="606" t="s">
        <v>993</v>
      </c>
      <c r="B83" s="618">
        <v>2403495</v>
      </c>
      <c r="C83" s="618" t="s">
        <v>765</v>
      </c>
      <c r="D83" s="618" t="s">
        <v>766</v>
      </c>
      <c r="E83" s="618" t="s">
        <v>949</v>
      </c>
      <c r="F83" s="615">
        <v>2663248</v>
      </c>
      <c r="G83" s="615">
        <v>0</v>
      </c>
      <c r="H83" s="615">
        <v>2663248</v>
      </c>
      <c r="I83" s="615">
        <v>0</v>
      </c>
      <c r="J83" s="615">
        <v>0</v>
      </c>
      <c r="K83" s="619">
        <v>43888</v>
      </c>
      <c r="L83" s="610" t="s">
        <v>994</v>
      </c>
      <c r="M83" s="618">
        <v>120</v>
      </c>
      <c r="N83" s="619">
        <v>43584</v>
      </c>
      <c r="O83" s="618"/>
      <c r="P83" s="619">
        <v>43613</v>
      </c>
      <c r="Q83" s="619"/>
      <c r="R83" s="620"/>
      <c r="S83" s="342"/>
      <c r="T83" s="342"/>
      <c r="U83" s="342"/>
      <c r="V83" s="342"/>
      <c r="W83" s="342"/>
      <c r="X83" s="342"/>
      <c r="Y83" s="342"/>
      <c r="Z83" s="342"/>
    </row>
    <row r="84" spans="1:26" ht="12" customHeight="1" x14ac:dyDescent="0.2">
      <c r="A84" s="606" t="s">
        <v>993</v>
      </c>
      <c r="B84" s="618">
        <v>2403495</v>
      </c>
      <c r="C84" s="618" t="s">
        <v>830</v>
      </c>
      <c r="D84" s="618" t="s">
        <v>766</v>
      </c>
      <c r="E84" s="618" t="s">
        <v>949</v>
      </c>
      <c r="F84" s="615">
        <v>398718</v>
      </c>
      <c r="G84" s="615">
        <v>0</v>
      </c>
      <c r="H84" s="615">
        <v>398718</v>
      </c>
      <c r="I84" s="615">
        <v>0</v>
      </c>
      <c r="J84" s="615">
        <v>0</v>
      </c>
      <c r="K84" s="619">
        <v>43836</v>
      </c>
      <c r="L84" s="610" t="s">
        <v>995</v>
      </c>
      <c r="M84" s="618">
        <v>180</v>
      </c>
      <c r="N84" s="619">
        <v>44026</v>
      </c>
      <c r="O84" s="618"/>
      <c r="P84" s="619">
        <v>44026</v>
      </c>
      <c r="Q84" s="619"/>
      <c r="R84" s="620"/>
      <c r="S84" s="342"/>
      <c r="T84" s="342"/>
      <c r="U84" s="342"/>
      <c r="V84" s="342"/>
      <c r="W84" s="342"/>
      <c r="X84" s="342"/>
      <c r="Y84" s="342"/>
      <c r="Z84" s="342"/>
    </row>
    <row r="85" spans="1:26" ht="12" customHeight="1" x14ac:dyDescent="0.2">
      <c r="A85" s="600" t="s">
        <v>996</v>
      </c>
      <c r="B85" s="621">
        <v>2407756</v>
      </c>
      <c r="C85" s="621" t="s">
        <v>765</v>
      </c>
      <c r="D85" s="601" t="s">
        <v>766</v>
      </c>
      <c r="E85" s="601" t="s">
        <v>997</v>
      </c>
      <c r="F85" s="622">
        <v>1979098.67</v>
      </c>
      <c r="G85" s="622">
        <f>+F85</f>
        <v>1979098.67</v>
      </c>
      <c r="H85" s="622">
        <v>0</v>
      </c>
      <c r="I85" s="622">
        <v>0</v>
      </c>
      <c r="J85" s="622">
        <v>0</v>
      </c>
      <c r="K85" s="623">
        <v>43572</v>
      </c>
      <c r="L85" s="603" t="s">
        <v>998</v>
      </c>
      <c r="M85" s="621">
        <v>60</v>
      </c>
      <c r="N85" s="623">
        <v>43665</v>
      </c>
      <c r="O85" s="601" t="s">
        <v>999</v>
      </c>
      <c r="P85" s="623">
        <v>43671</v>
      </c>
      <c r="Q85" s="623">
        <v>43669</v>
      </c>
      <c r="R85" s="624">
        <v>43683</v>
      </c>
      <c r="S85" s="342"/>
      <c r="T85" s="342"/>
      <c r="U85" s="342"/>
      <c r="V85" s="342"/>
      <c r="W85" s="342"/>
      <c r="X85" s="342"/>
      <c r="Y85" s="342"/>
      <c r="Z85" s="342"/>
    </row>
    <row r="86" spans="1:26" ht="12" customHeight="1" x14ac:dyDescent="0.2">
      <c r="A86" s="600" t="s">
        <v>1000</v>
      </c>
      <c r="B86" s="601">
        <v>2409135</v>
      </c>
      <c r="C86" s="601" t="s">
        <v>1001</v>
      </c>
      <c r="D86" s="601" t="s">
        <v>766</v>
      </c>
      <c r="E86" s="601" t="s">
        <v>1002</v>
      </c>
      <c r="F86" s="602">
        <v>3024216.0700000003</v>
      </c>
      <c r="G86" s="602">
        <v>1575957.07</v>
      </c>
      <c r="H86" s="602">
        <v>1448259</v>
      </c>
      <c r="I86" s="602">
        <v>0</v>
      </c>
      <c r="J86" s="602">
        <v>0</v>
      </c>
      <c r="K86" s="601" t="s">
        <v>1003</v>
      </c>
      <c r="L86" s="603" t="s">
        <v>1004</v>
      </c>
      <c r="M86" s="601">
        <v>60</v>
      </c>
      <c r="N86" s="604">
        <v>43825</v>
      </c>
      <c r="O86" s="601" t="s">
        <v>197</v>
      </c>
      <c r="P86" s="601" t="s">
        <v>197</v>
      </c>
      <c r="Q86" s="604">
        <v>44294</v>
      </c>
      <c r="R86" s="616" t="s">
        <v>1005</v>
      </c>
      <c r="S86" s="342"/>
      <c r="T86" s="342"/>
      <c r="U86" s="342"/>
      <c r="V86" s="342"/>
      <c r="W86" s="342"/>
      <c r="X86" s="342"/>
      <c r="Y86" s="342"/>
      <c r="Z86" s="342"/>
    </row>
    <row r="87" spans="1:26" ht="12" customHeight="1" x14ac:dyDescent="0.2">
      <c r="A87" s="600" t="s">
        <v>1006</v>
      </c>
      <c r="B87" s="601">
        <v>2409138</v>
      </c>
      <c r="C87" s="601" t="s">
        <v>1001</v>
      </c>
      <c r="D87" s="601" t="s">
        <v>766</v>
      </c>
      <c r="E87" s="601" t="s">
        <v>1007</v>
      </c>
      <c r="F87" s="602">
        <v>3389146.32</v>
      </c>
      <c r="G87" s="602">
        <v>2184600.3199999998</v>
      </c>
      <c r="H87" s="602">
        <v>1204546</v>
      </c>
      <c r="I87" s="602">
        <v>0</v>
      </c>
      <c r="J87" s="602">
        <v>0</v>
      </c>
      <c r="K87" s="601" t="s">
        <v>1008</v>
      </c>
      <c r="L87" s="603" t="s">
        <v>1009</v>
      </c>
      <c r="M87" s="601">
        <v>150</v>
      </c>
      <c r="N87" s="604">
        <v>43883</v>
      </c>
      <c r="O87" s="601" t="s">
        <v>197</v>
      </c>
      <c r="P87" s="604" t="s">
        <v>197</v>
      </c>
      <c r="Q87" s="604">
        <v>44078</v>
      </c>
      <c r="R87" s="616" t="s">
        <v>1010</v>
      </c>
      <c r="S87" s="342"/>
      <c r="T87" s="342"/>
      <c r="U87" s="342"/>
      <c r="V87" s="342"/>
      <c r="W87" s="342"/>
      <c r="X87" s="342"/>
      <c r="Y87" s="342"/>
      <c r="Z87" s="342"/>
    </row>
    <row r="88" spans="1:26" ht="12" customHeight="1" x14ac:dyDescent="0.2">
      <c r="A88" s="600" t="s">
        <v>1011</v>
      </c>
      <c r="B88" s="601">
        <v>2410082</v>
      </c>
      <c r="C88" s="601" t="s">
        <v>1001</v>
      </c>
      <c r="D88" s="601" t="s">
        <v>766</v>
      </c>
      <c r="E88" s="601" t="s">
        <v>775</v>
      </c>
      <c r="F88" s="602">
        <v>4510478.7699999996</v>
      </c>
      <c r="G88" s="602">
        <v>1007515.77</v>
      </c>
      <c r="H88" s="602">
        <v>3502963</v>
      </c>
      <c r="I88" s="602">
        <v>0</v>
      </c>
      <c r="J88" s="602">
        <v>0</v>
      </c>
      <c r="K88" s="601" t="s">
        <v>1012</v>
      </c>
      <c r="L88" s="603" t="s">
        <v>1013</v>
      </c>
      <c r="M88" s="601">
        <v>150</v>
      </c>
      <c r="N88" s="604">
        <v>43902</v>
      </c>
      <c r="O88" s="601" t="s">
        <v>197</v>
      </c>
      <c r="P88" s="601" t="s">
        <v>197</v>
      </c>
      <c r="Q88" s="604">
        <v>43948</v>
      </c>
      <c r="R88" s="616" t="s">
        <v>1010</v>
      </c>
      <c r="S88" s="342"/>
      <c r="T88" s="342"/>
      <c r="U88" s="342"/>
      <c r="V88" s="342"/>
      <c r="W88" s="342"/>
      <c r="X88" s="342"/>
      <c r="Y88" s="342"/>
      <c r="Z88" s="342"/>
    </row>
    <row r="89" spans="1:26" ht="12" customHeight="1" x14ac:dyDescent="0.2">
      <c r="A89" s="600" t="s">
        <v>1014</v>
      </c>
      <c r="B89" s="601">
        <v>2410085</v>
      </c>
      <c r="C89" s="601" t="s">
        <v>1001</v>
      </c>
      <c r="D89" s="601" t="s">
        <v>766</v>
      </c>
      <c r="E89" s="601" t="s">
        <v>1015</v>
      </c>
      <c r="F89" s="602">
        <v>392477.65</v>
      </c>
      <c r="G89" s="602">
        <v>19223.650000000001</v>
      </c>
      <c r="H89" s="602">
        <v>373254</v>
      </c>
      <c r="I89" s="608">
        <v>0</v>
      </c>
      <c r="J89" s="602">
        <v>0</v>
      </c>
      <c r="K89" s="601" t="s">
        <v>1016</v>
      </c>
      <c r="L89" s="603" t="s">
        <v>1017</v>
      </c>
      <c r="M89" s="601">
        <v>30</v>
      </c>
      <c r="N89" s="604">
        <v>43818</v>
      </c>
      <c r="O89" s="601" t="s">
        <v>197</v>
      </c>
      <c r="P89" s="601" t="s">
        <v>197</v>
      </c>
      <c r="Q89" s="604">
        <v>44328</v>
      </c>
      <c r="R89" s="616" t="s">
        <v>197</v>
      </c>
      <c r="S89" s="342"/>
      <c r="T89" s="342"/>
      <c r="U89" s="342"/>
      <c r="V89" s="342"/>
      <c r="W89" s="342"/>
      <c r="X89" s="342"/>
      <c r="Y89" s="342"/>
      <c r="Z89" s="342"/>
    </row>
    <row r="90" spans="1:26" ht="12" customHeight="1" x14ac:dyDescent="0.2">
      <c r="A90" s="600" t="s">
        <v>1018</v>
      </c>
      <c r="B90" s="601">
        <v>2410184</v>
      </c>
      <c r="C90" s="601" t="s">
        <v>1001</v>
      </c>
      <c r="D90" s="601" t="s">
        <v>766</v>
      </c>
      <c r="E90" s="601" t="s">
        <v>815</v>
      </c>
      <c r="F90" s="602">
        <v>3024943.21</v>
      </c>
      <c r="G90" s="602">
        <v>1653242.21</v>
      </c>
      <c r="H90" s="602">
        <v>1371701</v>
      </c>
      <c r="I90" s="602">
        <v>0</v>
      </c>
      <c r="J90" s="602">
        <v>0</v>
      </c>
      <c r="K90" s="601" t="s">
        <v>1019</v>
      </c>
      <c r="L90" s="603" t="s">
        <v>1020</v>
      </c>
      <c r="M90" s="601">
        <v>120</v>
      </c>
      <c r="N90" s="604">
        <v>43808</v>
      </c>
      <c r="O90" s="601" t="s">
        <v>197</v>
      </c>
      <c r="P90" s="601" t="s">
        <v>197</v>
      </c>
      <c r="Q90" s="604">
        <v>43898</v>
      </c>
      <c r="R90" s="616" t="s">
        <v>1010</v>
      </c>
      <c r="S90" s="342"/>
      <c r="T90" s="342"/>
      <c r="U90" s="342"/>
      <c r="V90" s="342"/>
      <c r="W90" s="342"/>
      <c r="X90" s="342"/>
      <c r="Y90" s="342"/>
      <c r="Z90" s="342"/>
    </row>
    <row r="91" spans="1:26" ht="12" customHeight="1" x14ac:dyDescent="0.2">
      <c r="A91" s="600" t="s">
        <v>1021</v>
      </c>
      <c r="B91" s="601">
        <v>2410353</v>
      </c>
      <c r="C91" s="601" t="s">
        <v>1001</v>
      </c>
      <c r="D91" s="601" t="s">
        <v>766</v>
      </c>
      <c r="E91" s="601" t="s">
        <v>1022</v>
      </c>
      <c r="F91" s="602">
        <v>2906189.88</v>
      </c>
      <c r="G91" s="602">
        <v>1057263.8799999999</v>
      </c>
      <c r="H91" s="602">
        <v>1848926</v>
      </c>
      <c r="I91" s="602">
        <v>0</v>
      </c>
      <c r="J91" s="602">
        <v>0</v>
      </c>
      <c r="K91" s="601" t="s">
        <v>1023</v>
      </c>
      <c r="L91" s="603" t="s">
        <v>1024</v>
      </c>
      <c r="M91" s="601">
        <v>60</v>
      </c>
      <c r="N91" s="604">
        <v>43800</v>
      </c>
      <c r="O91" s="601" t="s">
        <v>197</v>
      </c>
      <c r="P91" s="601" t="s">
        <v>197</v>
      </c>
      <c r="Q91" s="604">
        <v>44052</v>
      </c>
      <c r="R91" s="616" t="s">
        <v>1010</v>
      </c>
      <c r="S91" s="342"/>
      <c r="T91" s="342"/>
      <c r="U91" s="342"/>
      <c r="V91" s="342"/>
      <c r="W91" s="342"/>
      <c r="X91" s="342"/>
      <c r="Y91" s="342"/>
      <c r="Z91" s="342"/>
    </row>
    <row r="92" spans="1:26" ht="12" customHeight="1" x14ac:dyDescent="0.2">
      <c r="A92" s="600" t="s">
        <v>1025</v>
      </c>
      <c r="B92" s="601">
        <v>2410520</v>
      </c>
      <c r="C92" s="601" t="s">
        <v>1001</v>
      </c>
      <c r="D92" s="601" t="s">
        <v>766</v>
      </c>
      <c r="E92" s="601" t="s">
        <v>1026</v>
      </c>
      <c r="F92" s="602">
        <v>1505246.92</v>
      </c>
      <c r="G92" s="602">
        <v>71829.919999999998</v>
      </c>
      <c r="H92" s="602">
        <v>1433417</v>
      </c>
      <c r="I92" s="608">
        <v>0</v>
      </c>
      <c r="J92" s="602">
        <v>0</v>
      </c>
      <c r="K92" s="601" t="s">
        <v>1027</v>
      </c>
      <c r="L92" s="603" t="s">
        <v>1028</v>
      </c>
      <c r="M92" s="601">
        <v>30</v>
      </c>
      <c r="N92" s="604">
        <v>43810</v>
      </c>
      <c r="O92" s="601" t="s">
        <v>197</v>
      </c>
      <c r="P92" s="601" t="s">
        <v>197</v>
      </c>
      <c r="Q92" s="604">
        <v>44334</v>
      </c>
      <c r="R92" s="616" t="s">
        <v>197</v>
      </c>
      <c r="S92" s="342"/>
      <c r="T92" s="342"/>
      <c r="U92" s="342"/>
      <c r="V92" s="342"/>
      <c r="W92" s="342"/>
      <c r="X92" s="342"/>
      <c r="Y92" s="342"/>
      <c r="Z92" s="342"/>
    </row>
    <row r="93" spans="1:26" ht="12" customHeight="1" x14ac:dyDescent="0.2">
      <c r="A93" s="600" t="s">
        <v>1029</v>
      </c>
      <c r="B93" s="601">
        <v>2410523</v>
      </c>
      <c r="C93" s="601" t="s">
        <v>1001</v>
      </c>
      <c r="D93" s="601" t="s">
        <v>766</v>
      </c>
      <c r="E93" s="601" t="s">
        <v>1030</v>
      </c>
      <c r="F93" s="602">
        <v>990863.25</v>
      </c>
      <c r="G93" s="602">
        <v>33547.25</v>
      </c>
      <c r="H93" s="602">
        <v>957316</v>
      </c>
      <c r="I93" s="602">
        <v>0</v>
      </c>
      <c r="J93" s="602">
        <v>0</v>
      </c>
      <c r="K93" s="601" t="s">
        <v>1031</v>
      </c>
      <c r="L93" s="603" t="s">
        <v>1032</v>
      </c>
      <c r="M93" s="601">
        <v>30</v>
      </c>
      <c r="N93" s="604">
        <v>43758</v>
      </c>
      <c r="O93" s="601" t="s">
        <v>197</v>
      </c>
      <c r="P93" s="601" t="s">
        <v>197</v>
      </c>
      <c r="Q93" s="604">
        <v>44344</v>
      </c>
      <c r="R93" s="616" t="s">
        <v>1005</v>
      </c>
      <c r="S93" s="342"/>
      <c r="T93" s="342"/>
      <c r="U93" s="342"/>
      <c r="V93" s="342"/>
      <c r="W93" s="342"/>
      <c r="X93" s="342"/>
      <c r="Y93" s="342"/>
      <c r="Z93" s="342"/>
    </row>
    <row r="94" spans="1:26" ht="12" customHeight="1" x14ac:dyDescent="0.2">
      <c r="A94" s="600" t="s">
        <v>1033</v>
      </c>
      <c r="B94" s="601">
        <v>2410549</v>
      </c>
      <c r="C94" s="601" t="s">
        <v>1001</v>
      </c>
      <c r="D94" s="601" t="s">
        <v>766</v>
      </c>
      <c r="E94" s="601" t="s">
        <v>1034</v>
      </c>
      <c r="F94" s="602">
        <v>1219292.5900000001</v>
      </c>
      <c r="G94" s="602">
        <v>1065090.5900000001</v>
      </c>
      <c r="H94" s="602">
        <v>154202</v>
      </c>
      <c r="I94" s="602">
        <v>0</v>
      </c>
      <c r="J94" s="602">
        <v>0</v>
      </c>
      <c r="K94" s="601" t="s">
        <v>1035</v>
      </c>
      <c r="L94" s="603" t="s">
        <v>1036</v>
      </c>
      <c r="M94" s="601">
        <v>90</v>
      </c>
      <c r="N94" s="604">
        <v>43822</v>
      </c>
      <c r="O94" s="601" t="s">
        <v>197</v>
      </c>
      <c r="P94" s="604" t="s">
        <v>197</v>
      </c>
      <c r="Q94" s="604">
        <v>44055</v>
      </c>
      <c r="R94" s="616" t="s">
        <v>1010</v>
      </c>
      <c r="S94" s="342"/>
      <c r="T94" s="342"/>
      <c r="U94" s="342"/>
      <c r="V94" s="342"/>
      <c r="W94" s="342"/>
      <c r="X94" s="342"/>
      <c r="Y94" s="342"/>
      <c r="Z94" s="342"/>
    </row>
    <row r="95" spans="1:26" ht="12" customHeight="1" x14ac:dyDescent="0.2">
      <c r="A95" s="600" t="s">
        <v>1037</v>
      </c>
      <c r="B95" s="601">
        <v>2410899</v>
      </c>
      <c r="C95" s="601" t="s">
        <v>1001</v>
      </c>
      <c r="D95" s="601" t="s">
        <v>766</v>
      </c>
      <c r="E95" s="601" t="s">
        <v>1038</v>
      </c>
      <c r="F95" s="602">
        <v>2426963.52</v>
      </c>
      <c r="G95" s="602">
        <v>1950885.52</v>
      </c>
      <c r="H95" s="602">
        <v>476078</v>
      </c>
      <c r="I95" s="602">
        <v>0</v>
      </c>
      <c r="J95" s="602">
        <v>0</v>
      </c>
      <c r="K95" s="601" t="s">
        <v>1019</v>
      </c>
      <c r="L95" s="603" t="s">
        <v>1039</v>
      </c>
      <c r="M95" s="601">
        <v>90</v>
      </c>
      <c r="N95" s="604">
        <v>43795</v>
      </c>
      <c r="O95" s="601" t="s">
        <v>197</v>
      </c>
      <c r="P95" s="601" t="s">
        <v>197</v>
      </c>
      <c r="Q95" s="604">
        <v>43835</v>
      </c>
      <c r="R95" s="616" t="s">
        <v>1040</v>
      </c>
      <c r="S95" s="342"/>
      <c r="T95" s="342"/>
      <c r="U95" s="342"/>
      <c r="V95" s="342"/>
      <c r="W95" s="342"/>
      <c r="X95" s="342"/>
      <c r="Y95" s="342"/>
      <c r="Z95" s="342"/>
    </row>
    <row r="96" spans="1:26" ht="12" customHeight="1" x14ac:dyDescent="0.2">
      <c r="A96" s="600" t="s">
        <v>1041</v>
      </c>
      <c r="B96" s="601">
        <v>2410914</v>
      </c>
      <c r="C96" s="601" t="s">
        <v>1001</v>
      </c>
      <c r="D96" s="601" t="s">
        <v>766</v>
      </c>
      <c r="E96" s="601" t="s">
        <v>1042</v>
      </c>
      <c r="F96" s="602">
        <v>8356821.25</v>
      </c>
      <c r="G96" s="602">
        <v>3718249.25</v>
      </c>
      <c r="H96" s="602">
        <v>4638572</v>
      </c>
      <c r="I96" s="602">
        <v>0</v>
      </c>
      <c r="J96" s="602">
        <v>0</v>
      </c>
      <c r="K96" s="601" t="s">
        <v>1043</v>
      </c>
      <c r="L96" s="603" t="s">
        <v>1044</v>
      </c>
      <c r="M96" s="601">
        <v>120</v>
      </c>
      <c r="N96" s="604">
        <v>43887</v>
      </c>
      <c r="O96" s="601" t="s">
        <v>197</v>
      </c>
      <c r="P96" s="601" t="s">
        <v>197</v>
      </c>
      <c r="Q96" s="604">
        <v>44180</v>
      </c>
      <c r="R96" s="616" t="s">
        <v>1045</v>
      </c>
      <c r="S96" s="342"/>
      <c r="T96" s="342"/>
      <c r="U96" s="342"/>
      <c r="V96" s="342"/>
      <c r="W96" s="342"/>
      <c r="X96" s="342"/>
      <c r="Y96" s="342"/>
      <c r="Z96" s="342"/>
    </row>
    <row r="97" spans="1:26" ht="12" customHeight="1" x14ac:dyDescent="0.2">
      <c r="A97" s="600" t="s">
        <v>1046</v>
      </c>
      <c r="B97" s="601">
        <v>2410957</v>
      </c>
      <c r="C97" s="601" t="s">
        <v>1001</v>
      </c>
      <c r="D97" s="601" t="s">
        <v>766</v>
      </c>
      <c r="E97" s="601" t="s">
        <v>1047</v>
      </c>
      <c r="F97" s="602">
        <v>1761747</v>
      </c>
      <c r="G97" s="602">
        <v>26968</v>
      </c>
      <c r="H97" s="602">
        <v>1734779</v>
      </c>
      <c r="I97" s="608">
        <v>0</v>
      </c>
      <c r="J97" s="602">
        <v>0</v>
      </c>
      <c r="K97" s="601" t="s">
        <v>772</v>
      </c>
      <c r="L97" s="603" t="s">
        <v>1048</v>
      </c>
      <c r="M97" s="601">
        <v>30</v>
      </c>
      <c r="N97" s="604">
        <v>43809</v>
      </c>
      <c r="O97" s="601" t="s">
        <v>197</v>
      </c>
      <c r="P97" s="601" t="s">
        <v>197</v>
      </c>
      <c r="Q97" s="604">
        <v>44358</v>
      </c>
      <c r="R97" s="616" t="s">
        <v>197</v>
      </c>
      <c r="S97" s="342"/>
      <c r="T97" s="342"/>
      <c r="U97" s="342"/>
      <c r="V97" s="342"/>
      <c r="W97" s="342"/>
      <c r="X97" s="342"/>
      <c r="Y97" s="342"/>
      <c r="Z97" s="342"/>
    </row>
    <row r="98" spans="1:26" ht="12" customHeight="1" x14ac:dyDescent="0.2">
      <c r="A98" s="600" t="s">
        <v>1049</v>
      </c>
      <c r="B98" s="601">
        <v>2410967</v>
      </c>
      <c r="C98" s="601" t="s">
        <v>1001</v>
      </c>
      <c r="D98" s="601" t="s">
        <v>766</v>
      </c>
      <c r="E98" s="601" t="s">
        <v>1050</v>
      </c>
      <c r="F98" s="602">
        <v>3385727</v>
      </c>
      <c r="G98" s="602">
        <v>0</v>
      </c>
      <c r="H98" s="602">
        <v>3385727</v>
      </c>
      <c r="I98" s="608">
        <v>0</v>
      </c>
      <c r="J98" s="602">
        <v>0</v>
      </c>
      <c r="K98" s="601" t="s">
        <v>1051</v>
      </c>
      <c r="L98" s="603" t="s">
        <v>1052</v>
      </c>
      <c r="M98" s="601">
        <v>30</v>
      </c>
      <c r="N98" s="604">
        <v>43817</v>
      </c>
      <c r="O98" s="601" t="s">
        <v>197</v>
      </c>
      <c r="P98" s="601" t="s">
        <v>197</v>
      </c>
      <c r="Q98" s="604">
        <v>44222</v>
      </c>
      <c r="R98" s="616" t="s">
        <v>197</v>
      </c>
      <c r="S98" s="342"/>
      <c r="T98" s="342"/>
      <c r="U98" s="342"/>
      <c r="V98" s="342"/>
      <c r="W98" s="342"/>
      <c r="X98" s="342"/>
      <c r="Y98" s="342"/>
      <c r="Z98" s="342"/>
    </row>
    <row r="99" spans="1:26" ht="12" customHeight="1" x14ac:dyDescent="0.2">
      <c r="A99" s="600" t="s">
        <v>1053</v>
      </c>
      <c r="B99" s="601">
        <v>2412318</v>
      </c>
      <c r="C99" s="601" t="s">
        <v>1001</v>
      </c>
      <c r="D99" s="601" t="s">
        <v>766</v>
      </c>
      <c r="E99" s="601" t="s">
        <v>1054</v>
      </c>
      <c r="F99" s="602">
        <v>232087.67999999999</v>
      </c>
      <c r="G99" s="602">
        <v>147138.68</v>
      </c>
      <c r="H99" s="602">
        <v>84949</v>
      </c>
      <c r="I99" s="602">
        <v>0</v>
      </c>
      <c r="J99" s="602">
        <v>0</v>
      </c>
      <c r="K99" s="601" t="s">
        <v>1003</v>
      </c>
      <c r="L99" s="603" t="s">
        <v>1055</v>
      </c>
      <c r="M99" s="601">
        <v>60</v>
      </c>
      <c r="N99" s="604">
        <v>43785</v>
      </c>
      <c r="O99" s="601" t="s">
        <v>197</v>
      </c>
      <c r="P99" s="604" t="s">
        <v>197</v>
      </c>
      <c r="Q99" s="604">
        <v>44062</v>
      </c>
      <c r="R99" s="616" t="s">
        <v>1010</v>
      </c>
      <c r="S99" s="342"/>
      <c r="T99" s="342"/>
      <c r="U99" s="342"/>
      <c r="V99" s="342"/>
      <c r="W99" s="342"/>
      <c r="X99" s="342"/>
      <c r="Y99" s="342"/>
      <c r="Z99" s="342"/>
    </row>
    <row r="100" spans="1:26" ht="12" customHeight="1" x14ac:dyDescent="0.2">
      <c r="A100" s="600" t="s">
        <v>1056</v>
      </c>
      <c r="B100" s="601">
        <v>2423153</v>
      </c>
      <c r="C100" s="601" t="s">
        <v>1001</v>
      </c>
      <c r="D100" s="601" t="s">
        <v>766</v>
      </c>
      <c r="E100" s="601" t="s">
        <v>1057</v>
      </c>
      <c r="F100" s="602">
        <v>1380096.08</v>
      </c>
      <c r="G100" s="602">
        <v>223935.08</v>
      </c>
      <c r="H100" s="602">
        <v>1156161</v>
      </c>
      <c r="I100" s="602">
        <v>0</v>
      </c>
      <c r="J100" s="602">
        <v>0</v>
      </c>
      <c r="K100" s="601" t="s">
        <v>1058</v>
      </c>
      <c r="L100" s="603" t="s">
        <v>1059</v>
      </c>
      <c r="M100" s="601">
        <v>90</v>
      </c>
      <c r="N100" s="604">
        <v>43823</v>
      </c>
      <c r="O100" s="601" t="s">
        <v>197</v>
      </c>
      <c r="P100" s="601" t="s">
        <v>197</v>
      </c>
      <c r="Q100" s="604">
        <v>43923</v>
      </c>
      <c r="R100" s="616" t="s">
        <v>1060</v>
      </c>
      <c r="S100" s="342"/>
      <c r="T100" s="342"/>
      <c r="U100" s="342"/>
      <c r="V100" s="342"/>
      <c r="W100" s="342"/>
      <c r="X100" s="342"/>
      <c r="Y100" s="342"/>
      <c r="Z100" s="342"/>
    </row>
    <row r="101" spans="1:26" ht="12" customHeight="1" x14ac:dyDescent="0.2">
      <c r="A101" s="600" t="s">
        <v>1061</v>
      </c>
      <c r="B101" s="621">
        <v>2431402</v>
      </c>
      <c r="C101" s="621" t="s">
        <v>1001</v>
      </c>
      <c r="D101" s="601" t="s">
        <v>1062</v>
      </c>
      <c r="E101" s="601" t="s">
        <v>1063</v>
      </c>
      <c r="F101" s="622">
        <v>12430476.699999999</v>
      </c>
      <c r="G101" s="622">
        <v>0</v>
      </c>
      <c r="H101" s="622">
        <v>6391104.79</v>
      </c>
      <c r="I101" s="622">
        <v>6039371.9100000001</v>
      </c>
      <c r="J101" s="622">
        <v>0</v>
      </c>
      <c r="K101" s="621" t="s">
        <v>1064</v>
      </c>
      <c r="L101" s="603" t="s">
        <v>1065</v>
      </c>
      <c r="M101" s="621">
        <v>195</v>
      </c>
      <c r="N101" s="623">
        <v>44272</v>
      </c>
      <c r="O101" s="621" t="s">
        <v>979</v>
      </c>
      <c r="P101" s="623">
        <f>+N101</f>
        <v>44272</v>
      </c>
      <c r="Q101" s="623"/>
      <c r="R101" s="626"/>
      <c r="S101" s="342"/>
      <c r="T101" s="342"/>
      <c r="U101" s="342"/>
      <c r="V101" s="342"/>
      <c r="W101" s="342"/>
      <c r="X101" s="342"/>
      <c r="Y101" s="342"/>
      <c r="Z101" s="342"/>
    </row>
    <row r="102" spans="1:26" ht="12" customHeight="1" x14ac:dyDescent="0.2">
      <c r="A102" s="600" t="s">
        <v>1066</v>
      </c>
      <c r="B102" s="601">
        <v>2434343</v>
      </c>
      <c r="C102" s="601" t="s">
        <v>1001</v>
      </c>
      <c r="D102" s="601" t="s">
        <v>766</v>
      </c>
      <c r="E102" s="601" t="s">
        <v>1067</v>
      </c>
      <c r="F102" s="602">
        <v>425598.96</v>
      </c>
      <c r="G102" s="602">
        <v>32167.96</v>
      </c>
      <c r="H102" s="602">
        <v>393431</v>
      </c>
      <c r="I102" s="602">
        <v>0</v>
      </c>
      <c r="J102" s="602">
        <v>0</v>
      </c>
      <c r="K102" s="601" t="s">
        <v>1068</v>
      </c>
      <c r="L102" s="603" t="s">
        <v>1069</v>
      </c>
      <c r="M102" s="601">
        <v>30</v>
      </c>
      <c r="N102" s="604">
        <v>43839</v>
      </c>
      <c r="O102" s="601" t="s">
        <v>197</v>
      </c>
      <c r="P102" s="601" t="s">
        <v>197</v>
      </c>
      <c r="Q102" s="604">
        <v>43923</v>
      </c>
      <c r="R102" s="616" t="s">
        <v>1060</v>
      </c>
      <c r="S102" s="342"/>
      <c r="T102" s="342"/>
      <c r="U102" s="342"/>
      <c r="V102" s="342"/>
      <c r="W102" s="342"/>
      <c r="X102" s="342"/>
      <c r="Y102" s="342"/>
      <c r="Z102" s="342"/>
    </row>
    <row r="103" spans="1:26" ht="12" customHeight="1" x14ac:dyDescent="0.2">
      <c r="A103" s="600" t="s">
        <v>1070</v>
      </c>
      <c r="B103" s="621">
        <v>2434455</v>
      </c>
      <c r="C103" s="621" t="s">
        <v>1001</v>
      </c>
      <c r="D103" s="601" t="s">
        <v>1062</v>
      </c>
      <c r="E103" s="601" t="s">
        <v>1071</v>
      </c>
      <c r="F103" s="602">
        <v>785323.19</v>
      </c>
      <c r="G103" s="602">
        <v>0</v>
      </c>
      <c r="H103" s="602">
        <v>785323.19</v>
      </c>
      <c r="I103" s="622">
        <v>0</v>
      </c>
      <c r="J103" s="622">
        <v>0</v>
      </c>
      <c r="K103" s="621" t="s">
        <v>1072</v>
      </c>
      <c r="L103" s="603" t="s">
        <v>1073</v>
      </c>
      <c r="M103" s="621">
        <v>90</v>
      </c>
      <c r="N103" s="623">
        <v>44169</v>
      </c>
      <c r="O103" s="621" t="s">
        <v>979</v>
      </c>
      <c r="P103" s="623">
        <f t="shared" ref="P103:P105" si="1">+N103</f>
        <v>44169</v>
      </c>
      <c r="Q103" s="623"/>
      <c r="R103" s="626"/>
      <c r="S103" s="342"/>
      <c r="T103" s="342"/>
      <c r="U103" s="342"/>
      <c r="V103" s="342"/>
      <c r="W103" s="342"/>
      <c r="X103" s="342"/>
      <c r="Y103" s="342"/>
      <c r="Z103" s="342"/>
    </row>
    <row r="104" spans="1:26" ht="12" customHeight="1" x14ac:dyDescent="0.2">
      <c r="A104" s="600" t="s">
        <v>1070</v>
      </c>
      <c r="B104" s="621">
        <v>2434455</v>
      </c>
      <c r="C104" s="621" t="s">
        <v>1001</v>
      </c>
      <c r="D104" s="601" t="str">
        <f>+D103</f>
        <v>CONCURSO OFERTA</v>
      </c>
      <c r="E104" s="601" t="s">
        <v>1074</v>
      </c>
      <c r="F104" s="622">
        <v>8767466.6899999995</v>
      </c>
      <c r="G104" s="622">
        <v>0</v>
      </c>
      <c r="H104" s="622">
        <v>4456510.95</v>
      </c>
      <c r="I104" s="622">
        <v>4310955.74</v>
      </c>
      <c r="J104" s="622">
        <v>0</v>
      </c>
      <c r="K104" s="621" t="s">
        <v>1075</v>
      </c>
      <c r="L104" s="603" t="s">
        <v>1076</v>
      </c>
      <c r="M104" s="621">
        <v>195</v>
      </c>
      <c r="N104" s="623">
        <v>44292</v>
      </c>
      <c r="O104" s="621" t="s">
        <v>979</v>
      </c>
      <c r="P104" s="623">
        <f t="shared" si="1"/>
        <v>44292</v>
      </c>
      <c r="Q104" s="623"/>
      <c r="R104" s="626"/>
      <c r="S104" s="342"/>
      <c r="T104" s="342"/>
      <c r="U104" s="342"/>
      <c r="V104" s="342"/>
      <c r="W104" s="342"/>
      <c r="X104" s="342"/>
      <c r="Y104" s="342"/>
      <c r="Z104" s="342"/>
    </row>
    <row r="105" spans="1:26" ht="12" customHeight="1" x14ac:dyDescent="0.2">
      <c r="A105" s="600" t="s">
        <v>1070</v>
      </c>
      <c r="B105" s="621">
        <v>2434455</v>
      </c>
      <c r="C105" s="621" t="s">
        <v>1001</v>
      </c>
      <c r="D105" s="601" t="s">
        <v>1062</v>
      </c>
      <c r="E105" s="601" t="s">
        <v>1077</v>
      </c>
      <c r="F105" s="622">
        <v>4116937.41</v>
      </c>
      <c r="G105" s="622">
        <v>0</v>
      </c>
      <c r="H105" s="622">
        <v>2412361.0699999998</v>
      </c>
      <c r="I105" s="622">
        <v>1704576.34</v>
      </c>
      <c r="J105" s="622">
        <v>0</v>
      </c>
      <c r="K105" s="621" t="s">
        <v>1075</v>
      </c>
      <c r="L105" s="603" t="s">
        <v>1078</v>
      </c>
      <c r="M105" s="621">
        <v>165</v>
      </c>
      <c r="N105" s="623">
        <v>44262</v>
      </c>
      <c r="O105" s="621" t="s">
        <v>979</v>
      </c>
      <c r="P105" s="623">
        <f t="shared" si="1"/>
        <v>44262</v>
      </c>
      <c r="Q105" s="623"/>
      <c r="R105" s="626"/>
      <c r="S105" s="342"/>
      <c r="T105" s="342"/>
      <c r="U105" s="342"/>
      <c r="V105" s="342"/>
      <c r="W105" s="342"/>
      <c r="X105" s="342"/>
      <c r="Y105" s="342"/>
      <c r="Z105" s="342"/>
    </row>
    <row r="106" spans="1:26" ht="12" customHeight="1" x14ac:dyDescent="0.2">
      <c r="A106" s="600" t="s">
        <v>1079</v>
      </c>
      <c r="B106" s="601">
        <v>2435086</v>
      </c>
      <c r="C106" s="601" t="s">
        <v>1001</v>
      </c>
      <c r="D106" s="601" t="s">
        <v>766</v>
      </c>
      <c r="E106" s="601" t="s">
        <v>1080</v>
      </c>
      <c r="F106" s="602">
        <v>3900673</v>
      </c>
      <c r="G106" s="602"/>
      <c r="H106" s="602">
        <v>3900673</v>
      </c>
      <c r="I106" s="608">
        <v>0</v>
      </c>
      <c r="J106" s="602">
        <v>0</v>
      </c>
      <c r="K106" s="601" t="s">
        <v>1081</v>
      </c>
      <c r="L106" s="603" t="s">
        <v>1082</v>
      </c>
      <c r="M106" s="601">
        <v>30</v>
      </c>
      <c r="N106" s="604">
        <v>43839</v>
      </c>
      <c r="O106" s="601" t="s">
        <v>197</v>
      </c>
      <c r="P106" s="601" t="s">
        <v>197</v>
      </c>
      <c r="Q106" s="604">
        <v>44222</v>
      </c>
      <c r="R106" s="616" t="s">
        <v>197</v>
      </c>
      <c r="S106" s="342"/>
      <c r="T106" s="342"/>
      <c r="U106" s="342"/>
      <c r="V106" s="342"/>
      <c r="W106" s="342"/>
      <c r="X106" s="342"/>
      <c r="Y106" s="342"/>
      <c r="Z106" s="342"/>
    </row>
    <row r="107" spans="1:26" ht="12" customHeight="1" x14ac:dyDescent="0.2">
      <c r="A107" s="600" t="s">
        <v>1083</v>
      </c>
      <c r="B107" s="601">
        <v>2437304</v>
      </c>
      <c r="C107" s="601" t="s">
        <v>1001</v>
      </c>
      <c r="D107" s="601" t="s">
        <v>766</v>
      </c>
      <c r="E107" s="601" t="s">
        <v>1084</v>
      </c>
      <c r="F107" s="602">
        <v>1044015</v>
      </c>
      <c r="G107" s="602"/>
      <c r="H107" s="602">
        <v>1044015</v>
      </c>
      <c r="I107" s="608">
        <v>0</v>
      </c>
      <c r="J107" s="602">
        <v>0</v>
      </c>
      <c r="K107" s="601" t="s">
        <v>1085</v>
      </c>
      <c r="L107" s="603" t="s">
        <v>1086</v>
      </c>
      <c r="M107" s="601">
        <v>60</v>
      </c>
      <c r="N107" s="604">
        <v>43857</v>
      </c>
      <c r="O107" s="601" t="s">
        <v>197</v>
      </c>
      <c r="P107" s="601" t="s">
        <v>197</v>
      </c>
      <c r="Q107" s="604">
        <v>44327</v>
      </c>
      <c r="R107" s="616" t="s">
        <v>197</v>
      </c>
      <c r="S107" s="342"/>
      <c r="T107" s="342"/>
      <c r="U107" s="342"/>
      <c r="V107" s="342"/>
      <c r="W107" s="342"/>
      <c r="X107" s="342"/>
      <c r="Y107" s="342"/>
      <c r="Z107" s="342"/>
    </row>
    <row r="108" spans="1:26" ht="12" customHeight="1" x14ac:dyDescent="0.2">
      <c r="A108" s="600" t="s">
        <v>1087</v>
      </c>
      <c r="B108" s="601">
        <v>2442579</v>
      </c>
      <c r="C108" s="601" t="s">
        <v>1001</v>
      </c>
      <c r="D108" s="601" t="s">
        <v>766</v>
      </c>
      <c r="E108" s="601" t="s">
        <v>1088</v>
      </c>
      <c r="F108" s="602">
        <v>1576981</v>
      </c>
      <c r="G108" s="602"/>
      <c r="H108" s="602">
        <v>1576981</v>
      </c>
      <c r="I108" s="608">
        <v>0</v>
      </c>
      <c r="J108" s="602">
        <v>0</v>
      </c>
      <c r="K108" s="601" t="s">
        <v>1089</v>
      </c>
      <c r="L108" s="603" t="s">
        <v>1090</v>
      </c>
      <c r="M108" s="601">
        <v>60</v>
      </c>
      <c r="N108" s="604">
        <v>43856</v>
      </c>
      <c r="O108" s="601" t="s">
        <v>197</v>
      </c>
      <c r="P108" s="601" t="s">
        <v>197</v>
      </c>
      <c r="Q108" s="604">
        <v>44408</v>
      </c>
      <c r="R108" s="616" t="s">
        <v>197</v>
      </c>
      <c r="S108" s="342"/>
      <c r="T108" s="342"/>
      <c r="U108" s="342"/>
      <c r="V108" s="342"/>
      <c r="W108" s="342"/>
      <c r="X108" s="342"/>
      <c r="Y108" s="342"/>
      <c r="Z108" s="342"/>
    </row>
    <row r="109" spans="1:26" ht="12" customHeight="1" x14ac:dyDescent="0.2">
      <c r="A109" s="600" t="s">
        <v>1091</v>
      </c>
      <c r="B109" s="601">
        <v>2448223</v>
      </c>
      <c r="C109" s="607" t="s">
        <v>884</v>
      </c>
      <c r="D109" s="601" t="s">
        <v>766</v>
      </c>
      <c r="E109" s="607" t="s">
        <v>1092</v>
      </c>
      <c r="F109" s="602">
        <v>64603.15</v>
      </c>
      <c r="G109" s="608">
        <v>64603.15</v>
      </c>
      <c r="H109" s="608">
        <v>0</v>
      </c>
      <c r="I109" s="602">
        <v>0</v>
      </c>
      <c r="J109" s="602">
        <v>0</v>
      </c>
      <c r="K109" s="609">
        <v>43809</v>
      </c>
      <c r="L109" s="612" t="s">
        <v>1093</v>
      </c>
      <c r="M109" s="607">
        <v>21</v>
      </c>
      <c r="N109" s="609">
        <v>43770</v>
      </c>
      <c r="O109" s="609"/>
      <c r="P109" s="609">
        <v>43790</v>
      </c>
      <c r="Q109" s="609">
        <v>43814</v>
      </c>
      <c r="R109" s="613">
        <v>43942</v>
      </c>
      <c r="S109" s="342"/>
      <c r="T109" s="342"/>
      <c r="U109" s="342"/>
      <c r="V109" s="342"/>
      <c r="W109" s="342"/>
      <c r="X109" s="342"/>
      <c r="Y109" s="342"/>
      <c r="Z109" s="342"/>
    </row>
    <row r="110" spans="1:26" ht="12" customHeight="1" x14ac:dyDescent="0.2">
      <c r="A110" s="600" t="s">
        <v>1094</v>
      </c>
      <c r="B110" s="601">
        <v>2448358</v>
      </c>
      <c r="C110" s="607" t="s">
        <v>884</v>
      </c>
      <c r="D110" s="601" t="s">
        <v>766</v>
      </c>
      <c r="E110" s="607" t="s">
        <v>1092</v>
      </c>
      <c r="F110" s="602">
        <v>144737.14000000001</v>
      </c>
      <c r="G110" s="608">
        <v>144737.14000000001</v>
      </c>
      <c r="H110" s="608">
        <v>0</v>
      </c>
      <c r="I110" s="602">
        <v>0</v>
      </c>
      <c r="J110" s="602">
        <v>0</v>
      </c>
      <c r="K110" s="609">
        <v>43809</v>
      </c>
      <c r="L110" s="612" t="s">
        <v>1093</v>
      </c>
      <c r="M110" s="607">
        <v>30</v>
      </c>
      <c r="N110" s="609">
        <v>43770</v>
      </c>
      <c r="O110" s="609"/>
      <c r="P110" s="609">
        <v>43799</v>
      </c>
      <c r="Q110" s="609">
        <v>43816</v>
      </c>
      <c r="R110" s="613">
        <v>44075</v>
      </c>
      <c r="S110" s="342"/>
      <c r="T110" s="342"/>
      <c r="U110" s="342"/>
      <c r="V110" s="342"/>
      <c r="W110" s="342"/>
      <c r="X110" s="342"/>
      <c r="Y110" s="342"/>
      <c r="Z110" s="342"/>
    </row>
    <row r="111" spans="1:26" ht="12" customHeight="1" x14ac:dyDescent="0.2">
      <c r="A111" s="600" t="s">
        <v>1095</v>
      </c>
      <c r="B111" s="601">
        <v>2448398</v>
      </c>
      <c r="C111" s="601" t="s">
        <v>884</v>
      </c>
      <c r="D111" s="601" t="s">
        <v>766</v>
      </c>
      <c r="E111" s="601" t="s">
        <v>1096</v>
      </c>
      <c r="F111" s="602">
        <v>114205.85</v>
      </c>
      <c r="G111" s="602">
        <v>114205.85</v>
      </c>
      <c r="H111" s="602">
        <v>0</v>
      </c>
      <c r="I111" s="602">
        <v>0</v>
      </c>
      <c r="J111" s="602">
        <v>0</v>
      </c>
      <c r="K111" s="604">
        <v>43802</v>
      </c>
      <c r="L111" s="603" t="s">
        <v>1097</v>
      </c>
      <c r="M111" s="601">
        <v>30</v>
      </c>
      <c r="N111" s="604">
        <v>43763</v>
      </c>
      <c r="O111" s="601"/>
      <c r="P111" s="604">
        <v>43792</v>
      </c>
      <c r="Q111" s="604" t="s">
        <v>1098</v>
      </c>
      <c r="R111" s="605"/>
      <c r="S111" s="342"/>
      <c r="T111" s="342"/>
      <c r="U111" s="342"/>
      <c r="V111" s="342"/>
      <c r="W111" s="342"/>
      <c r="X111" s="342"/>
      <c r="Y111" s="342"/>
      <c r="Z111" s="342"/>
    </row>
    <row r="112" spans="1:26" ht="12" customHeight="1" x14ac:dyDescent="0.2">
      <c r="A112" s="600" t="s">
        <v>1099</v>
      </c>
      <c r="B112" s="601">
        <v>2448473</v>
      </c>
      <c r="C112" s="607" t="s">
        <v>884</v>
      </c>
      <c r="D112" s="601" t="s">
        <v>766</v>
      </c>
      <c r="E112" s="607" t="s">
        <v>1092</v>
      </c>
      <c r="F112" s="602">
        <v>35662.54</v>
      </c>
      <c r="G112" s="608">
        <v>35662.54</v>
      </c>
      <c r="H112" s="608">
        <v>0</v>
      </c>
      <c r="I112" s="602">
        <v>0</v>
      </c>
      <c r="J112" s="602">
        <v>0</v>
      </c>
      <c r="K112" s="609">
        <v>43809</v>
      </c>
      <c r="L112" s="612" t="s">
        <v>1100</v>
      </c>
      <c r="M112" s="607">
        <v>15</v>
      </c>
      <c r="N112" s="609">
        <v>43770</v>
      </c>
      <c r="O112" s="609"/>
      <c r="P112" s="609">
        <v>43784</v>
      </c>
      <c r="Q112" s="609">
        <v>43814</v>
      </c>
      <c r="R112" s="613">
        <v>43951</v>
      </c>
      <c r="S112" s="342"/>
      <c r="T112" s="342"/>
      <c r="U112" s="342"/>
      <c r="V112" s="342"/>
      <c r="W112" s="342"/>
      <c r="X112" s="342"/>
      <c r="Y112" s="342"/>
      <c r="Z112" s="342"/>
    </row>
    <row r="113" spans="1:26" ht="12" customHeight="1" x14ac:dyDescent="0.2">
      <c r="A113" s="600" t="s">
        <v>1101</v>
      </c>
      <c r="B113" s="601">
        <v>2448539</v>
      </c>
      <c r="C113" s="607" t="s">
        <v>884</v>
      </c>
      <c r="D113" s="601" t="s">
        <v>766</v>
      </c>
      <c r="E113" s="607" t="s">
        <v>1096</v>
      </c>
      <c r="F113" s="602">
        <v>204182.13</v>
      </c>
      <c r="G113" s="608">
        <v>153887.57999999999</v>
      </c>
      <c r="H113" s="608">
        <v>50294.55</v>
      </c>
      <c r="I113" s="602">
        <v>0</v>
      </c>
      <c r="J113" s="602">
        <v>0</v>
      </c>
      <c r="K113" s="609">
        <v>43802</v>
      </c>
      <c r="L113" s="612" t="s">
        <v>1097</v>
      </c>
      <c r="M113" s="607">
        <v>60</v>
      </c>
      <c r="N113" s="609">
        <v>43763</v>
      </c>
      <c r="O113" s="609"/>
      <c r="P113" s="609">
        <v>43822</v>
      </c>
      <c r="Q113" s="609"/>
      <c r="R113" s="613"/>
      <c r="S113" s="342"/>
      <c r="T113" s="342"/>
      <c r="U113" s="342"/>
      <c r="V113" s="342"/>
      <c r="W113" s="342"/>
      <c r="X113" s="342"/>
      <c r="Y113" s="342"/>
      <c r="Z113" s="342"/>
    </row>
    <row r="114" spans="1:26" ht="12" customHeight="1" x14ac:dyDescent="0.2">
      <c r="A114" s="600" t="s">
        <v>1102</v>
      </c>
      <c r="B114" s="601">
        <v>2448564</v>
      </c>
      <c r="C114" s="601" t="s">
        <v>884</v>
      </c>
      <c r="D114" s="601" t="s">
        <v>766</v>
      </c>
      <c r="E114" s="601" t="s">
        <v>1096</v>
      </c>
      <c r="F114" s="602">
        <v>153290.01</v>
      </c>
      <c r="G114" s="602">
        <v>60397.21</v>
      </c>
      <c r="H114" s="602">
        <v>92892.800000000003</v>
      </c>
      <c r="I114" s="602">
        <v>0</v>
      </c>
      <c r="J114" s="602">
        <v>0</v>
      </c>
      <c r="K114" s="604">
        <v>43802</v>
      </c>
      <c r="L114" s="603" t="s">
        <v>1097</v>
      </c>
      <c r="M114" s="601">
        <v>45</v>
      </c>
      <c r="N114" s="604">
        <v>43763</v>
      </c>
      <c r="O114" s="601"/>
      <c r="P114" s="604">
        <v>43807</v>
      </c>
      <c r="Q114" s="604"/>
      <c r="R114" s="605"/>
      <c r="S114" s="342"/>
      <c r="T114" s="342"/>
      <c r="U114" s="342"/>
      <c r="V114" s="342"/>
      <c r="W114" s="342"/>
      <c r="X114" s="342"/>
      <c r="Y114" s="342"/>
      <c r="Z114" s="342"/>
    </row>
    <row r="115" spans="1:26" ht="12" customHeight="1" x14ac:dyDescent="0.2">
      <c r="A115" s="600" t="s">
        <v>1103</v>
      </c>
      <c r="B115" s="601">
        <v>2448659</v>
      </c>
      <c r="C115" s="601" t="s">
        <v>884</v>
      </c>
      <c r="D115" s="601" t="s">
        <v>766</v>
      </c>
      <c r="E115" s="601" t="s">
        <v>1096</v>
      </c>
      <c r="F115" s="602">
        <v>137057.23000000001</v>
      </c>
      <c r="G115" s="602">
        <v>44507.42</v>
      </c>
      <c r="H115" s="602">
        <v>92549.81</v>
      </c>
      <c r="I115" s="602">
        <v>0</v>
      </c>
      <c r="J115" s="602">
        <v>0</v>
      </c>
      <c r="K115" s="604">
        <v>43802</v>
      </c>
      <c r="L115" s="603" t="s">
        <v>1097</v>
      </c>
      <c r="M115" s="601">
        <v>45</v>
      </c>
      <c r="N115" s="604">
        <v>43764</v>
      </c>
      <c r="O115" s="601"/>
      <c r="P115" s="604">
        <v>43808</v>
      </c>
      <c r="Q115" s="604"/>
      <c r="R115" s="605"/>
      <c r="S115" s="342"/>
      <c r="T115" s="342"/>
      <c r="U115" s="342"/>
      <c r="V115" s="342"/>
      <c r="W115" s="342"/>
      <c r="X115" s="342"/>
      <c r="Y115" s="342"/>
      <c r="Z115" s="342"/>
    </row>
    <row r="116" spans="1:26" ht="12" customHeight="1" x14ac:dyDescent="0.2">
      <c r="A116" s="600" t="s">
        <v>1104</v>
      </c>
      <c r="B116" s="601">
        <v>2448661</v>
      </c>
      <c r="C116" s="607" t="s">
        <v>884</v>
      </c>
      <c r="D116" s="601" t="s">
        <v>766</v>
      </c>
      <c r="E116" s="607" t="s">
        <v>1096</v>
      </c>
      <c r="F116" s="602">
        <v>169529.3</v>
      </c>
      <c r="G116" s="608">
        <v>161693.75</v>
      </c>
      <c r="H116" s="608">
        <v>7835.55</v>
      </c>
      <c r="I116" s="602">
        <v>0</v>
      </c>
      <c r="J116" s="602">
        <v>0</v>
      </c>
      <c r="K116" s="609">
        <v>43802</v>
      </c>
      <c r="L116" s="612" t="s">
        <v>1097</v>
      </c>
      <c r="M116" s="607">
        <v>45</v>
      </c>
      <c r="N116" s="609">
        <v>43764</v>
      </c>
      <c r="O116" s="607"/>
      <c r="P116" s="609">
        <v>43808</v>
      </c>
      <c r="Q116" s="609">
        <v>43830</v>
      </c>
      <c r="R116" s="613"/>
      <c r="S116" s="342"/>
      <c r="T116" s="342"/>
      <c r="U116" s="342"/>
      <c r="V116" s="342"/>
      <c r="W116" s="342"/>
      <c r="X116" s="342"/>
      <c r="Y116" s="342"/>
      <c r="Z116" s="342"/>
    </row>
    <row r="117" spans="1:26" ht="12" customHeight="1" x14ac:dyDescent="0.2">
      <c r="A117" s="600" t="s">
        <v>1105</v>
      </c>
      <c r="B117" s="601">
        <v>2448674</v>
      </c>
      <c r="C117" s="601" t="s">
        <v>884</v>
      </c>
      <c r="D117" s="601" t="s">
        <v>766</v>
      </c>
      <c r="E117" s="601" t="s">
        <v>1096</v>
      </c>
      <c r="F117" s="602">
        <v>225465.44</v>
      </c>
      <c r="G117" s="602">
        <v>218698.78</v>
      </c>
      <c r="H117" s="602">
        <v>6766.66</v>
      </c>
      <c r="I117" s="602">
        <v>0</v>
      </c>
      <c r="J117" s="602">
        <v>0</v>
      </c>
      <c r="K117" s="604">
        <v>43802</v>
      </c>
      <c r="L117" s="603" t="s">
        <v>1097</v>
      </c>
      <c r="M117" s="601">
        <v>60</v>
      </c>
      <c r="N117" s="604">
        <v>43764</v>
      </c>
      <c r="O117" s="601"/>
      <c r="P117" s="604">
        <v>43823</v>
      </c>
      <c r="Q117" s="604"/>
      <c r="R117" s="605"/>
      <c r="S117" s="342"/>
      <c r="T117" s="342"/>
      <c r="U117" s="342"/>
      <c r="V117" s="342"/>
      <c r="W117" s="342"/>
      <c r="X117" s="342"/>
      <c r="Y117" s="342"/>
      <c r="Z117" s="342"/>
    </row>
    <row r="118" spans="1:26" ht="12" customHeight="1" x14ac:dyDescent="0.2">
      <c r="A118" s="600" t="s">
        <v>1106</v>
      </c>
      <c r="B118" s="601">
        <v>2448794</v>
      </c>
      <c r="C118" s="607" t="s">
        <v>884</v>
      </c>
      <c r="D118" s="601" t="s">
        <v>766</v>
      </c>
      <c r="E118" s="607" t="s">
        <v>1092</v>
      </c>
      <c r="F118" s="602">
        <v>61568.23</v>
      </c>
      <c r="G118" s="608">
        <v>61568.23</v>
      </c>
      <c r="H118" s="608"/>
      <c r="I118" s="602">
        <v>0</v>
      </c>
      <c r="J118" s="602">
        <v>0</v>
      </c>
      <c r="K118" s="609">
        <v>43809</v>
      </c>
      <c r="L118" s="612" t="s">
        <v>1100</v>
      </c>
      <c r="M118" s="607">
        <v>30</v>
      </c>
      <c r="N118" s="609">
        <v>43770</v>
      </c>
      <c r="O118" s="609"/>
      <c r="P118" s="609">
        <v>43799</v>
      </c>
      <c r="Q118" s="609">
        <v>43815</v>
      </c>
      <c r="R118" s="613">
        <v>43923</v>
      </c>
      <c r="S118" s="342"/>
      <c r="T118" s="342"/>
      <c r="U118" s="342"/>
      <c r="V118" s="342"/>
      <c r="W118" s="342"/>
      <c r="X118" s="342"/>
      <c r="Y118" s="342"/>
      <c r="Z118" s="342"/>
    </row>
    <row r="119" spans="1:26" ht="12" customHeight="1" x14ac:dyDescent="0.2">
      <c r="A119" s="600" t="s">
        <v>1107</v>
      </c>
      <c r="B119" s="601">
        <v>2448801</v>
      </c>
      <c r="C119" s="607" t="s">
        <v>884</v>
      </c>
      <c r="D119" s="601" t="s">
        <v>766</v>
      </c>
      <c r="E119" s="607" t="s">
        <v>1092</v>
      </c>
      <c r="F119" s="602">
        <v>127502.54</v>
      </c>
      <c r="G119" s="608">
        <v>127502.54</v>
      </c>
      <c r="H119" s="608">
        <v>0</v>
      </c>
      <c r="I119" s="602">
        <v>0</v>
      </c>
      <c r="J119" s="602">
        <v>0</v>
      </c>
      <c r="K119" s="609">
        <v>43809</v>
      </c>
      <c r="L119" s="612" t="s">
        <v>1093</v>
      </c>
      <c r="M119" s="607">
        <v>45</v>
      </c>
      <c r="N119" s="609">
        <v>43770</v>
      </c>
      <c r="O119" s="609"/>
      <c r="P119" s="609">
        <v>43814</v>
      </c>
      <c r="Q119" s="609">
        <v>43817</v>
      </c>
      <c r="R119" s="613">
        <v>44090</v>
      </c>
      <c r="S119" s="342"/>
      <c r="T119" s="342"/>
      <c r="U119" s="342"/>
      <c r="V119" s="342"/>
      <c r="W119" s="342"/>
      <c r="X119" s="342"/>
      <c r="Y119" s="342"/>
      <c r="Z119" s="342"/>
    </row>
    <row r="120" spans="1:26" ht="12" customHeight="1" x14ac:dyDescent="0.2">
      <c r="A120" s="600" t="s">
        <v>1108</v>
      </c>
      <c r="B120" s="601">
        <v>2450192</v>
      </c>
      <c r="C120" s="607" t="s">
        <v>884</v>
      </c>
      <c r="D120" s="601" t="s">
        <v>766</v>
      </c>
      <c r="E120" s="607" t="s">
        <v>1109</v>
      </c>
      <c r="F120" s="602">
        <v>26669581.579999998</v>
      </c>
      <c r="G120" s="608">
        <v>2460535.58</v>
      </c>
      <c r="H120" s="608">
        <v>24209046</v>
      </c>
      <c r="I120" s="608">
        <v>0</v>
      </c>
      <c r="J120" s="602">
        <v>0</v>
      </c>
      <c r="K120" s="609" t="s">
        <v>1110</v>
      </c>
      <c r="L120" s="612" t="s">
        <v>1111</v>
      </c>
      <c r="M120" s="607">
        <v>225</v>
      </c>
      <c r="N120" s="609">
        <v>44065</v>
      </c>
      <c r="O120" s="607">
        <v>148</v>
      </c>
      <c r="P120" s="609">
        <v>43905</v>
      </c>
      <c r="Q120" s="609">
        <v>44301</v>
      </c>
      <c r="R120" s="613">
        <v>44377</v>
      </c>
      <c r="S120" s="342"/>
      <c r="T120" s="342"/>
      <c r="U120" s="342"/>
      <c r="V120" s="342"/>
      <c r="W120" s="342"/>
      <c r="X120" s="342"/>
      <c r="Y120" s="342"/>
      <c r="Z120" s="342"/>
    </row>
    <row r="121" spans="1:26" ht="12" customHeight="1" x14ac:dyDescent="0.2">
      <c r="A121" s="600" t="s">
        <v>1112</v>
      </c>
      <c r="B121" s="601">
        <v>2450211</v>
      </c>
      <c r="C121" s="601" t="s">
        <v>884</v>
      </c>
      <c r="D121" s="601" t="s">
        <v>766</v>
      </c>
      <c r="E121" s="601" t="s">
        <v>1113</v>
      </c>
      <c r="F121" s="602">
        <v>915036.69</v>
      </c>
      <c r="G121" s="602">
        <v>574829.68999999994</v>
      </c>
      <c r="H121" s="602">
        <v>340207</v>
      </c>
      <c r="I121" s="608">
        <v>0</v>
      </c>
      <c r="J121" s="602">
        <v>0</v>
      </c>
      <c r="K121" s="601" t="s">
        <v>1114</v>
      </c>
      <c r="L121" s="603" t="s">
        <v>1115</v>
      </c>
      <c r="M121" s="601">
        <v>60</v>
      </c>
      <c r="N121" s="604">
        <v>43828</v>
      </c>
      <c r="O121" s="601" t="s">
        <v>197</v>
      </c>
      <c r="P121" s="604">
        <v>44194</v>
      </c>
      <c r="Q121" s="604">
        <v>43853</v>
      </c>
      <c r="R121" s="605">
        <v>44025</v>
      </c>
      <c r="S121" s="342"/>
      <c r="T121" s="342"/>
      <c r="U121" s="342"/>
      <c r="V121" s="342"/>
      <c r="W121" s="342"/>
      <c r="X121" s="342"/>
      <c r="Y121" s="342"/>
      <c r="Z121" s="342"/>
    </row>
    <row r="122" spans="1:26" ht="12" customHeight="1" x14ac:dyDescent="0.2">
      <c r="A122" s="600" t="s">
        <v>1116</v>
      </c>
      <c r="B122" s="601">
        <v>2456357</v>
      </c>
      <c r="C122" s="607" t="s">
        <v>884</v>
      </c>
      <c r="D122" s="601" t="s">
        <v>766</v>
      </c>
      <c r="E122" s="607" t="s">
        <v>1117</v>
      </c>
      <c r="F122" s="602">
        <v>4961761</v>
      </c>
      <c r="G122" s="608"/>
      <c r="H122" s="608">
        <v>4961761</v>
      </c>
      <c r="I122" s="608">
        <v>0</v>
      </c>
      <c r="J122" s="602">
        <v>0</v>
      </c>
      <c r="K122" s="609" t="s">
        <v>1118</v>
      </c>
      <c r="L122" s="612" t="s">
        <v>1119</v>
      </c>
      <c r="M122" s="607">
        <v>180</v>
      </c>
      <c r="N122" s="609">
        <v>44258</v>
      </c>
      <c r="O122" s="607" t="s">
        <v>197</v>
      </c>
      <c r="P122" s="609" t="s">
        <v>197</v>
      </c>
      <c r="Q122" s="609">
        <v>44289</v>
      </c>
      <c r="R122" s="613">
        <v>44365</v>
      </c>
      <c r="S122" s="342"/>
      <c r="T122" s="342"/>
      <c r="U122" s="342"/>
      <c r="V122" s="342"/>
      <c r="W122" s="342"/>
      <c r="X122" s="342"/>
      <c r="Y122" s="342"/>
      <c r="Z122" s="342"/>
    </row>
    <row r="123" spans="1:26" ht="12" customHeight="1" x14ac:dyDescent="0.2">
      <c r="A123" s="600" t="s">
        <v>1120</v>
      </c>
      <c r="B123" s="601" t="s">
        <v>1121</v>
      </c>
      <c r="C123" s="607" t="s">
        <v>884</v>
      </c>
      <c r="D123" s="601" t="s">
        <v>766</v>
      </c>
      <c r="E123" s="607" t="s">
        <v>1096</v>
      </c>
      <c r="F123" s="602">
        <v>89270.05</v>
      </c>
      <c r="G123" s="608">
        <v>68779.55</v>
      </c>
      <c r="H123" s="608">
        <v>20490.5</v>
      </c>
      <c r="I123" s="602">
        <v>0</v>
      </c>
      <c r="J123" s="602">
        <v>0</v>
      </c>
      <c r="K123" s="609">
        <v>43802</v>
      </c>
      <c r="L123" s="612" t="s">
        <v>1097</v>
      </c>
      <c r="M123" s="607">
        <v>30</v>
      </c>
      <c r="N123" s="609">
        <v>43763</v>
      </c>
      <c r="O123" s="607"/>
      <c r="P123" s="609">
        <v>43792</v>
      </c>
      <c r="Q123" s="609">
        <v>43830</v>
      </c>
      <c r="R123" s="613"/>
      <c r="S123" s="342"/>
      <c r="T123" s="342"/>
      <c r="U123" s="342"/>
      <c r="V123" s="342"/>
      <c r="W123" s="342"/>
      <c r="X123" s="342"/>
      <c r="Y123" s="342"/>
      <c r="Z123" s="342"/>
    </row>
    <row r="124" spans="1:26" ht="22.5" customHeight="1" x14ac:dyDescent="0.2">
      <c r="A124" s="627" t="s">
        <v>284</v>
      </c>
      <c r="B124" s="628"/>
      <c r="C124" s="628"/>
      <c r="D124" s="628"/>
      <c r="E124" s="628"/>
      <c r="F124" s="629">
        <f t="shared" ref="F124:J124" si="2">SUM(F5:F123)</f>
        <v>794693617.43000019</v>
      </c>
      <c r="G124" s="629">
        <f t="shared" si="2"/>
        <v>250746650.16999999</v>
      </c>
      <c r="H124" s="629">
        <f t="shared" si="2"/>
        <v>336395533.39000005</v>
      </c>
      <c r="I124" s="629">
        <f t="shared" si="2"/>
        <v>126614492.16999997</v>
      </c>
      <c r="J124" s="629">
        <f t="shared" si="2"/>
        <v>80936941.700000003</v>
      </c>
      <c r="K124" s="628"/>
      <c r="L124" s="630"/>
      <c r="M124" s="628"/>
      <c r="N124" s="628"/>
      <c r="O124" s="628"/>
      <c r="P124" s="628"/>
      <c r="Q124" s="628"/>
      <c r="R124" s="631"/>
      <c r="S124" s="342"/>
      <c r="T124" s="342"/>
      <c r="U124" s="342"/>
      <c r="V124" s="342"/>
      <c r="W124" s="342"/>
      <c r="X124" s="342"/>
      <c r="Y124" s="342"/>
      <c r="Z124" s="342"/>
    </row>
    <row r="125" spans="1:26" ht="12" customHeight="1" x14ac:dyDescent="0.2">
      <c r="A125" s="339" t="s">
        <v>1122</v>
      </c>
      <c r="B125" s="213"/>
      <c r="C125" s="213"/>
      <c r="D125" s="213"/>
      <c r="E125" s="213"/>
      <c r="F125" s="590"/>
      <c r="G125" s="590"/>
      <c r="H125" s="590"/>
      <c r="I125" s="590"/>
      <c r="J125" s="590"/>
      <c r="K125" s="213"/>
      <c r="L125" s="343"/>
      <c r="M125" s="213"/>
      <c r="N125" s="213"/>
      <c r="O125" s="213"/>
      <c r="P125" s="213"/>
      <c r="Q125" s="271"/>
      <c r="R125" s="271"/>
      <c r="S125" s="342"/>
      <c r="T125" s="342"/>
      <c r="U125" s="342"/>
      <c r="V125" s="342"/>
      <c r="W125" s="342"/>
      <c r="X125" s="342"/>
      <c r="Y125" s="342"/>
      <c r="Z125" s="342"/>
    </row>
    <row r="126" spans="1:26" ht="12" customHeight="1" x14ac:dyDescent="0.2">
      <c r="A126" s="593"/>
      <c r="B126" s="591"/>
      <c r="C126" s="271"/>
      <c r="D126" s="271"/>
      <c r="E126" s="271"/>
      <c r="F126" s="592"/>
      <c r="G126" s="592"/>
      <c r="H126" s="592"/>
      <c r="I126" s="592"/>
      <c r="J126" s="592"/>
      <c r="K126" s="271"/>
      <c r="L126" s="339"/>
      <c r="M126" s="271"/>
      <c r="N126" s="271"/>
      <c r="O126" s="271"/>
      <c r="P126" s="271"/>
      <c r="Q126" s="271"/>
      <c r="R126" s="271"/>
      <c r="S126" s="342"/>
      <c r="T126" s="342"/>
      <c r="U126" s="342"/>
      <c r="V126" s="342"/>
      <c r="W126" s="342"/>
      <c r="X126" s="342"/>
      <c r="Y126" s="342"/>
      <c r="Z126" s="342"/>
    </row>
    <row r="127" spans="1:26" ht="12" customHeight="1" x14ac:dyDescent="0.2">
      <c r="A127" s="593"/>
      <c r="B127" s="271"/>
      <c r="C127" s="271"/>
      <c r="D127" s="271"/>
      <c r="E127" s="271"/>
      <c r="F127" s="592"/>
      <c r="G127" s="592"/>
      <c r="H127" s="592"/>
      <c r="I127" s="592"/>
      <c r="J127" s="592"/>
      <c r="K127" s="271"/>
      <c r="L127" s="339"/>
      <c r="M127" s="271"/>
      <c r="N127" s="271"/>
      <c r="O127" s="271"/>
      <c r="P127" s="271"/>
      <c r="Q127" s="271"/>
      <c r="R127" s="271"/>
      <c r="S127" s="342"/>
      <c r="T127" s="342"/>
      <c r="U127" s="342"/>
      <c r="V127" s="342"/>
      <c r="W127" s="342"/>
      <c r="X127" s="342"/>
      <c r="Y127" s="342"/>
      <c r="Z127" s="342"/>
    </row>
    <row r="128" spans="1:26" ht="12" customHeight="1" x14ac:dyDescent="0.2">
      <c r="A128" s="593"/>
      <c r="B128" s="271"/>
      <c r="C128" s="271"/>
      <c r="D128" s="271"/>
      <c r="E128" s="271"/>
      <c r="F128" s="592"/>
      <c r="G128" s="592"/>
      <c r="H128" s="592"/>
      <c r="I128" s="592"/>
      <c r="J128" s="592"/>
      <c r="K128" s="271"/>
      <c r="L128" s="339"/>
      <c r="M128" s="271"/>
      <c r="N128" s="271"/>
      <c r="O128" s="271"/>
      <c r="P128" s="271"/>
      <c r="Q128" s="271"/>
      <c r="R128" s="271"/>
      <c r="S128" s="342"/>
      <c r="T128" s="342"/>
      <c r="U128" s="342"/>
      <c r="V128" s="342"/>
      <c r="W128" s="342"/>
      <c r="X128" s="342"/>
      <c r="Y128" s="342"/>
      <c r="Z128" s="342"/>
    </row>
    <row r="129" spans="1:26" ht="12" customHeight="1" x14ac:dyDescent="0.2">
      <c r="A129" s="593"/>
      <c r="B129" s="271"/>
      <c r="C129" s="271"/>
      <c r="D129" s="271"/>
      <c r="E129" s="271"/>
      <c r="F129" s="592"/>
      <c r="G129" s="592"/>
      <c r="H129" s="592"/>
      <c r="I129" s="592"/>
      <c r="J129" s="592"/>
      <c r="K129" s="271"/>
      <c r="L129" s="339"/>
      <c r="M129" s="271"/>
      <c r="N129" s="271"/>
      <c r="O129" s="271"/>
      <c r="P129" s="271"/>
      <c r="Q129" s="271"/>
      <c r="R129" s="271"/>
      <c r="S129" s="342"/>
      <c r="T129" s="342"/>
      <c r="U129" s="342"/>
      <c r="V129" s="342"/>
      <c r="W129" s="342"/>
      <c r="X129" s="342"/>
      <c r="Y129" s="342"/>
      <c r="Z129" s="342"/>
    </row>
  </sheetData>
  <autoFilter ref="A4:R123" xr:uid="{00000000-0009-0000-0000-00000D000000}">
    <sortState xmlns:xlrd2="http://schemas.microsoft.com/office/spreadsheetml/2017/richdata2" ref="A4:R123">
      <sortCondition ref="B4:B123"/>
    </sortState>
  </autoFilter>
  <mergeCells count="1">
    <mergeCell ref="A2:E2"/>
  </mergeCells>
  <printOptions horizontalCentered="1"/>
  <pageMargins left="0.23622047244094491" right="0.23622047244094491" top="0.74803149606299213" bottom="0.74803149606299213" header="0" footer="0"/>
  <pageSetup paperSize="8" fitToHeight="0" orientation="landscape"/>
  <headerFooter>
    <oddHeader>&amp;CPROYECTO DE PRESUPUESTO 2021</oddHeader>
    <oddFooter>&amp;LPROYECTO DE PRESUPUESTO PARA EL AÑO FISCAL 2020 INFORMACIÓN PARA LA COMISIÓN DE PRESUPUESTO Y CUENTA GENERAL DE LA REPÚBLICA DEL CONGRESO DE LA REPÚBLICA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8064A2"/>
    <pageSetUpPr fitToPage="1"/>
  </sheetPr>
  <dimension ref="A1:X212"/>
  <sheetViews>
    <sheetView showGridLines="0" workbookViewId="0">
      <pane ySplit="4" topLeftCell="A5" activePane="bottomLeft" state="frozen"/>
      <selection pane="bottomLeft" activeCell="B6" sqref="B6"/>
    </sheetView>
  </sheetViews>
  <sheetFormatPr baseColWidth="10" defaultColWidth="14.42578125" defaultRowHeight="15" customHeight="1" x14ac:dyDescent="0.2"/>
  <cols>
    <col min="1" max="1" width="46.85546875" customWidth="1"/>
    <col min="2" max="3" width="13" customWidth="1"/>
    <col min="4" max="4" width="20.7109375" customWidth="1"/>
    <col min="5" max="5" width="11.85546875" customWidth="1"/>
    <col min="6" max="6" width="38.85546875" customWidth="1"/>
    <col min="7" max="7" width="12.28515625" customWidth="1"/>
    <col min="8" max="8" width="14.85546875" customWidth="1"/>
    <col min="9" max="9" width="13.28515625" customWidth="1"/>
    <col min="10" max="10" width="15.7109375" customWidth="1"/>
    <col min="11" max="24" width="11.42578125" customWidth="1"/>
  </cols>
  <sheetData>
    <row r="1" spans="1:24" ht="15.75" customHeight="1" x14ac:dyDescent="0.2">
      <c r="A1" s="16" t="s">
        <v>1123</v>
      </c>
      <c r="B1" s="16"/>
      <c r="C1" s="16"/>
      <c r="D1" s="16"/>
      <c r="E1" s="16"/>
      <c r="F1" s="48"/>
      <c r="G1" s="48"/>
      <c r="H1" s="48"/>
      <c r="I1" s="48"/>
      <c r="J1" s="48"/>
      <c r="K1" s="342"/>
      <c r="L1" s="342"/>
      <c r="M1" s="342"/>
      <c r="N1" s="342"/>
      <c r="O1" s="342"/>
      <c r="P1" s="342"/>
      <c r="Q1" s="342"/>
      <c r="R1" s="342"/>
      <c r="S1" s="342"/>
      <c r="T1" s="342"/>
      <c r="U1" s="342"/>
      <c r="V1" s="342"/>
      <c r="W1" s="342"/>
      <c r="X1" s="342"/>
    </row>
    <row r="2" spans="1:24" ht="15" customHeight="1" x14ac:dyDescent="0.2">
      <c r="A2" s="16" t="s">
        <v>422</v>
      </c>
      <c r="B2" s="16"/>
      <c r="C2" s="16"/>
      <c r="D2" s="16"/>
      <c r="E2" s="16"/>
      <c r="F2" s="48"/>
      <c r="G2" s="48"/>
      <c r="H2" s="48"/>
      <c r="I2" s="48"/>
      <c r="J2" s="48"/>
      <c r="K2" s="48"/>
      <c r="L2" s="48"/>
      <c r="M2" s="48"/>
      <c r="N2" s="48"/>
      <c r="O2" s="48"/>
      <c r="P2" s="48"/>
      <c r="Q2" s="48"/>
      <c r="R2" s="48"/>
      <c r="S2" s="48"/>
      <c r="T2" s="48"/>
      <c r="U2" s="48"/>
      <c r="V2" s="48"/>
      <c r="W2" s="48"/>
      <c r="X2" s="48"/>
    </row>
    <row r="3" spans="1:24" ht="6.75" customHeight="1" x14ac:dyDescent="0.2">
      <c r="A3" s="341"/>
      <c r="B3" s="341"/>
      <c r="C3" s="341"/>
      <c r="D3" s="341"/>
      <c r="E3" s="341"/>
      <c r="F3" s="341"/>
      <c r="G3" s="632"/>
      <c r="H3" s="342"/>
      <c r="I3" s="342"/>
      <c r="J3" s="342"/>
      <c r="K3" s="342"/>
      <c r="L3" s="342"/>
      <c r="M3" s="342"/>
      <c r="N3" s="342"/>
      <c r="O3" s="342"/>
      <c r="P3" s="342"/>
      <c r="Q3" s="342"/>
      <c r="R3" s="342"/>
      <c r="S3" s="342"/>
      <c r="T3" s="342"/>
      <c r="U3" s="342"/>
      <c r="V3" s="342"/>
      <c r="W3" s="342"/>
      <c r="X3" s="342"/>
    </row>
    <row r="4" spans="1:24" ht="40.5" customHeight="1" x14ac:dyDescent="0.2">
      <c r="A4" s="633" t="s">
        <v>1124</v>
      </c>
      <c r="B4" s="595" t="s">
        <v>752</v>
      </c>
      <c r="C4" s="595" t="s">
        <v>753</v>
      </c>
      <c r="D4" s="595" t="s">
        <v>754</v>
      </c>
      <c r="E4" s="595" t="s">
        <v>1125</v>
      </c>
      <c r="F4" s="595" t="s">
        <v>757</v>
      </c>
      <c r="G4" s="595" t="s">
        <v>1126</v>
      </c>
      <c r="H4" s="595" t="s">
        <v>756</v>
      </c>
      <c r="I4" s="595" t="s">
        <v>762</v>
      </c>
      <c r="J4" s="599" t="s">
        <v>1127</v>
      </c>
      <c r="K4" s="342"/>
      <c r="L4" s="342"/>
      <c r="M4" s="342"/>
      <c r="N4" s="342"/>
      <c r="O4" s="342"/>
      <c r="P4" s="342"/>
      <c r="Q4" s="342"/>
      <c r="R4" s="342"/>
      <c r="S4" s="342"/>
      <c r="T4" s="342"/>
      <c r="U4" s="342"/>
      <c r="V4" s="342"/>
      <c r="W4" s="342"/>
      <c r="X4" s="342"/>
    </row>
    <row r="5" spans="1:24" ht="12" customHeight="1" x14ac:dyDescent="0.2">
      <c r="A5" s="634" t="s">
        <v>1128</v>
      </c>
      <c r="B5" s="635" t="s">
        <v>1129</v>
      </c>
      <c r="C5" s="635" t="s">
        <v>766</v>
      </c>
      <c r="D5" s="636" t="s">
        <v>1130</v>
      </c>
      <c r="E5" s="637">
        <v>190877.54</v>
      </c>
      <c r="F5" s="636" t="s">
        <v>1131</v>
      </c>
      <c r="G5" s="638" t="s">
        <v>1132</v>
      </c>
      <c r="H5" s="639">
        <v>42838</v>
      </c>
      <c r="I5" s="639">
        <v>44165</v>
      </c>
      <c r="J5" s="640"/>
      <c r="K5" s="342"/>
      <c r="L5" s="342"/>
      <c r="M5" s="342"/>
      <c r="N5" s="342"/>
      <c r="O5" s="342"/>
      <c r="P5" s="342"/>
      <c r="Q5" s="342"/>
      <c r="R5" s="342"/>
      <c r="S5" s="342"/>
      <c r="T5" s="342"/>
      <c r="U5" s="342"/>
      <c r="V5" s="342"/>
      <c r="W5" s="342"/>
      <c r="X5" s="342"/>
    </row>
    <row r="6" spans="1:24" ht="12" customHeight="1" x14ac:dyDescent="0.2">
      <c r="A6" s="634" t="s">
        <v>1133</v>
      </c>
      <c r="B6" s="635" t="s">
        <v>830</v>
      </c>
      <c r="C6" s="635" t="s">
        <v>766</v>
      </c>
      <c r="D6" s="636" t="s">
        <v>1134</v>
      </c>
      <c r="E6" s="637">
        <v>467640</v>
      </c>
      <c r="F6" s="636" t="s">
        <v>1135</v>
      </c>
      <c r="G6" s="638" t="s">
        <v>1132</v>
      </c>
      <c r="H6" s="639">
        <v>43109</v>
      </c>
      <c r="I6" s="639">
        <v>44205</v>
      </c>
      <c r="J6" s="640"/>
      <c r="K6" s="342"/>
      <c r="L6" s="342"/>
      <c r="M6" s="342"/>
      <c r="N6" s="342"/>
      <c r="O6" s="342"/>
      <c r="P6" s="342"/>
      <c r="Q6" s="342"/>
      <c r="R6" s="342"/>
      <c r="S6" s="342"/>
      <c r="T6" s="342"/>
      <c r="U6" s="342"/>
      <c r="V6" s="342"/>
      <c r="W6" s="342"/>
      <c r="X6" s="342"/>
    </row>
    <row r="7" spans="1:24" ht="12" customHeight="1" x14ac:dyDescent="0.2">
      <c r="A7" s="634" t="s">
        <v>1136</v>
      </c>
      <c r="B7" s="635" t="s">
        <v>1137</v>
      </c>
      <c r="C7" s="635" t="s">
        <v>766</v>
      </c>
      <c r="D7" s="636" t="s">
        <v>1138</v>
      </c>
      <c r="E7" s="637">
        <v>132000</v>
      </c>
      <c r="F7" s="636" t="s">
        <v>1139</v>
      </c>
      <c r="G7" s="638" t="s">
        <v>1132</v>
      </c>
      <c r="H7" s="639">
        <v>43112</v>
      </c>
      <c r="I7" s="639"/>
      <c r="J7" s="640"/>
      <c r="K7" s="342"/>
      <c r="L7" s="342"/>
      <c r="M7" s="342"/>
      <c r="N7" s="342"/>
      <c r="O7" s="342"/>
      <c r="P7" s="342"/>
      <c r="Q7" s="342"/>
      <c r="R7" s="342"/>
      <c r="S7" s="342"/>
      <c r="T7" s="342"/>
      <c r="U7" s="342"/>
      <c r="V7" s="342"/>
      <c r="W7" s="342"/>
      <c r="X7" s="342"/>
    </row>
    <row r="8" spans="1:24" ht="12" customHeight="1" x14ac:dyDescent="0.2">
      <c r="A8" s="634" t="s">
        <v>1140</v>
      </c>
      <c r="B8" s="635" t="s">
        <v>1137</v>
      </c>
      <c r="C8" s="635" t="s">
        <v>766</v>
      </c>
      <c r="D8" s="636" t="s">
        <v>1141</v>
      </c>
      <c r="E8" s="637">
        <v>62877</v>
      </c>
      <c r="F8" s="636" t="s">
        <v>1142</v>
      </c>
      <c r="G8" s="638" t="s">
        <v>1143</v>
      </c>
      <c r="H8" s="639">
        <v>43236</v>
      </c>
      <c r="I8" s="639">
        <v>43830</v>
      </c>
      <c r="J8" s="640"/>
      <c r="K8" s="342"/>
      <c r="L8" s="342"/>
      <c r="M8" s="342"/>
      <c r="N8" s="342"/>
      <c r="O8" s="342"/>
      <c r="P8" s="342"/>
      <c r="Q8" s="342"/>
      <c r="R8" s="342"/>
      <c r="S8" s="342"/>
      <c r="T8" s="342"/>
      <c r="U8" s="342"/>
      <c r="V8" s="342"/>
      <c r="W8" s="342"/>
      <c r="X8" s="342"/>
    </row>
    <row r="9" spans="1:24" ht="12" customHeight="1" x14ac:dyDescent="0.2">
      <c r="A9" s="634" t="s">
        <v>1144</v>
      </c>
      <c r="B9" s="635" t="s">
        <v>945</v>
      </c>
      <c r="C9" s="635" t="s">
        <v>766</v>
      </c>
      <c r="D9" s="636" t="s">
        <v>1145</v>
      </c>
      <c r="E9" s="637">
        <v>3312000</v>
      </c>
      <c r="F9" s="636" t="s">
        <v>1146</v>
      </c>
      <c r="G9" s="638" t="s">
        <v>1132</v>
      </c>
      <c r="H9" s="639">
        <v>43465</v>
      </c>
      <c r="I9" s="639">
        <v>44561</v>
      </c>
      <c r="J9" s="640"/>
      <c r="K9" s="342"/>
      <c r="L9" s="342"/>
      <c r="M9" s="342"/>
      <c r="N9" s="342"/>
      <c r="O9" s="342"/>
      <c r="P9" s="342"/>
      <c r="Q9" s="342"/>
      <c r="R9" s="342"/>
      <c r="S9" s="342"/>
      <c r="T9" s="342"/>
      <c r="U9" s="342"/>
      <c r="V9" s="342"/>
      <c r="W9" s="342"/>
      <c r="X9" s="342"/>
    </row>
    <row r="10" spans="1:24" ht="12" customHeight="1" x14ac:dyDescent="0.2">
      <c r="A10" s="634" t="s">
        <v>1147</v>
      </c>
      <c r="B10" s="635" t="s">
        <v>945</v>
      </c>
      <c r="C10" s="635" t="s">
        <v>766</v>
      </c>
      <c r="D10" s="636" t="s">
        <v>1145</v>
      </c>
      <c r="E10" s="637">
        <v>1372000</v>
      </c>
      <c r="F10" s="636" t="s">
        <v>1146</v>
      </c>
      <c r="G10" s="638" t="s">
        <v>1132</v>
      </c>
      <c r="H10" s="639">
        <v>43465</v>
      </c>
      <c r="I10" s="639">
        <v>44561</v>
      </c>
      <c r="J10" s="640"/>
      <c r="K10" s="342"/>
      <c r="L10" s="342"/>
      <c r="M10" s="342"/>
      <c r="N10" s="342"/>
      <c r="O10" s="342"/>
      <c r="P10" s="342"/>
      <c r="Q10" s="342"/>
      <c r="R10" s="342"/>
      <c r="S10" s="342"/>
      <c r="T10" s="342"/>
      <c r="U10" s="342"/>
      <c r="V10" s="342"/>
      <c r="W10" s="342"/>
      <c r="X10" s="342"/>
    </row>
    <row r="11" spans="1:24" ht="12" customHeight="1" x14ac:dyDescent="0.2">
      <c r="A11" s="634" t="s">
        <v>1148</v>
      </c>
      <c r="B11" s="635" t="s">
        <v>830</v>
      </c>
      <c r="C11" s="635" t="s">
        <v>766</v>
      </c>
      <c r="D11" s="636" t="s">
        <v>1149</v>
      </c>
      <c r="E11" s="637">
        <v>69130</v>
      </c>
      <c r="F11" s="636" t="s">
        <v>1150</v>
      </c>
      <c r="G11" s="638" t="s">
        <v>1143</v>
      </c>
      <c r="H11" s="639">
        <v>43466</v>
      </c>
      <c r="I11" s="639">
        <v>43585</v>
      </c>
      <c r="J11" s="640"/>
      <c r="K11" s="342"/>
      <c r="L11" s="342"/>
      <c r="M11" s="342"/>
      <c r="N11" s="342"/>
      <c r="O11" s="342"/>
      <c r="P11" s="342"/>
      <c r="Q11" s="342"/>
      <c r="R11" s="342"/>
      <c r="S11" s="342"/>
      <c r="T11" s="342"/>
      <c r="U11" s="342"/>
      <c r="V11" s="342"/>
      <c r="W11" s="342"/>
      <c r="X11" s="342"/>
    </row>
    <row r="12" spans="1:24" ht="12" customHeight="1" x14ac:dyDescent="0.2">
      <c r="A12" s="634" t="s">
        <v>1151</v>
      </c>
      <c r="B12" s="635" t="s">
        <v>945</v>
      </c>
      <c r="C12" s="635" t="s">
        <v>766</v>
      </c>
      <c r="D12" s="636" t="s">
        <v>1152</v>
      </c>
      <c r="E12" s="637">
        <v>554718.56000000006</v>
      </c>
      <c r="F12" s="636" t="s">
        <v>1153</v>
      </c>
      <c r="G12" s="638" t="s">
        <v>1143</v>
      </c>
      <c r="H12" s="639">
        <v>43485</v>
      </c>
      <c r="I12" s="639">
        <v>43724</v>
      </c>
      <c r="J12" s="640"/>
      <c r="K12" s="342"/>
      <c r="L12" s="342"/>
      <c r="M12" s="342"/>
      <c r="N12" s="342"/>
      <c r="O12" s="342"/>
      <c r="P12" s="342"/>
      <c r="Q12" s="342"/>
      <c r="R12" s="342"/>
      <c r="S12" s="342"/>
      <c r="T12" s="342"/>
      <c r="U12" s="342"/>
      <c r="V12" s="342"/>
      <c r="W12" s="342"/>
      <c r="X12" s="342"/>
    </row>
    <row r="13" spans="1:24" ht="12" customHeight="1" x14ac:dyDescent="0.2">
      <c r="A13" s="634" t="s">
        <v>1154</v>
      </c>
      <c r="B13" s="635" t="s">
        <v>830</v>
      </c>
      <c r="C13" s="635" t="s">
        <v>766</v>
      </c>
      <c r="D13" s="636" t="s">
        <v>1155</v>
      </c>
      <c r="E13" s="637">
        <v>131796</v>
      </c>
      <c r="F13" s="636" t="s">
        <v>1156</v>
      </c>
      <c r="G13" s="638" t="s">
        <v>1132</v>
      </c>
      <c r="H13" s="639">
        <v>43501</v>
      </c>
      <c r="I13" s="639">
        <v>44705</v>
      </c>
      <c r="J13" s="640"/>
      <c r="K13" s="342"/>
      <c r="L13" s="342"/>
      <c r="M13" s="342"/>
      <c r="N13" s="342"/>
      <c r="O13" s="342"/>
      <c r="P13" s="342"/>
      <c r="Q13" s="342"/>
      <c r="R13" s="342"/>
      <c r="S13" s="342"/>
      <c r="T13" s="342"/>
      <c r="U13" s="342"/>
      <c r="V13" s="342"/>
      <c r="W13" s="342"/>
      <c r="X13" s="342"/>
    </row>
    <row r="14" spans="1:24" ht="12" customHeight="1" x14ac:dyDescent="0.2">
      <c r="A14" s="634" t="s">
        <v>1157</v>
      </c>
      <c r="B14" s="635" t="s">
        <v>884</v>
      </c>
      <c r="C14" s="635" t="s">
        <v>766</v>
      </c>
      <c r="D14" s="641" t="s">
        <v>1158</v>
      </c>
      <c r="E14" s="637">
        <v>99050</v>
      </c>
      <c r="F14" s="636" t="s">
        <v>1159</v>
      </c>
      <c r="G14" s="638" t="s">
        <v>1143</v>
      </c>
      <c r="H14" s="639">
        <v>43502</v>
      </c>
      <c r="I14" s="639">
        <v>43557</v>
      </c>
      <c r="J14" s="640"/>
      <c r="K14" s="342"/>
      <c r="L14" s="342"/>
      <c r="M14" s="342"/>
      <c r="N14" s="342"/>
      <c r="O14" s="342"/>
      <c r="P14" s="342"/>
      <c r="Q14" s="342"/>
      <c r="R14" s="342"/>
      <c r="S14" s="342"/>
      <c r="T14" s="342"/>
      <c r="U14" s="342"/>
      <c r="V14" s="342"/>
      <c r="W14" s="342"/>
      <c r="X14" s="342"/>
    </row>
    <row r="15" spans="1:24" ht="12" customHeight="1" x14ac:dyDescent="0.2">
      <c r="A15" s="634" t="s">
        <v>1160</v>
      </c>
      <c r="B15" s="635" t="s">
        <v>884</v>
      </c>
      <c r="C15" s="635" t="s">
        <v>766</v>
      </c>
      <c r="D15" s="641" t="s">
        <v>1161</v>
      </c>
      <c r="E15" s="637">
        <v>221760</v>
      </c>
      <c r="F15" s="636" t="s">
        <v>1162</v>
      </c>
      <c r="G15" s="638" t="s">
        <v>1132</v>
      </c>
      <c r="H15" s="639">
        <v>43516</v>
      </c>
      <c r="I15" s="639">
        <v>44596</v>
      </c>
      <c r="J15" s="640"/>
      <c r="K15" s="342"/>
      <c r="L15" s="342"/>
      <c r="M15" s="342"/>
      <c r="N15" s="342"/>
      <c r="O15" s="342"/>
      <c r="P15" s="342"/>
      <c r="Q15" s="342"/>
      <c r="R15" s="342"/>
      <c r="S15" s="342"/>
      <c r="T15" s="342"/>
      <c r="U15" s="342"/>
      <c r="V15" s="342"/>
      <c r="W15" s="342"/>
      <c r="X15" s="342"/>
    </row>
    <row r="16" spans="1:24" ht="12" customHeight="1" x14ac:dyDescent="0.2">
      <c r="A16" s="634" t="s">
        <v>1163</v>
      </c>
      <c r="B16" s="635" t="s">
        <v>884</v>
      </c>
      <c r="C16" s="635" t="s">
        <v>766</v>
      </c>
      <c r="D16" s="641" t="s">
        <v>1164</v>
      </c>
      <c r="E16" s="637">
        <v>154725</v>
      </c>
      <c r="F16" s="636" t="s">
        <v>1165</v>
      </c>
      <c r="G16" s="638" t="s">
        <v>1143</v>
      </c>
      <c r="H16" s="639">
        <v>43525</v>
      </c>
      <c r="I16" s="639">
        <v>43545</v>
      </c>
      <c r="J16" s="640"/>
      <c r="K16" s="342"/>
      <c r="L16" s="342"/>
      <c r="M16" s="342"/>
      <c r="N16" s="342"/>
      <c r="O16" s="342"/>
      <c r="P16" s="342"/>
      <c r="Q16" s="342"/>
      <c r="R16" s="342"/>
      <c r="S16" s="342"/>
      <c r="T16" s="342"/>
      <c r="U16" s="342"/>
      <c r="V16" s="342"/>
      <c r="W16" s="342"/>
      <c r="X16" s="342"/>
    </row>
    <row r="17" spans="1:24" ht="12" customHeight="1" x14ac:dyDescent="0.2">
      <c r="A17" s="634" t="s">
        <v>1166</v>
      </c>
      <c r="B17" s="635" t="s">
        <v>945</v>
      </c>
      <c r="C17" s="635" t="s">
        <v>766</v>
      </c>
      <c r="D17" s="636" t="s">
        <v>1167</v>
      </c>
      <c r="E17" s="637">
        <v>129600</v>
      </c>
      <c r="F17" s="636" t="s">
        <v>1168</v>
      </c>
      <c r="G17" s="638" t="s">
        <v>1132</v>
      </c>
      <c r="H17" s="639">
        <v>43538</v>
      </c>
      <c r="I17" s="639">
        <v>44664</v>
      </c>
      <c r="J17" s="640"/>
      <c r="K17" s="342"/>
      <c r="L17" s="342"/>
      <c r="M17" s="342"/>
      <c r="N17" s="342"/>
      <c r="O17" s="342"/>
      <c r="P17" s="342"/>
      <c r="Q17" s="342"/>
      <c r="R17" s="342"/>
      <c r="S17" s="342"/>
      <c r="T17" s="342"/>
      <c r="U17" s="342"/>
      <c r="V17" s="342"/>
      <c r="W17" s="342"/>
      <c r="X17" s="342"/>
    </row>
    <row r="18" spans="1:24" ht="12" customHeight="1" x14ac:dyDescent="0.2">
      <c r="A18" s="634" t="s">
        <v>1169</v>
      </c>
      <c r="B18" s="635" t="s">
        <v>945</v>
      </c>
      <c r="C18" s="635" t="s">
        <v>766</v>
      </c>
      <c r="D18" s="636" t="s">
        <v>1167</v>
      </c>
      <c r="E18" s="637">
        <v>543576.96</v>
      </c>
      <c r="F18" s="636" t="s">
        <v>1170</v>
      </c>
      <c r="G18" s="638" t="s">
        <v>1132</v>
      </c>
      <c r="H18" s="639">
        <v>43546</v>
      </c>
      <c r="I18" s="639">
        <v>44664</v>
      </c>
      <c r="J18" s="640"/>
      <c r="K18" s="342"/>
      <c r="L18" s="342"/>
      <c r="M18" s="342"/>
      <c r="N18" s="342"/>
      <c r="O18" s="342"/>
      <c r="P18" s="342"/>
      <c r="Q18" s="342"/>
      <c r="R18" s="342"/>
      <c r="S18" s="342"/>
      <c r="T18" s="342"/>
      <c r="U18" s="342"/>
      <c r="V18" s="342"/>
      <c r="W18" s="342"/>
      <c r="X18" s="342"/>
    </row>
    <row r="19" spans="1:24" ht="12" customHeight="1" x14ac:dyDescent="0.2">
      <c r="A19" s="634" t="s">
        <v>1171</v>
      </c>
      <c r="B19" s="635" t="s">
        <v>945</v>
      </c>
      <c r="C19" s="635" t="s">
        <v>766</v>
      </c>
      <c r="D19" s="636" t="s">
        <v>1167</v>
      </c>
      <c r="E19" s="637">
        <v>753518.07999999996</v>
      </c>
      <c r="F19" s="636" t="s">
        <v>1170</v>
      </c>
      <c r="G19" s="638" t="s">
        <v>1132</v>
      </c>
      <c r="H19" s="639">
        <v>43546</v>
      </c>
      <c r="I19" s="639">
        <v>44664</v>
      </c>
      <c r="J19" s="640"/>
      <c r="K19" s="342"/>
      <c r="L19" s="342"/>
      <c r="M19" s="342"/>
      <c r="N19" s="342"/>
      <c r="O19" s="342"/>
      <c r="P19" s="342"/>
      <c r="Q19" s="342"/>
      <c r="R19" s="342"/>
      <c r="S19" s="342"/>
      <c r="T19" s="342"/>
      <c r="U19" s="342"/>
      <c r="V19" s="342"/>
      <c r="W19" s="342"/>
      <c r="X19" s="342"/>
    </row>
    <row r="20" spans="1:24" ht="12" customHeight="1" x14ac:dyDescent="0.2">
      <c r="A20" s="634" t="s">
        <v>1172</v>
      </c>
      <c r="B20" s="635" t="s">
        <v>945</v>
      </c>
      <c r="C20" s="635" t="s">
        <v>766</v>
      </c>
      <c r="D20" s="636" t="s">
        <v>1167</v>
      </c>
      <c r="E20" s="637">
        <v>79200</v>
      </c>
      <c r="F20" s="636" t="s">
        <v>1173</v>
      </c>
      <c r="G20" s="638" t="s">
        <v>1132</v>
      </c>
      <c r="H20" s="639">
        <v>43549</v>
      </c>
      <c r="I20" s="639">
        <v>44664</v>
      </c>
      <c r="J20" s="640"/>
      <c r="K20" s="342"/>
      <c r="L20" s="342"/>
      <c r="M20" s="342"/>
      <c r="N20" s="342"/>
      <c r="O20" s="342"/>
      <c r="P20" s="342"/>
      <c r="Q20" s="342"/>
      <c r="R20" s="342"/>
      <c r="S20" s="342"/>
      <c r="T20" s="342"/>
      <c r="U20" s="342"/>
      <c r="V20" s="342"/>
      <c r="W20" s="342"/>
      <c r="X20" s="342"/>
    </row>
    <row r="21" spans="1:24" ht="12" customHeight="1" x14ac:dyDescent="0.2">
      <c r="A21" s="634" t="s">
        <v>1174</v>
      </c>
      <c r="B21" s="635" t="s">
        <v>945</v>
      </c>
      <c r="C21" s="635" t="s">
        <v>766</v>
      </c>
      <c r="D21" s="636" t="s">
        <v>1167</v>
      </c>
      <c r="E21" s="637">
        <v>470880</v>
      </c>
      <c r="F21" s="636" t="s">
        <v>1175</v>
      </c>
      <c r="G21" s="638" t="s">
        <v>1132</v>
      </c>
      <c r="H21" s="639">
        <v>43549</v>
      </c>
      <c r="I21" s="639">
        <v>44664</v>
      </c>
      <c r="J21" s="640"/>
      <c r="K21" s="342"/>
      <c r="L21" s="342"/>
      <c r="M21" s="342"/>
      <c r="N21" s="342"/>
      <c r="O21" s="342"/>
      <c r="P21" s="342"/>
      <c r="Q21" s="342"/>
      <c r="R21" s="342"/>
      <c r="S21" s="342"/>
      <c r="T21" s="342"/>
      <c r="U21" s="342"/>
      <c r="V21" s="342"/>
      <c r="W21" s="342"/>
      <c r="X21" s="342"/>
    </row>
    <row r="22" spans="1:24" ht="12" customHeight="1" x14ac:dyDescent="0.2">
      <c r="A22" s="634" t="s">
        <v>1176</v>
      </c>
      <c r="B22" s="635" t="s">
        <v>945</v>
      </c>
      <c r="C22" s="635" t="s">
        <v>766</v>
      </c>
      <c r="D22" s="636" t="s">
        <v>1167</v>
      </c>
      <c r="E22" s="637">
        <v>4081854.24</v>
      </c>
      <c r="F22" s="636" t="s">
        <v>1170</v>
      </c>
      <c r="G22" s="638" t="s">
        <v>1132</v>
      </c>
      <c r="H22" s="639">
        <v>43551</v>
      </c>
      <c r="I22" s="639">
        <v>44664</v>
      </c>
      <c r="J22" s="640"/>
      <c r="K22" s="342"/>
      <c r="L22" s="342"/>
      <c r="M22" s="342"/>
      <c r="N22" s="342"/>
      <c r="O22" s="342"/>
      <c r="P22" s="342"/>
      <c r="Q22" s="342"/>
      <c r="R22" s="342"/>
      <c r="S22" s="342"/>
      <c r="T22" s="342"/>
      <c r="U22" s="342"/>
      <c r="V22" s="342"/>
      <c r="W22" s="342"/>
      <c r="X22" s="342"/>
    </row>
    <row r="23" spans="1:24" ht="12" customHeight="1" x14ac:dyDescent="0.2">
      <c r="A23" s="634" t="s">
        <v>1177</v>
      </c>
      <c r="B23" s="635" t="s">
        <v>884</v>
      </c>
      <c r="C23" s="635" t="s">
        <v>766</v>
      </c>
      <c r="D23" s="641" t="s">
        <v>1178</v>
      </c>
      <c r="E23" s="637">
        <v>226200</v>
      </c>
      <c r="F23" s="636" t="s">
        <v>1179</v>
      </c>
      <c r="G23" s="638" t="s">
        <v>1143</v>
      </c>
      <c r="H23" s="639">
        <v>43567</v>
      </c>
      <c r="I23" s="639">
        <v>43577</v>
      </c>
      <c r="J23" s="640"/>
      <c r="K23" s="342"/>
      <c r="L23" s="342"/>
      <c r="M23" s="342"/>
      <c r="N23" s="342"/>
      <c r="O23" s="342"/>
      <c r="P23" s="342"/>
      <c r="Q23" s="342"/>
      <c r="R23" s="342"/>
      <c r="S23" s="342"/>
      <c r="T23" s="342"/>
      <c r="U23" s="342"/>
      <c r="V23" s="342"/>
      <c r="W23" s="342"/>
      <c r="X23" s="342"/>
    </row>
    <row r="24" spans="1:24" ht="12" customHeight="1" x14ac:dyDescent="0.2">
      <c r="A24" s="634" t="s">
        <v>1180</v>
      </c>
      <c r="B24" s="635" t="s">
        <v>945</v>
      </c>
      <c r="C24" s="635" t="s">
        <v>766</v>
      </c>
      <c r="D24" s="636" t="s">
        <v>1181</v>
      </c>
      <c r="E24" s="637">
        <v>91000</v>
      </c>
      <c r="F24" s="636" t="s">
        <v>1182</v>
      </c>
      <c r="G24" s="638" t="s">
        <v>1143</v>
      </c>
      <c r="H24" s="639">
        <v>43571</v>
      </c>
      <c r="I24" s="639">
        <v>43830</v>
      </c>
      <c r="J24" s="640"/>
      <c r="K24" s="342"/>
      <c r="L24" s="342"/>
      <c r="M24" s="342"/>
      <c r="N24" s="342"/>
      <c r="O24" s="342"/>
      <c r="P24" s="342"/>
      <c r="Q24" s="342"/>
      <c r="R24" s="342"/>
      <c r="S24" s="342"/>
      <c r="T24" s="342"/>
      <c r="U24" s="342"/>
      <c r="V24" s="342"/>
      <c r="W24" s="342"/>
      <c r="X24" s="342"/>
    </row>
    <row r="25" spans="1:24" ht="12" customHeight="1" x14ac:dyDescent="0.2">
      <c r="A25" s="634" t="s">
        <v>1183</v>
      </c>
      <c r="B25" s="635" t="s">
        <v>830</v>
      </c>
      <c r="C25" s="635" t="s">
        <v>766</v>
      </c>
      <c r="D25" s="641" t="s">
        <v>1184</v>
      </c>
      <c r="E25" s="637">
        <v>124190.99</v>
      </c>
      <c r="F25" s="636" t="s">
        <v>1185</v>
      </c>
      <c r="G25" s="638" t="s">
        <v>1143</v>
      </c>
      <c r="H25" s="639">
        <v>43587</v>
      </c>
      <c r="I25" s="639">
        <v>43677</v>
      </c>
      <c r="J25" s="640"/>
      <c r="K25" s="342"/>
      <c r="L25" s="342"/>
      <c r="M25" s="342"/>
      <c r="N25" s="342"/>
      <c r="O25" s="342"/>
      <c r="P25" s="342"/>
      <c r="Q25" s="342"/>
      <c r="R25" s="342"/>
      <c r="S25" s="342"/>
      <c r="T25" s="342"/>
      <c r="U25" s="342"/>
      <c r="V25" s="342"/>
      <c r="W25" s="342"/>
      <c r="X25" s="342"/>
    </row>
    <row r="26" spans="1:24" ht="12" customHeight="1" x14ac:dyDescent="0.2">
      <c r="A26" s="634" t="s">
        <v>1186</v>
      </c>
      <c r="B26" s="635" t="s">
        <v>830</v>
      </c>
      <c r="C26" s="635" t="s">
        <v>766</v>
      </c>
      <c r="D26" s="636" t="s">
        <v>1187</v>
      </c>
      <c r="E26" s="637">
        <v>83871.48</v>
      </c>
      <c r="F26" s="636" t="s">
        <v>1188</v>
      </c>
      <c r="G26" s="638" t="s">
        <v>1143</v>
      </c>
      <c r="H26" s="639">
        <v>43591</v>
      </c>
      <c r="I26" s="639">
        <v>43956</v>
      </c>
      <c r="J26" s="640"/>
      <c r="K26" s="342"/>
      <c r="L26" s="342"/>
      <c r="M26" s="342"/>
      <c r="N26" s="342"/>
      <c r="O26" s="342"/>
      <c r="P26" s="342"/>
      <c r="Q26" s="342"/>
      <c r="R26" s="342"/>
      <c r="S26" s="342"/>
      <c r="T26" s="342"/>
      <c r="U26" s="342"/>
      <c r="V26" s="342"/>
      <c r="W26" s="342"/>
      <c r="X26" s="342"/>
    </row>
    <row r="27" spans="1:24" ht="12" customHeight="1" x14ac:dyDescent="0.2">
      <c r="A27" s="634" t="s">
        <v>1189</v>
      </c>
      <c r="B27" s="635" t="s">
        <v>945</v>
      </c>
      <c r="C27" s="635" t="s">
        <v>766</v>
      </c>
      <c r="D27" s="636" t="s">
        <v>1190</v>
      </c>
      <c r="E27" s="637">
        <v>100000</v>
      </c>
      <c r="F27" s="636" t="s">
        <v>1191</v>
      </c>
      <c r="G27" s="638" t="s">
        <v>1143</v>
      </c>
      <c r="H27" s="639">
        <v>43595</v>
      </c>
      <c r="I27" s="639">
        <v>43830</v>
      </c>
      <c r="J27" s="640"/>
      <c r="K27" s="342"/>
      <c r="L27" s="342"/>
      <c r="M27" s="342"/>
      <c r="N27" s="342"/>
      <c r="O27" s="342"/>
      <c r="P27" s="342"/>
      <c r="Q27" s="342"/>
      <c r="R27" s="342"/>
      <c r="S27" s="342"/>
      <c r="T27" s="342"/>
      <c r="U27" s="342"/>
      <c r="V27" s="342"/>
      <c r="W27" s="342"/>
      <c r="X27" s="342"/>
    </row>
    <row r="28" spans="1:24" ht="12" customHeight="1" x14ac:dyDescent="0.2">
      <c r="A28" s="634" t="s">
        <v>1192</v>
      </c>
      <c r="B28" s="635" t="s">
        <v>884</v>
      </c>
      <c r="C28" s="635" t="s">
        <v>766</v>
      </c>
      <c r="D28" s="636" t="s">
        <v>1193</v>
      </c>
      <c r="E28" s="637">
        <v>254248.8</v>
      </c>
      <c r="F28" s="636" t="s">
        <v>1194</v>
      </c>
      <c r="G28" s="638" t="s">
        <v>1143</v>
      </c>
      <c r="H28" s="639">
        <v>43601</v>
      </c>
      <c r="I28" s="639">
        <v>44696</v>
      </c>
      <c r="J28" s="640"/>
      <c r="K28" s="342"/>
      <c r="L28" s="342"/>
      <c r="M28" s="342"/>
      <c r="N28" s="342"/>
      <c r="O28" s="342"/>
      <c r="P28" s="342"/>
      <c r="Q28" s="342"/>
      <c r="R28" s="342"/>
      <c r="S28" s="342"/>
      <c r="T28" s="342"/>
      <c r="U28" s="342"/>
      <c r="V28" s="342"/>
      <c r="W28" s="342"/>
      <c r="X28" s="342"/>
    </row>
    <row r="29" spans="1:24" ht="12" customHeight="1" x14ac:dyDescent="0.2">
      <c r="A29" s="634" t="s">
        <v>1192</v>
      </c>
      <c r="B29" s="635" t="s">
        <v>884</v>
      </c>
      <c r="C29" s="635" t="s">
        <v>766</v>
      </c>
      <c r="D29" s="636" t="s">
        <v>1193</v>
      </c>
      <c r="E29" s="637">
        <v>1331218.96</v>
      </c>
      <c r="F29" s="636" t="s">
        <v>1195</v>
      </c>
      <c r="G29" s="638" t="s">
        <v>1143</v>
      </c>
      <c r="H29" s="639">
        <v>43601</v>
      </c>
      <c r="I29" s="639">
        <v>44696</v>
      </c>
      <c r="J29" s="640"/>
      <c r="K29" s="342"/>
      <c r="L29" s="342"/>
      <c r="M29" s="342"/>
      <c r="N29" s="342"/>
      <c r="O29" s="342"/>
      <c r="P29" s="342"/>
      <c r="Q29" s="342"/>
      <c r="R29" s="342"/>
      <c r="S29" s="342"/>
      <c r="T29" s="342"/>
      <c r="U29" s="342"/>
      <c r="V29" s="342"/>
      <c r="W29" s="342"/>
      <c r="X29" s="342"/>
    </row>
    <row r="30" spans="1:24" ht="12" customHeight="1" x14ac:dyDescent="0.2">
      <c r="A30" s="634" t="s">
        <v>1192</v>
      </c>
      <c r="B30" s="635" t="s">
        <v>884</v>
      </c>
      <c r="C30" s="635" t="s">
        <v>766</v>
      </c>
      <c r="D30" s="636" t="s">
        <v>1193</v>
      </c>
      <c r="E30" s="637">
        <v>1041889.45</v>
      </c>
      <c r="F30" s="636" t="s">
        <v>1196</v>
      </c>
      <c r="G30" s="638" t="s">
        <v>1143</v>
      </c>
      <c r="H30" s="639">
        <v>43601</v>
      </c>
      <c r="I30" s="639">
        <v>44696</v>
      </c>
      <c r="J30" s="640"/>
      <c r="K30" s="342"/>
      <c r="L30" s="342"/>
      <c r="M30" s="342"/>
      <c r="N30" s="342"/>
      <c r="O30" s="342"/>
      <c r="P30" s="342"/>
      <c r="Q30" s="342"/>
      <c r="R30" s="342"/>
      <c r="S30" s="342"/>
      <c r="T30" s="342"/>
      <c r="U30" s="342"/>
      <c r="V30" s="342"/>
      <c r="W30" s="342"/>
      <c r="X30" s="342"/>
    </row>
    <row r="31" spans="1:24" ht="12" customHeight="1" x14ac:dyDescent="0.2">
      <c r="A31" s="634" t="s">
        <v>1192</v>
      </c>
      <c r="B31" s="635" t="s">
        <v>884</v>
      </c>
      <c r="C31" s="635" t="s">
        <v>766</v>
      </c>
      <c r="D31" s="636" t="s">
        <v>1193</v>
      </c>
      <c r="E31" s="637">
        <v>157263.91</v>
      </c>
      <c r="F31" s="636" t="s">
        <v>1197</v>
      </c>
      <c r="G31" s="638" t="s">
        <v>1143</v>
      </c>
      <c r="H31" s="639">
        <v>43601</v>
      </c>
      <c r="I31" s="639">
        <v>44696</v>
      </c>
      <c r="J31" s="640"/>
      <c r="K31" s="342"/>
      <c r="L31" s="342"/>
      <c r="M31" s="342"/>
      <c r="N31" s="342"/>
      <c r="O31" s="342"/>
      <c r="P31" s="342"/>
      <c r="Q31" s="342"/>
      <c r="R31" s="342"/>
      <c r="S31" s="342"/>
      <c r="T31" s="342"/>
      <c r="U31" s="342"/>
      <c r="V31" s="342"/>
      <c r="W31" s="342"/>
      <c r="X31" s="342"/>
    </row>
    <row r="32" spans="1:24" ht="12" customHeight="1" x14ac:dyDescent="0.2">
      <c r="A32" s="634" t="s">
        <v>1198</v>
      </c>
      <c r="B32" s="635" t="s">
        <v>945</v>
      </c>
      <c r="C32" s="635" t="s">
        <v>766</v>
      </c>
      <c r="D32" s="636" t="s">
        <v>1199</v>
      </c>
      <c r="E32" s="637">
        <v>51452.13</v>
      </c>
      <c r="F32" s="636" t="s">
        <v>1200</v>
      </c>
      <c r="G32" s="638" t="s">
        <v>1143</v>
      </c>
      <c r="H32" s="639">
        <v>43605</v>
      </c>
      <c r="I32" s="639">
        <v>43625</v>
      </c>
      <c r="J32" s="640"/>
      <c r="K32" s="342"/>
      <c r="L32" s="342"/>
      <c r="M32" s="342"/>
      <c r="N32" s="342"/>
      <c r="O32" s="342"/>
      <c r="P32" s="342"/>
      <c r="Q32" s="342"/>
      <c r="R32" s="342"/>
      <c r="S32" s="342"/>
      <c r="T32" s="342"/>
      <c r="U32" s="342"/>
      <c r="V32" s="342"/>
      <c r="W32" s="342"/>
      <c r="X32" s="342"/>
    </row>
    <row r="33" spans="1:24" ht="12" customHeight="1" x14ac:dyDescent="0.2">
      <c r="A33" s="642" t="s">
        <v>1201</v>
      </c>
      <c r="B33" s="638" t="s">
        <v>945</v>
      </c>
      <c r="C33" s="635" t="s">
        <v>766</v>
      </c>
      <c r="D33" s="641" t="s">
        <v>1202</v>
      </c>
      <c r="E33" s="637">
        <v>179712</v>
      </c>
      <c r="F33" s="636" t="s">
        <v>1203</v>
      </c>
      <c r="G33" s="638" t="s">
        <v>1132</v>
      </c>
      <c r="H33" s="639">
        <v>43614</v>
      </c>
      <c r="I33" s="639">
        <v>44334</v>
      </c>
      <c r="J33" s="640"/>
      <c r="K33" s="342"/>
      <c r="L33" s="342"/>
      <c r="M33" s="342"/>
      <c r="N33" s="342"/>
      <c r="O33" s="342"/>
      <c r="P33" s="342"/>
      <c r="Q33" s="342"/>
      <c r="R33" s="342"/>
      <c r="S33" s="342"/>
      <c r="T33" s="342"/>
      <c r="U33" s="342"/>
      <c r="V33" s="342"/>
      <c r="W33" s="342"/>
      <c r="X33" s="342"/>
    </row>
    <row r="34" spans="1:24" ht="12" customHeight="1" x14ac:dyDescent="0.2">
      <c r="A34" s="634" t="s">
        <v>1204</v>
      </c>
      <c r="B34" s="635" t="s">
        <v>830</v>
      </c>
      <c r="C34" s="635" t="s">
        <v>766</v>
      </c>
      <c r="D34" s="641" t="s">
        <v>1205</v>
      </c>
      <c r="E34" s="637">
        <v>62470.32</v>
      </c>
      <c r="F34" s="636" t="s">
        <v>1206</v>
      </c>
      <c r="G34" s="638" t="s">
        <v>1143</v>
      </c>
      <c r="H34" s="639">
        <v>43616</v>
      </c>
      <c r="I34" s="639">
        <v>43981</v>
      </c>
      <c r="J34" s="640"/>
      <c r="K34" s="342"/>
      <c r="L34" s="342"/>
      <c r="M34" s="342"/>
      <c r="N34" s="342"/>
      <c r="O34" s="342"/>
      <c r="P34" s="342"/>
      <c r="Q34" s="342"/>
      <c r="R34" s="342"/>
      <c r="S34" s="342"/>
      <c r="T34" s="342"/>
      <c r="U34" s="342"/>
      <c r="V34" s="342"/>
      <c r="W34" s="342"/>
      <c r="X34" s="342"/>
    </row>
    <row r="35" spans="1:24" ht="12" customHeight="1" x14ac:dyDescent="0.2">
      <c r="A35" s="634" t="s">
        <v>1207</v>
      </c>
      <c r="B35" s="635" t="s">
        <v>945</v>
      </c>
      <c r="C35" s="635" t="s">
        <v>766</v>
      </c>
      <c r="D35" s="643" t="s">
        <v>1208</v>
      </c>
      <c r="E35" s="637">
        <v>6284486.4100000001</v>
      </c>
      <c r="F35" s="644" t="s">
        <v>1209</v>
      </c>
      <c r="G35" s="638" t="s">
        <v>1143</v>
      </c>
      <c r="H35" s="639">
        <v>43621</v>
      </c>
      <c r="I35" s="639">
        <v>43986</v>
      </c>
      <c r="J35" s="640"/>
      <c r="K35" s="342"/>
      <c r="L35" s="342"/>
      <c r="M35" s="342"/>
      <c r="N35" s="342"/>
      <c r="O35" s="342"/>
      <c r="P35" s="342"/>
      <c r="Q35" s="342"/>
      <c r="R35" s="342"/>
      <c r="S35" s="342"/>
      <c r="T35" s="342"/>
      <c r="U35" s="342"/>
      <c r="V35" s="342"/>
      <c r="W35" s="342"/>
      <c r="X35" s="342"/>
    </row>
    <row r="36" spans="1:24" ht="12" customHeight="1" x14ac:dyDescent="0.2">
      <c r="A36" s="634" t="s">
        <v>1210</v>
      </c>
      <c r="B36" s="635" t="s">
        <v>830</v>
      </c>
      <c r="C36" s="635" t="s">
        <v>766</v>
      </c>
      <c r="D36" s="641" t="s">
        <v>1211</v>
      </c>
      <c r="E36" s="637">
        <v>89137.279999999999</v>
      </c>
      <c r="F36" s="636" t="s">
        <v>1212</v>
      </c>
      <c r="G36" s="638" t="s">
        <v>1143</v>
      </c>
      <c r="H36" s="639">
        <v>43637</v>
      </c>
      <c r="I36" s="639">
        <v>43672</v>
      </c>
      <c r="J36" s="640"/>
      <c r="K36" s="342"/>
      <c r="L36" s="342"/>
      <c r="M36" s="342"/>
      <c r="N36" s="342"/>
      <c r="O36" s="342"/>
      <c r="P36" s="342"/>
      <c r="Q36" s="342"/>
      <c r="R36" s="342"/>
      <c r="S36" s="342"/>
      <c r="T36" s="342"/>
      <c r="U36" s="342"/>
      <c r="V36" s="342"/>
      <c r="W36" s="342"/>
      <c r="X36" s="342"/>
    </row>
    <row r="37" spans="1:24" ht="12" customHeight="1" x14ac:dyDescent="0.2">
      <c r="A37" s="634" t="s">
        <v>1213</v>
      </c>
      <c r="B37" s="635" t="s">
        <v>830</v>
      </c>
      <c r="C37" s="635" t="s">
        <v>766</v>
      </c>
      <c r="D37" s="636" t="s">
        <v>961</v>
      </c>
      <c r="E37" s="637">
        <v>339139.25</v>
      </c>
      <c r="F37" s="636" t="s">
        <v>1214</v>
      </c>
      <c r="G37" s="638" t="s">
        <v>1143</v>
      </c>
      <c r="H37" s="639">
        <v>43643</v>
      </c>
      <c r="I37" s="639">
        <v>44159</v>
      </c>
      <c r="J37" s="640"/>
      <c r="K37" s="342"/>
      <c r="L37" s="342"/>
      <c r="M37" s="342"/>
      <c r="N37" s="342"/>
      <c r="O37" s="342"/>
      <c r="P37" s="342"/>
      <c r="Q37" s="342"/>
      <c r="R37" s="342"/>
      <c r="S37" s="342"/>
      <c r="T37" s="342"/>
      <c r="U37" s="342"/>
      <c r="V37" s="342"/>
      <c r="W37" s="342"/>
      <c r="X37" s="342"/>
    </row>
    <row r="38" spans="1:24" ht="12" customHeight="1" x14ac:dyDescent="0.2">
      <c r="A38" s="634" t="s">
        <v>1215</v>
      </c>
      <c r="B38" s="635" t="s">
        <v>830</v>
      </c>
      <c r="C38" s="635" t="s">
        <v>766</v>
      </c>
      <c r="D38" s="636" t="s">
        <v>1216</v>
      </c>
      <c r="E38" s="637">
        <v>280500</v>
      </c>
      <c r="F38" s="636" t="s">
        <v>1217</v>
      </c>
      <c r="G38" s="638" t="s">
        <v>1143</v>
      </c>
      <c r="H38" s="639">
        <v>43647</v>
      </c>
      <c r="I38" s="639">
        <v>44074</v>
      </c>
      <c r="J38" s="640"/>
      <c r="K38" s="342"/>
      <c r="L38" s="342"/>
      <c r="M38" s="342"/>
      <c r="N38" s="342"/>
      <c r="O38" s="342"/>
      <c r="P38" s="342"/>
      <c r="Q38" s="342"/>
      <c r="R38" s="342"/>
      <c r="S38" s="342"/>
      <c r="T38" s="342"/>
      <c r="U38" s="342"/>
      <c r="V38" s="342"/>
      <c r="W38" s="342"/>
      <c r="X38" s="342"/>
    </row>
    <row r="39" spans="1:24" ht="12" customHeight="1" x14ac:dyDescent="0.2">
      <c r="A39" s="634" t="s">
        <v>1218</v>
      </c>
      <c r="B39" s="635" t="s">
        <v>884</v>
      </c>
      <c r="C39" s="635" t="s">
        <v>766</v>
      </c>
      <c r="D39" s="636" t="s">
        <v>1219</v>
      </c>
      <c r="E39" s="637">
        <v>60024.58</v>
      </c>
      <c r="F39" s="636" t="s">
        <v>1217</v>
      </c>
      <c r="G39" s="638" t="s">
        <v>1143</v>
      </c>
      <c r="H39" s="639">
        <v>43647</v>
      </c>
      <c r="I39" s="639">
        <v>44074</v>
      </c>
      <c r="J39" s="640"/>
      <c r="K39" s="342"/>
      <c r="L39" s="342"/>
      <c r="M39" s="342"/>
      <c r="N39" s="342"/>
      <c r="O39" s="342"/>
      <c r="P39" s="342"/>
      <c r="Q39" s="342"/>
      <c r="R39" s="342"/>
      <c r="S39" s="342"/>
      <c r="T39" s="342"/>
      <c r="U39" s="342"/>
      <c r="V39" s="342"/>
      <c r="W39" s="342"/>
      <c r="X39" s="342"/>
    </row>
    <row r="40" spans="1:24" ht="12" customHeight="1" x14ac:dyDescent="0.2">
      <c r="A40" s="634" t="s">
        <v>1220</v>
      </c>
      <c r="B40" s="635" t="s">
        <v>945</v>
      </c>
      <c r="C40" s="635" t="s">
        <v>766</v>
      </c>
      <c r="D40" s="636" t="s">
        <v>1221</v>
      </c>
      <c r="E40" s="637">
        <v>94200</v>
      </c>
      <c r="F40" s="636" t="s">
        <v>1222</v>
      </c>
      <c r="G40" s="638" t="s">
        <v>1143</v>
      </c>
      <c r="H40" s="639">
        <v>43651</v>
      </c>
      <c r="I40" s="639">
        <v>43661</v>
      </c>
      <c r="J40" s="640"/>
      <c r="K40" s="342"/>
      <c r="L40" s="342"/>
      <c r="M40" s="342"/>
      <c r="N40" s="342"/>
      <c r="O40" s="342"/>
      <c r="P40" s="342"/>
      <c r="Q40" s="342"/>
      <c r="R40" s="342"/>
      <c r="S40" s="342"/>
      <c r="T40" s="342"/>
      <c r="U40" s="342"/>
      <c r="V40" s="342"/>
      <c r="W40" s="342"/>
      <c r="X40" s="342"/>
    </row>
    <row r="41" spans="1:24" ht="12" customHeight="1" x14ac:dyDescent="0.2">
      <c r="A41" s="634" t="s">
        <v>1223</v>
      </c>
      <c r="B41" s="635" t="s">
        <v>945</v>
      </c>
      <c r="C41" s="635" t="s">
        <v>766</v>
      </c>
      <c r="D41" s="636" t="s">
        <v>958</v>
      </c>
      <c r="E41" s="637">
        <v>503546.24</v>
      </c>
      <c r="F41" s="636" t="s">
        <v>1224</v>
      </c>
      <c r="G41" s="638" t="s">
        <v>1132</v>
      </c>
      <c r="H41" s="639">
        <v>43655</v>
      </c>
      <c r="I41" s="639">
        <v>43780</v>
      </c>
      <c r="J41" s="640"/>
      <c r="K41" s="342"/>
      <c r="L41" s="342"/>
      <c r="M41" s="342"/>
      <c r="N41" s="342"/>
      <c r="O41" s="342"/>
      <c r="P41" s="342"/>
      <c r="Q41" s="342"/>
      <c r="R41" s="342"/>
      <c r="S41" s="342"/>
      <c r="T41" s="342"/>
      <c r="U41" s="342"/>
      <c r="V41" s="342"/>
      <c r="W41" s="342"/>
      <c r="X41" s="342"/>
    </row>
    <row r="42" spans="1:24" ht="12" customHeight="1" x14ac:dyDescent="0.2">
      <c r="A42" s="634" t="s">
        <v>1225</v>
      </c>
      <c r="B42" s="635" t="s">
        <v>765</v>
      </c>
      <c r="C42" s="635" t="s">
        <v>766</v>
      </c>
      <c r="D42" s="636" t="s">
        <v>961</v>
      </c>
      <c r="E42" s="637">
        <v>2532114.23</v>
      </c>
      <c r="F42" s="636" t="s">
        <v>1226</v>
      </c>
      <c r="G42" s="638" t="s">
        <v>1132</v>
      </c>
      <c r="H42" s="639">
        <v>43656</v>
      </c>
      <c r="I42" s="639">
        <v>44159</v>
      </c>
      <c r="J42" s="640"/>
      <c r="K42" s="342"/>
      <c r="L42" s="342"/>
      <c r="M42" s="342"/>
      <c r="N42" s="342"/>
      <c r="O42" s="342"/>
      <c r="P42" s="342"/>
      <c r="Q42" s="342"/>
      <c r="R42" s="342"/>
      <c r="S42" s="342"/>
      <c r="T42" s="342"/>
      <c r="U42" s="342"/>
      <c r="V42" s="342"/>
      <c r="W42" s="342"/>
      <c r="X42" s="342"/>
    </row>
    <row r="43" spans="1:24" ht="12" customHeight="1" x14ac:dyDescent="0.2">
      <c r="A43" s="634" t="s">
        <v>1227</v>
      </c>
      <c r="B43" s="635" t="s">
        <v>945</v>
      </c>
      <c r="C43" s="635" t="s">
        <v>766</v>
      </c>
      <c r="D43" s="636" t="s">
        <v>955</v>
      </c>
      <c r="E43" s="637">
        <v>560000</v>
      </c>
      <c r="F43" s="636" t="s">
        <v>1228</v>
      </c>
      <c r="G43" s="638" t="s">
        <v>1132</v>
      </c>
      <c r="H43" s="639">
        <v>43664</v>
      </c>
      <c r="I43" s="639">
        <v>44137</v>
      </c>
      <c r="J43" s="640"/>
      <c r="K43" s="342"/>
      <c r="L43" s="342"/>
      <c r="M43" s="342"/>
      <c r="N43" s="342"/>
      <c r="O43" s="342"/>
      <c r="P43" s="342"/>
      <c r="Q43" s="342"/>
      <c r="R43" s="342"/>
      <c r="S43" s="342"/>
      <c r="T43" s="342"/>
      <c r="U43" s="342"/>
      <c r="V43" s="342"/>
      <c r="W43" s="342"/>
      <c r="X43" s="342"/>
    </row>
    <row r="44" spans="1:24" ht="12" customHeight="1" x14ac:dyDescent="0.2">
      <c r="A44" s="634" t="s">
        <v>1229</v>
      </c>
      <c r="B44" s="635" t="s">
        <v>830</v>
      </c>
      <c r="C44" s="635" t="s">
        <v>766</v>
      </c>
      <c r="D44" s="636" t="s">
        <v>1230</v>
      </c>
      <c r="E44" s="637">
        <v>144000</v>
      </c>
      <c r="F44" s="636" t="s">
        <v>1231</v>
      </c>
      <c r="G44" s="638" t="s">
        <v>1143</v>
      </c>
      <c r="H44" s="639">
        <v>43670</v>
      </c>
      <c r="I44" s="639">
        <v>44444</v>
      </c>
      <c r="J44" s="640"/>
      <c r="K44" s="342"/>
      <c r="L44" s="342"/>
      <c r="M44" s="342"/>
      <c r="N44" s="342"/>
      <c r="O44" s="342"/>
      <c r="P44" s="342"/>
      <c r="Q44" s="342"/>
      <c r="R44" s="342"/>
      <c r="S44" s="342"/>
      <c r="T44" s="342"/>
      <c r="U44" s="342"/>
      <c r="V44" s="342"/>
      <c r="W44" s="342"/>
      <c r="X44" s="342"/>
    </row>
    <row r="45" spans="1:24" ht="12" customHeight="1" x14ac:dyDescent="0.2">
      <c r="A45" s="634" t="s">
        <v>1232</v>
      </c>
      <c r="B45" s="635" t="s">
        <v>945</v>
      </c>
      <c r="C45" s="635" t="s">
        <v>766</v>
      </c>
      <c r="D45" s="636" t="s">
        <v>981</v>
      </c>
      <c r="E45" s="637">
        <v>12695722.66</v>
      </c>
      <c r="F45" s="636" t="s">
        <v>1233</v>
      </c>
      <c r="G45" s="638" t="s">
        <v>1132</v>
      </c>
      <c r="H45" s="639">
        <v>43670</v>
      </c>
      <c r="I45" s="639">
        <v>44220</v>
      </c>
      <c r="J45" s="640"/>
      <c r="K45" s="342"/>
      <c r="L45" s="342"/>
      <c r="M45" s="342"/>
      <c r="N45" s="342"/>
      <c r="O45" s="342"/>
      <c r="P45" s="342"/>
      <c r="Q45" s="342"/>
      <c r="R45" s="342"/>
      <c r="S45" s="342"/>
      <c r="T45" s="342"/>
      <c r="U45" s="342"/>
      <c r="V45" s="342"/>
      <c r="W45" s="342"/>
      <c r="X45" s="342"/>
    </row>
    <row r="46" spans="1:24" ht="12" customHeight="1" x14ac:dyDescent="0.2">
      <c r="A46" s="634" t="s">
        <v>1234</v>
      </c>
      <c r="B46" s="635" t="s">
        <v>945</v>
      </c>
      <c r="C46" s="635" t="s">
        <v>766</v>
      </c>
      <c r="D46" s="636" t="s">
        <v>949</v>
      </c>
      <c r="E46" s="637">
        <v>671340.43</v>
      </c>
      <c r="F46" s="636" t="s">
        <v>1235</v>
      </c>
      <c r="G46" s="638" t="s">
        <v>1132</v>
      </c>
      <c r="H46" s="639">
        <v>43683</v>
      </c>
      <c r="I46" s="639">
        <v>43829</v>
      </c>
      <c r="J46" s="640"/>
      <c r="K46" s="342"/>
      <c r="L46" s="342"/>
      <c r="M46" s="342"/>
      <c r="N46" s="342"/>
      <c r="O46" s="342"/>
      <c r="P46" s="342"/>
      <c r="Q46" s="342"/>
      <c r="R46" s="342"/>
      <c r="S46" s="342"/>
      <c r="T46" s="342"/>
      <c r="U46" s="342"/>
      <c r="V46" s="342"/>
      <c r="W46" s="342"/>
      <c r="X46" s="342"/>
    </row>
    <row r="47" spans="1:24" ht="12" customHeight="1" x14ac:dyDescent="0.2">
      <c r="A47" s="634" t="s">
        <v>1236</v>
      </c>
      <c r="B47" s="635" t="s">
        <v>945</v>
      </c>
      <c r="C47" s="635" t="s">
        <v>766</v>
      </c>
      <c r="D47" s="636" t="s">
        <v>946</v>
      </c>
      <c r="E47" s="637">
        <v>900000</v>
      </c>
      <c r="F47" s="636" t="s">
        <v>1237</v>
      </c>
      <c r="G47" s="638" t="s">
        <v>1132</v>
      </c>
      <c r="H47" s="639">
        <v>43683</v>
      </c>
      <c r="I47" s="639">
        <v>44049</v>
      </c>
      <c r="J47" s="645" t="s">
        <v>1238</v>
      </c>
      <c r="K47" s="342"/>
      <c r="L47" s="342"/>
      <c r="M47" s="342"/>
      <c r="N47" s="342"/>
      <c r="O47" s="342"/>
      <c r="P47" s="342"/>
      <c r="Q47" s="342"/>
      <c r="R47" s="342"/>
      <c r="S47" s="342"/>
      <c r="T47" s="342"/>
      <c r="U47" s="342"/>
      <c r="V47" s="342"/>
      <c r="W47" s="342"/>
      <c r="X47" s="342"/>
    </row>
    <row r="48" spans="1:24" ht="12" customHeight="1" x14ac:dyDescent="0.2">
      <c r="A48" s="634" t="s">
        <v>1239</v>
      </c>
      <c r="B48" s="635" t="s">
        <v>884</v>
      </c>
      <c r="C48" s="635" t="s">
        <v>766</v>
      </c>
      <c r="D48" s="636" t="s">
        <v>1240</v>
      </c>
      <c r="E48" s="637">
        <v>365215.52</v>
      </c>
      <c r="F48" s="636" t="s">
        <v>1241</v>
      </c>
      <c r="G48" s="638" t="s">
        <v>1143</v>
      </c>
      <c r="H48" s="639">
        <v>43692</v>
      </c>
      <c r="I48" s="639">
        <v>44064</v>
      </c>
      <c r="J48" s="640"/>
      <c r="K48" s="342"/>
      <c r="L48" s="342"/>
      <c r="M48" s="342"/>
      <c r="N48" s="342"/>
      <c r="O48" s="342"/>
      <c r="P48" s="342"/>
      <c r="Q48" s="342"/>
      <c r="R48" s="342"/>
      <c r="S48" s="342"/>
      <c r="T48" s="342"/>
      <c r="U48" s="342"/>
      <c r="V48" s="342"/>
      <c r="W48" s="342"/>
      <c r="X48" s="342"/>
    </row>
    <row r="49" spans="1:24" ht="12" customHeight="1" x14ac:dyDescent="0.2">
      <c r="A49" s="634" t="s">
        <v>1242</v>
      </c>
      <c r="B49" s="635" t="s">
        <v>830</v>
      </c>
      <c r="C49" s="635" t="s">
        <v>766</v>
      </c>
      <c r="D49" s="636" t="s">
        <v>1243</v>
      </c>
      <c r="E49" s="637">
        <v>83465.16</v>
      </c>
      <c r="F49" s="636" t="s">
        <v>1244</v>
      </c>
      <c r="G49" s="638" t="s">
        <v>1143</v>
      </c>
      <c r="H49" s="639">
        <v>43692</v>
      </c>
      <c r="I49" s="639">
        <v>44064</v>
      </c>
      <c r="J49" s="640"/>
      <c r="K49" s="342"/>
      <c r="L49" s="342"/>
      <c r="M49" s="342"/>
      <c r="N49" s="342"/>
      <c r="O49" s="342"/>
      <c r="P49" s="342"/>
      <c r="Q49" s="342"/>
      <c r="R49" s="342"/>
      <c r="S49" s="342"/>
      <c r="T49" s="342"/>
      <c r="U49" s="342"/>
      <c r="V49" s="342"/>
      <c r="W49" s="342"/>
      <c r="X49" s="342"/>
    </row>
    <row r="50" spans="1:24" ht="12" customHeight="1" x14ac:dyDescent="0.2">
      <c r="A50" s="634" t="s">
        <v>1245</v>
      </c>
      <c r="B50" s="635" t="s">
        <v>945</v>
      </c>
      <c r="C50" s="635" t="s">
        <v>766</v>
      </c>
      <c r="D50" s="636" t="s">
        <v>1246</v>
      </c>
      <c r="E50" s="637">
        <v>550000</v>
      </c>
      <c r="F50" s="636" t="s">
        <v>1247</v>
      </c>
      <c r="G50" s="638" t="s">
        <v>1132</v>
      </c>
      <c r="H50" s="639">
        <v>43693</v>
      </c>
      <c r="I50" s="639">
        <v>44428</v>
      </c>
      <c r="J50" s="640"/>
      <c r="K50" s="342"/>
      <c r="L50" s="342"/>
      <c r="M50" s="342"/>
      <c r="N50" s="342"/>
      <c r="O50" s="342"/>
      <c r="P50" s="342"/>
      <c r="Q50" s="342"/>
      <c r="R50" s="342"/>
      <c r="S50" s="342"/>
      <c r="T50" s="342"/>
      <c r="U50" s="342"/>
      <c r="V50" s="342"/>
      <c r="W50" s="342"/>
      <c r="X50" s="342"/>
    </row>
    <row r="51" spans="1:24" ht="12" customHeight="1" x14ac:dyDescent="0.2">
      <c r="A51" s="634" t="s">
        <v>1248</v>
      </c>
      <c r="B51" s="635" t="s">
        <v>945</v>
      </c>
      <c r="C51" s="635" t="s">
        <v>766</v>
      </c>
      <c r="D51" s="636" t="s">
        <v>984</v>
      </c>
      <c r="E51" s="637">
        <v>2593694.38</v>
      </c>
      <c r="F51" s="636" t="s">
        <v>1249</v>
      </c>
      <c r="G51" s="638" t="s">
        <v>1132</v>
      </c>
      <c r="H51" s="639">
        <v>43710</v>
      </c>
      <c r="I51" s="639">
        <v>44040</v>
      </c>
      <c r="J51" s="640"/>
      <c r="K51" s="342"/>
      <c r="L51" s="342"/>
      <c r="M51" s="342"/>
      <c r="N51" s="342"/>
      <c r="O51" s="342"/>
      <c r="P51" s="342"/>
      <c r="Q51" s="342"/>
      <c r="R51" s="342"/>
      <c r="S51" s="342"/>
      <c r="T51" s="342"/>
      <c r="U51" s="342"/>
      <c r="V51" s="342"/>
      <c r="W51" s="342"/>
      <c r="X51" s="342"/>
    </row>
    <row r="52" spans="1:24" ht="108" customHeight="1" x14ac:dyDescent="0.2">
      <c r="A52" s="634" t="s">
        <v>973</v>
      </c>
      <c r="B52" s="635" t="s">
        <v>945</v>
      </c>
      <c r="C52" s="635" t="s">
        <v>766</v>
      </c>
      <c r="D52" s="636" t="s">
        <v>974</v>
      </c>
      <c r="E52" s="637">
        <v>4041499.92</v>
      </c>
      <c r="F52" s="636" t="s">
        <v>1250</v>
      </c>
      <c r="G52" s="638" t="s">
        <v>1132</v>
      </c>
      <c r="H52" s="639">
        <v>43710</v>
      </c>
      <c r="I52" s="639">
        <v>43960</v>
      </c>
      <c r="J52" s="640"/>
      <c r="K52" s="342"/>
      <c r="L52" s="342"/>
      <c r="M52" s="342"/>
      <c r="N52" s="342"/>
      <c r="O52" s="342"/>
      <c r="P52" s="342"/>
      <c r="Q52" s="342"/>
      <c r="R52" s="342"/>
      <c r="S52" s="342"/>
      <c r="T52" s="342"/>
      <c r="U52" s="342"/>
      <c r="V52" s="342"/>
      <c r="W52" s="342"/>
      <c r="X52" s="342"/>
    </row>
    <row r="53" spans="1:24" ht="12" customHeight="1" x14ac:dyDescent="0.2">
      <c r="A53" s="634" t="s">
        <v>1251</v>
      </c>
      <c r="B53" s="635" t="s">
        <v>945</v>
      </c>
      <c r="C53" s="635" t="s">
        <v>766</v>
      </c>
      <c r="D53" s="636" t="s">
        <v>961</v>
      </c>
      <c r="E53" s="637">
        <v>461505.14</v>
      </c>
      <c r="F53" s="636" t="s">
        <v>1252</v>
      </c>
      <c r="G53" s="638" t="s">
        <v>1132</v>
      </c>
      <c r="H53" s="639">
        <v>43713</v>
      </c>
      <c r="I53" s="639">
        <v>43874</v>
      </c>
      <c r="J53" s="640"/>
      <c r="K53" s="342"/>
      <c r="L53" s="342"/>
      <c r="M53" s="342"/>
      <c r="N53" s="342"/>
      <c r="O53" s="342"/>
      <c r="P53" s="342"/>
      <c r="Q53" s="342"/>
      <c r="R53" s="342"/>
      <c r="S53" s="342"/>
      <c r="T53" s="342"/>
      <c r="U53" s="342"/>
      <c r="V53" s="342"/>
      <c r="W53" s="342"/>
      <c r="X53" s="342"/>
    </row>
    <row r="54" spans="1:24" ht="12" customHeight="1" x14ac:dyDescent="0.2">
      <c r="A54" s="634" t="s">
        <v>1253</v>
      </c>
      <c r="B54" s="635" t="s">
        <v>945</v>
      </c>
      <c r="C54" s="635" t="s">
        <v>766</v>
      </c>
      <c r="D54" s="636" t="s">
        <v>1254</v>
      </c>
      <c r="E54" s="637">
        <v>987681.74</v>
      </c>
      <c r="F54" s="636" t="s">
        <v>1255</v>
      </c>
      <c r="G54" s="638" t="s">
        <v>1132</v>
      </c>
      <c r="H54" s="639">
        <v>43713</v>
      </c>
      <c r="I54" s="639">
        <v>44034</v>
      </c>
      <c r="J54" s="640"/>
      <c r="K54" s="342"/>
      <c r="L54" s="342"/>
      <c r="M54" s="342"/>
      <c r="N54" s="342"/>
      <c r="O54" s="342"/>
      <c r="P54" s="342"/>
      <c r="Q54" s="342"/>
      <c r="R54" s="342"/>
      <c r="S54" s="342"/>
      <c r="T54" s="342"/>
      <c r="U54" s="342"/>
      <c r="V54" s="342"/>
      <c r="W54" s="342"/>
      <c r="X54" s="342"/>
    </row>
    <row r="55" spans="1:24" ht="42" customHeight="1" x14ac:dyDescent="0.2">
      <c r="A55" s="634" t="s">
        <v>1256</v>
      </c>
      <c r="B55" s="635" t="s">
        <v>884</v>
      </c>
      <c r="C55" s="635" t="s">
        <v>766</v>
      </c>
      <c r="D55" s="636" t="s">
        <v>1257</v>
      </c>
      <c r="E55" s="637">
        <v>234478.5</v>
      </c>
      <c r="F55" s="636" t="s">
        <v>1258</v>
      </c>
      <c r="G55" s="638" t="s">
        <v>1132</v>
      </c>
      <c r="H55" s="639">
        <v>43718</v>
      </c>
      <c r="I55" s="639">
        <v>44326</v>
      </c>
      <c r="J55" s="645" t="s">
        <v>1259</v>
      </c>
      <c r="K55" s="342"/>
      <c r="L55" s="342"/>
      <c r="M55" s="342"/>
      <c r="N55" s="342"/>
      <c r="O55" s="342"/>
      <c r="P55" s="342"/>
      <c r="Q55" s="342"/>
      <c r="R55" s="342"/>
      <c r="S55" s="342"/>
      <c r="T55" s="342"/>
      <c r="U55" s="342"/>
      <c r="V55" s="342"/>
      <c r="W55" s="342"/>
      <c r="X55" s="342"/>
    </row>
    <row r="56" spans="1:24" ht="12" customHeight="1" x14ac:dyDescent="0.2">
      <c r="A56" s="634" t="s">
        <v>1260</v>
      </c>
      <c r="B56" s="635" t="s">
        <v>945</v>
      </c>
      <c r="C56" s="635" t="s">
        <v>766</v>
      </c>
      <c r="D56" s="636" t="s">
        <v>1261</v>
      </c>
      <c r="E56" s="637">
        <v>421860.6</v>
      </c>
      <c r="F56" s="636" t="s">
        <v>1262</v>
      </c>
      <c r="G56" s="638" t="s">
        <v>1132</v>
      </c>
      <c r="H56" s="639">
        <v>43724</v>
      </c>
      <c r="I56" s="639">
        <v>44455</v>
      </c>
      <c r="J56" s="640"/>
      <c r="K56" s="342"/>
      <c r="L56" s="342"/>
      <c r="M56" s="342"/>
      <c r="N56" s="342"/>
      <c r="O56" s="342"/>
      <c r="P56" s="342"/>
      <c r="Q56" s="342"/>
      <c r="R56" s="342"/>
      <c r="S56" s="342"/>
      <c r="T56" s="342"/>
      <c r="U56" s="342"/>
      <c r="V56" s="342"/>
      <c r="W56" s="342"/>
      <c r="X56" s="342"/>
    </row>
    <row r="57" spans="1:24" ht="12" customHeight="1" x14ac:dyDescent="0.2">
      <c r="A57" s="634" t="s">
        <v>1263</v>
      </c>
      <c r="B57" s="635" t="s">
        <v>884</v>
      </c>
      <c r="C57" s="635" t="s">
        <v>766</v>
      </c>
      <c r="D57" s="636" t="s">
        <v>1264</v>
      </c>
      <c r="E57" s="637">
        <v>313300</v>
      </c>
      <c r="F57" s="636" t="s">
        <v>1265</v>
      </c>
      <c r="G57" s="638" t="s">
        <v>1143</v>
      </c>
      <c r="H57" s="639">
        <v>43745</v>
      </c>
      <c r="I57" s="639">
        <v>43795</v>
      </c>
      <c r="J57" s="640"/>
      <c r="K57" s="342"/>
      <c r="L57" s="342"/>
      <c r="M57" s="342"/>
      <c r="N57" s="342"/>
      <c r="O57" s="342"/>
      <c r="P57" s="342"/>
      <c r="Q57" s="342"/>
      <c r="R57" s="342"/>
      <c r="S57" s="342"/>
      <c r="T57" s="342"/>
      <c r="U57" s="342"/>
      <c r="V57" s="342"/>
      <c r="W57" s="342"/>
      <c r="X57" s="342"/>
    </row>
    <row r="58" spans="1:24" ht="12" customHeight="1" x14ac:dyDescent="0.2">
      <c r="A58" s="634" t="s">
        <v>1266</v>
      </c>
      <c r="B58" s="635" t="s">
        <v>945</v>
      </c>
      <c r="C58" s="635" t="s">
        <v>766</v>
      </c>
      <c r="D58" s="636" t="s">
        <v>1267</v>
      </c>
      <c r="E58" s="637">
        <v>2377087.6</v>
      </c>
      <c r="F58" s="636" t="s">
        <v>1249</v>
      </c>
      <c r="G58" s="638" t="s">
        <v>1132</v>
      </c>
      <c r="H58" s="639">
        <v>43747</v>
      </c>
      <c r="I58" s="639">
        <v>44109</v>
      </c>
      <c r="J58" s="640"/>
      <c r="K58" s="342"/>
      <c r="L58" s="342"/>
      <c r="M58" s="342"/>
      <c r="N58" s="342"/>
      <c r="O58" s="342"/>
      <c r="P58" s="342"/>
      <c r="Q58" s="342"/>
      <c r="R58" s="342"/>
      <c r="S58" s="342"/>
      <c r="T58" s="342"/>
      <c r="U58" s="342"/>
      <c r="V58" s="342"/>
      <c r="W58" s="342"/>
      <c r="X58" s="342"/>
    </row>
    <row r="59" spans="1:24" ht="12" customHeight="1" x14ac:dyDescent="0.2">
      <c r="A59" s="634" t="s">
        <v>1268</v>
      </c>
      <c r="B59" s="635" t="s">
        <v>945</v>
      </c>
      <c r="C59" s="635" t="s">
        <v>766</v>
      </c>
      <c r="D59" s="636" t="s">
        <v>952</v>
      </c>
      <c r="E59" s="637">
        <v>581544.26</v>
      </c>
      <c r="F59" s="636" t="s">
        <v>1269</v>
      </c>
      <c r="G59" s="638" t="s">
        <v>1132</v>
      </c>
      <c r="H59" s="639">
        <v>43747</v>
      </c>
      <c r="I59" s="639">
        <v>43876</v>
      </c>
      <c r="J59" s="640"/>
      <c r="K59" s="342"/>
      <c r="L59" s="342"/>
      <c r="M59" s="342"/>
      <c r="N59" s="342"/>
      <c r="O59" s="342"/>
      <c r="P59" s="342"/>
      <c r="Q59" s="342"/>
      <c r="R59" s="342"/>
      <c r="S59" s="342"/>
      <c r="T59" s="342"/>
      <c r="U59" s="342"/>
      <c r="V59" s="342"/>
      <c r="W59" s="342"/>
      <c r="X59" s="342"/>
    </row>
    <row r="60" spans="1:24" ht="12" customHeight="1" x14ac:dyDescent="0.2">
      <c r="A60" s="634" t="s">
        <v>1270</v>
      </c>
      <c r="B60" s="635" t="s">
        <v>945</v>
      </c>
      <c r="C60" s="635" t="s">
        <v>766</v>
      </c>
      <c r="D60" s="636" t="s">
        <v>1271</v>
      </c>
      <c r="E60" s="637">
        <v>825979.28</v>
      </c>
      <c r="F60" s="636" t="s">
        <v>1272</v>
      </c>
      <c r="G60" s="638" t="s">
        <v>1143</v>
      </c>
      <c r="H60" s="639">
        <v>43755</v>
      </c>
      <c r="I60" s="639">
        <v>43829</v>
      </c>
      <c r="J60" s="640"/>
      <c r="K60" s="342"/>
      <c r="L60" s="342"/>
      <c r="M60" s="342"/>
      <c r="N60" s="342"/>
      <c r="O60" s="342"/>
      <c r="P60" s="342"/>
      <c r="Q60" s="342"/>
      <c r="R60" s="342"/>
      <c r="S60" s="342"/>
      <c r="T60" s="342"/>
      <c r="U60" s="342"/>
      <c r="V60" s="342"/>
      <c r="W60" s="342"/>
      <c r="X60" s="342"/>
    </row>
    <row r="61" spans="1:24" ht="12" customHeight="1" x14ac:dyDescent="0.2">
      <c r="A61" s="634" t="s">
        <v>1273</v>
      </c>
      <c r="B61" s="635" t="s">
        <v>830</v>
      </c>
      <c r="C61" s="635" t="s">
        <v>766</v>
      </c>
      <c r="D61" s="636" t="s">
        <v>1274</v>
      </c>
      <c r="E61" s="637">
        <v>357106.35</v>
      </c>
      <c r="F61" s="636" t="s">
        <v>1275</v>
      </c>
      <c r="G61" s="638" t="s">
        <v>1143</v>
      </c>
      <c r="H61" s="639">
        <v>43756</v>
      </c>
      <c r="I61" s="639">
        <v>43830</v>
      </c>
      <c r="J61" s="640"/>
      <c r="K61" s="342"/>
      <c r="L61" s="342"/>
      <c r="M61" s="342"/>
      <c r="N61" s="342"/>
      <c r="O61" s="342"/>
      <c r="P61" s="342"/>
      <c r="Q61" s="342"/>
      <c r="R61" s="342"/>
      <c r="S61" s="342"/>
      <c r="T61" s="342"/>
      <c r="U61" s="342"/>
      <c r="V61" s="342"/>
      <c r="W61" s="342"/>
      <c r="X61" s="342"/>
    </row>
    <row r="62" spans="1:24" ht="12" customHeight="1" x14ac:dyDescent="0.2">
      <c r="A62" s="634" t="s">
        <v>1276</v>
      </c>
      <c r="B62" s="635" t="s">
        <v>884</v>
      </c>
      <c r="C62" s="635" t="s">
        <v>766</v>
      </c>
      <c r="D62" s="636" t="s">
        <v>1277</v>
      </c>
      <c r="E62" s="637">
        <v>442689.52</v>
      </c>
      <c r="F62" s="636" t="s">
        <v>1278</v>
      </c>
      <c r="G62" s="638" t="s">
        <v>1132</v>
      </c>
      <c r="H62" s="639">
        <v>43761</v>
      </c>
      <c r="I62" s="639">
        <v>44865</v>
      </c>
      <c r="J62" s="640"/>
      <c r="K62" s="342"/>
      <c r="L62" s="342"/>
      <c r="M62" s="342"/>
      <c r="N62" s="342"/>
      <c r="O62" s="342"/>
      <c r="P62" s="342"/>
      <c r="Q62" s="342"/>
      <c r="R62" s="342"/>
      <c r="S62" s="342"/>
      <c r="T62" s="342"/>
      <c r="U62" s="342"/>
      <c r="V62" s="342"/>
      <c r="W62" s="342"/>
      <c r="X62" s="342"/>
    </row>
    <row r="63" spans="1:24" ht="12" customHeight="1" x14ac:dyDescent="0.2">
      <c r="A63" s="634" t="s">
        <v>1279</v>
      </c>
      <c r="B63" s="635" t="s">
        <v>884</v>
      </c>
      <c r="C63" s="635" t="s">
        <v>766</v>
      </c>
      <c r="D63" s="641" t="s">
        <v>1280</v>
      </c>
      <c r="E63" s="637">
        <v>401850</v>
      </c>
      <c r="F63" s="636" t="s">
        <v>1281</v>
      </c>
      <c r="G63" s="638" t="s">
        <v>1143</v>
      </c>
      <c r="H63" s="639">
        <v>43782</v>
      </c>
      <c r="I63" s="639">
        <v>43812</v>
      </c>
      <c r="J63" s="640"/>
      <c r="K63" s="342"/>
      <c r="L63" s="342"/>
      <c r="M63" s="342"/>
      <c r="N63" s="342"/>
      <c r="O63" s="342"/>
      <c r="P63" s="342"/>
      <c r="Q63" s="342"/>
      <c r="R63" s="342"/>
      <c r="S63" s="342"/>
      <c r="T63" s="342"/>
      <c r="U63" s="342"/>
      <c r="V63" s="342"/>
      <c r="W63" s="342"/>
      <c r="X63" s="342"/>
    </row>
    <row r="64" spans="1:24" ht="12" customHeight="1" x14ac:dyDescent="0.2">
      <c r="A64" s="634" t="s">
        <v>1282</v>
      </c>
      <c r="B64" s="635" t="s">
        <v>945</v>
      </c>
      <c r="C64" s="635" t="s">
        <v>766</v>
      </c>
      <c r="D64" s="636" t="s">
        <v>1283</v>
      </c>
      <c r="E64" s="637">
        <v>122195.04</v>
      </c>
      <c r="F64" s="636" t="s">
        <v>1284</v>
      </c>
      <c r="G64" s="638" t="s">
        <v>1143</v>
      </c>
      <c r="H64" s="639">
        <v>43782</v>
      </c>
      <c r="I64" s="639">
        <v>43792</v>
      </c>
      <c r="J64" s="640"/>
      <c r="K64" s="342"/>
      <c r="L64" s="342"/>
      <c r="M64" s="342"/>
      <c r="N64" s="342"/>
      <c r="O64" s="342"/>
      <c r="P64" s="342"/>
      <c r="Q64" s="342"/>
      <c r="R64" s="342"/>
      <c r="S64" s="342"/>
      <c r="T64" s="342"/>
      <c r="U64" s="342"/>
      <c r="V64" s="342"/>
      <c r="W64" s="342"/>
      <c r="X64" s="342"/>
    </row>
    <row r="65" spans="1:24" ht="12" customHeight="1" x14ac:dyDescent="0.2">
      <c r="A65" s="634" t="s">
        <v>1285</v>
      </c>
      <c r="B65" s="635" t="s">
        <v>945</v>
      </c>
      <c r="C65" s="635" t="s">
        <v>766</v>
      </c>
      <c r="D65" s="643" t="s">
        <v>1286</v>
      </c>
      <c r="E65" s="637">
        <v>2020000</v>
      </c>
      <c r="F65" s="646" t="s">
        <v>1287</v>
      </c>
      <c r="G65" s="638" t="s">
        <v>1132</v>
      </c>
      <c r="H65" s="639">
        <v>43784</v>
      </c>
      <c r="I65" s="639">
        <v>44149</v>
      </c>
      <c r="J65" s="640"/>
      <c r="K65" s="342"/>
      <c r="L65" s="342"/>
      <c r="M65" s="342"/>
      <c r="N65" s="342"/>
      <c r="O65" s="342"/>
      <c r="P65" s="342"/>
      <c r="Q65" s="342"/>
      <c r="R65" s="342"/>
      <c r="S65" s="342"/>
      <c r="T65" s="342"/>
      <c r="U65" s="342"/>
      <c r="V65" s="342"/>
      <c r="W65" s="342"/>
      <c r="X65" s="342"/>
    </row>
    <row r="66" spans="1:24" ht="12" customHeight="1" x14ac:dyDescent="0.2">
      <c r="A66" s="634" t="s">
        <v>1288</v>
      </c>
      <c r="B66" s="635" t="s">
        <v>884</v>
      </c>
      <c r="C66" s="635" t="s">
        <v>766</v>
      </c>
      <c r="D66" s="636" t="s">
        <v>1289</v>
      </c>
      <c r="E66" s="637">
        <v>585000</v>
      </c>
      <c r="F66" s="636" t="s">
        <v>1290</v>
      </c>
      <c r="G66" s="638" t="s">
        <v>1143</v>
      </c>
      <c r="H66" s="639">
        <v>43787</v>
      </c>
      <c r="I66" s="639">
        <v>43802</v>
      </c>
      <c r="J66" s="640"/>
      <c r="K66" s="342"/>
      <c r="L66" s="342"/>
      <c r="M66" s="342"/>
      <c r="N66" s="342"/>
      <c r="O66" s="342"/>
      <c r="P66" s="342"/>
      <c r="Q66" s="342"/>
      <c r="R66" s="342"/>
      <c r="S66" s="342"/>
      <c r="T66" s="342"/>
      <c r="U66" s="342"/>
      <c r="V66" s="342"/>
      <c r="W66" s="342"/>
      <c r="X66" s="342"/>
    </row>
    <row r="67" spans="1:24" ht="12" customHeight="1" x14ac:dyDescent="0.2">
      <c r="A67" s="634" t="s">
        <v>1291</v>
      </c>
      <c r="B67" s="635" t="s">
        <v>945</v>
      </c>
      <c r="C67" s="635" t="s">
        <v>766</v>
      </c>
      <c r="D67" s="643" t="s">
        <v>1292</v>
      </c>
      <c r="E67" s="637">
        <v>2894000</v>
      </c>
      <c r="F67" s="636" t="s">
        <v>1293</v>
      </c>
      <c r="G67" s="638" t="s">
        <v>1132</v>
      </c>
      <c r="H67" s="639">
        <v>43788</v>
      </c>
      <c r="I67" s="639">
        <v>44518</v>
      </c>
      <c r="J67" s="640"/>
      <c r="K67" s="342"/>
      <c r="L67" s="342"/>
      <c r="M67" s="342"/>
      <c r="N67" s="342"/>
      <c r="O67" s="342"/>
      <c r="P67" s="342"/>
      <c r="Q67" s="342"/>
      <c r="R67" s="342"/>
      <c r="S67" s="342"/>
      <c r="T67" s="342"/>
      <c r="U67" s="342"/>
      <c r="V67" s="342"/>
      <c r="W67" s="342"/>
      <c r="X67" s="342"/>
    </row>
    <row r="68" spans="1:24" ht="12" customHeight="1" x14ac:dyDescent="0.2">
      <c r="A68" s="634" t="s">
        <v>1294</v>
      </c>
      <c r="B68" s="635" t="s">
        <v>830</v>
      </c>
      <c r="C68" s="635" t="s">
        <v>766</v>
      </c>
      <c r="D68" s="636" t="s">
        <v>1295</v>
      </c>
      <c r="E68" s="637">
        <v>57294.9</v>
      </c>
      <c r="F68" s="636" t="s">
        <v>1296</v>
      </c>
      <c r="G68" s="638" t="s">
        <v>1143</v>
      </c>
      <c r="H68" s="639">
        <v>43789</v>
      </c>
      <c r="I68" s="639">
        <v>43809</v>
      </c>
      <c r="J68" s="640"/>
      <c r="K68" s="342"/>
      <c r="L68" s="342"/>
      <c r="M68" s="342"/>
      <c r="N68" s="342"/>
      <c r="O68" s="342"/>
      <c r="P68" s="342"/>
      <c r="Q68" s="342"/>
      <c r="R68" s="342"/>
      <c r="S68" s="342"/>
      <c r="T68" s="342"/>
      <c r="U68" s="342"/>
      <c r="V68" s="342"/>
      <c r="W68" s="342"/>
      <c r="X68" s="342"/>
    </row>
    <row r="69" spans="1:24" ht="12" customHeight="1" x14ac:dyDescent="0.2">
      <c r="A69" s="634" t="s">
        <v>1297</v>
      </c>
      <c r="B69" s="635" t="s">
        <v>830</v>
      </c>
      <c r="C69" s="635" t="s">
        <v>766</v>
      </c>
      <c r="D69" s="636" t="s">
        <v>1298</v>
      </c>
      <c r="E69" s="637">
        <v>70741</v>
      </c>
      <c r="F69" s="636" t="s">
        <v>1299</v>
      </c>
      <c r="G69" s="638" t="s">
        <v>1143</v>
      </c>
      <c r="H69" s="639">
        <v>43791</v>
      </c>
      <c r="I69" s="639">
        <v>43822</v>
      </c>
      <c r="J69" s="640"/>
      <c r="K69" s="342"/>
      <c r="L69" s="342"/>
      <c r="M69" s="342"/>
      <c r="N69" s="342"/>
      <c r="O69" s="342"/>
      <c r="P69" s="342"/>
      <c r="Q69" s="342"/>
      <c r="R69" s="342"/>
      <c r="S69" s="342"/>
      <c r="T69" s="342"/>
      <c r="U69" s="342"/>
      <c r="V69" s="342"/>
      <c r="W69" s="342"/>
      <c r="X69" s="342"/>
    </row>
    <row r="70" spans="1:24" ht="12" customHeight="1" x14ac:dyDescent="0.2">
      <c r="A70" s="634" t="s">
        <v>1300</v>
      </c>
      <c r="B70" s="635" t="s">
        <v>884</v>
      </c>
      <c r="C70" s="635" t="s">
        <v>766</v>
      </c>
      <c r="D70" s="636" t="s">
        <v>1301</v>
      </c>
      <c r="E70" s="637">
        <v>779810</v>
      </c>
      <c r="F70" s="636" t="s">
        <v>1302</v>
      </c>
      <c r="G70" s="638" t="s">
        <v>1143</v>
      </c>
      <c r="H70" s="639">
        <v>43796</v>
      </c>
      <c r="I70" s="639">
        <v>43811</v>
      </c>
      <c r="J70" s="640"/>
      <c r="K70" s="342"/>
      <c r="L70" s="342"/>
      <c r="M70" s="342"/>
      <c r="N70" s="342"/>
      <c r="O70" s="342"/>
      <c r="P70" s="342"/>
      <c r="Q70" s="342"/>
      <c r="R70" s="342"/>
      <c r="S70" s="342"/>
      <c r="T70" s="342"/>
      <c r="U70" s="342"/>
      <c r="V70" s="342"/>
      <c r="W70" s="342"/>
      <c r="X70" s="342"/>
    </row>
    <row r="71" spans="1:24" ht="12" customHeight="1" x14ac:dyDescent="0.2">
      <c r="A71" s="634" t="s">
        <v>1303</v>
      </c>
      <c r="B71" s="635" t="s">
        <v>765</v>
      </c>
      <c r="C71" s="635" t="s">
        <v>766</v>
      </c>
      <c r="D71" s="636" t="s">
        <v>958</v>
      </c>
      <c r="E71" s="637">
        <v>36541113.630000003</v>
      </c>
      <c r="F71" s="636" t="s">
        <v>1304</v>
      </c>
      <c r="G71" s="638" t="s">
        <v>1143</v>
      </c>
      <c r="H71" s="639">
        <v>43797</v>
      </c>
      <c r="I71" s="639">
        <v>44297</v>
      </c>
      <c r="J71" s="640"/>
      <c r="K71" s="342"/>
      <c r="L71" s="342"/>
      <c r="M71" s="342"/>
      <c r="N71" s="342"/>
      <c r="O71" s="342"/>
      <c r="P71" s="342"/>
      <c r="Q71" s="342"/>
      <c r="R71" s="342"/>
      <c r="S71" s="342"/>
      <c r="T71" s="342"/>
      <c r="U71" s="342"/>
      <c r="V71" s="342"/>
      <c r="W71" s="342"/>
      <c r="X71" s="342"/>
    </row>
    <row r="72" spans="1:24" ht="12" customHeight="1" x14ac:dyDescent="0.2">
      <c r="A72" s="634" t="s">
        <v>1305</v>
      </c>
      <c r="B72" s="635" t="s">
        <v>945</v>
      </c>
      <c r="C72" s="635" t="s">
        <v>766</v>
      </c>
      <c r="D72" s="636" t="s">
        <v>1306</v>
      </c>
      <c r="E72" s="637">
        <v>3435120</v>
      </c>
      <c r="F72" s="636" t="s">
        <v>1307</v>
      </c>
      <c r="G72" s="638" t="s">
        <v>1132</v>
      </c>
      <c r="H72" s="639">
        <v>43798</v>
      </c>
      <c r="I72" s="639">
        <v>44926</v>
      </c>
      <c r="J72" s="640"/>
      <c r="K72" s="342"/>
      <c r="L72" s="342"/>
      <c r="M72" s="342"/>
      <c r="N72" s="342"/>
      <c r="O72" s="342"/>
      <c r="P72" s="342"/>
      <c r="Q72" s="342"/>
      <c r="R72" s="342"/>
      <c r="S72" s="342"/>
      <c r="T72" s="342"/>
      <c r="U72" s="342"/>
      <c r="V72" s="342"/>
      <c r="W72" s="342"/>
      <c r="X72" s="342"/>
    </row>
    <row r="73" spans="1:24" ht="12" customHeight="1" x14ac:dyDescent="0.2">
      <c r="A73" s="634" t="s">
        <v>1308</v>
      </c>
      <c r="B73" s="635" t="s">
        <v>884</v>
      </c>
      <c r="C73" s="635" t="s">
        <v>766</v>
      </c>
      <c r="D73" s="641" t="s">
        <v>1309</v>
      </c>
      <c r="E73" s="637">
        <v>340583</v>
      </c>
      <c r="F73" s="636" t="s">
        <v>1310</v>
      </c>
      <c r="G73" s="638" t="s">
        <v>1143</v>
      </c>
      <c r="H73" s="639">
        <v>43802</v>
      </c>
      <c r="I73" s="639">
        <v>43922</v>
      </c>
      <c r="J73" s="640"/>
      <c r="K73" s="342"/>
      <c r="L73" s="342"/>
      <c r="M73" s="342"/>
      <c r="N73" s="342"/>
      <c r="O73" s="342"/>
      <c r="P73" s="342"/>
      <c r="Q73" s="342"/>
      <c r="R73" s="342"/>
      <c r="S73" s="342"/>
      <c r="T73" s="342"/>
      <c r="U73" s="342"/>
      <c r="V73" s="342"/>
      <c r="W73" s="342"/>
      <c r="X73" s="342"/>
    </row>
    <row r="74" spans="1:24" ht="12" customHeight="1" x14ac:dyDescent="0.2">
      <c r="A74" s="634" t="s">
        <v>1311</v>
      </c>
      <c r="B74" s="635" t="s">
        <v>945</v>
      </c>
      <c r="C74" s="635" t="s">
        <v>766</v>
      </c>
      <c r="D74" s="636" t="s">
        <v>1312</v>
      </c>
      <c r="E74" s="637">
        <v>2870922.6</v>
      </c>
      <c r="F74" s="636" t="s">
        <v>1313</v>
      </c>
      <c r="G74" s="638" t="s">
        <v>1143</v>
      </c>
      <c r="H74" s="639">
        <v>43802</v>
      </c>
      <c r="I74" s="639">
        <v>44297</v>
      </c>
      <c r="J74" s="640"/>
      <c r="K74" s="342"/>
      <c r="L74" s="342"/>
      <c r="M74" s="342"/>
      <c r="N74" s="342"/>
      <c r="O74" s="342"/>
      <c r="P74" s="342"/>
      <c r="Q74" s="342"/>
      <c r="R74" s="342"/>
      <c r="S74" s="342"/>
      <c r="T74" s="342"/>
      <c r="U74" s="342"/>
      <c r="V74" s="342"/>
      <c r="W74" s="342"/>
      <c r="X74" s="342"/>
    </row>
    <row r="75" spans="1:24" ht="12" customHeight="1" x14ac:dyDescent="0.2">
      <c r="A75" s="634" t="s">
        <v>1314</v>
      </c>
      <c r="B75" s="635" t="s">
        <v>830</v>
      </c>
      <c r="C75" s="635" t="s">
        <v>766</v>
      </c>
      <c r="D75" s="636" t="s">
        <v>1315</v>
      </c>
      <c r="E75" s="637">
        <v>176735.53599999999</v>
      </c>
      <c r="F75" s="636" t="s">
        <v>1316</v>
      </c>
      <c r="G75" s="638" t="s">
        <v>1132</v>
      </c>
      <c r="H75" s="639">
        <v>43802</v>
      </c>
      <c r="I75" s="639">
        <v>44167</v>
      </c>
      <c r="J75" s="640"/>
      <c r="K75" s="342"/>
      <c r="L75" s="342"/>
      <c r="M75" s="342"/>
      <c r="N75" s="342"/>
      <c r="O75" s="342"/>
      <c r="P75" s="342"/>
      <c r="Q75" s="342"/>
      <c r="R75" s="342"/>
      <c r="S75" s="342"/>
      <c r="T75" s="342"/>
      <c r="U75" s="342"/>
      <c r="V75" s="342"/>
      <c r="W75" s="342"/>
      <c r="X75" s="342"/>
    </row>
    <row r="76" spans="1:24" ht="12" customHeight="1" x14ac:dyDescent="0.2">
      <c r="A76" s="634" t="s">
        <v>1317</v>
      </c>
      <c r="B76" s="635" t="s">
        <v>945</v>
      </c>
      <c r="C76" s="635" t="s">
        <v>766</v>
      </c>
      <c r="D76" s="636" t="s">
        <v>1306</v>
      </c>
      <c r="E76" s="637">
        <v>475200</v>
      </c>
      <c r="F76" s="636" t="s">
        <v>1318</v>
      </c>
      <c r="G76" s="638" t="s">
        <v>1132</v>
      </c>
      <c r="H76" s="639">
        <v>43805</v>
      </c>
      <c r="I76" s="639">
        <v>44926</v>
      </c>
      <c r="J76" s="640"/>
      <c r="K76" s="342"/>
      <c r="L76" s="342"/>
      <c r="M76" s="342"/>
      <c r="N76" s="342"/>
      <c r="O76" s="342"/>
      <c r="P76" s="342"/>
      <c r="Q76" s="342"/>
      <c r="R76" s="342"/>
      <c r="S76" s="342"/>
      <c r="T76" s="342"/>
      <c r="U76" s="342"/>
      <c r="V76" s="342"/>
      <c r="W76" s="342"/>
      <c r="X76" s="342"/>
    </row>
    <row r="77" spans="1:24" ht="12" customHeight="1" x14ac:dyDescent="0.2">
      <c r="A77" s="634" t="s">
        <v>1319</v>
      </c>
      <c r="B77" s="635" t="s">
        <v>830</v>
      </c>
      <c r="C77" s="635" t="s">
        <v>766</v>
      </c>
      <c r="D77" s="636" t="s">
        <v>958</v>
      </c>
      <c r="E77" s="637">
        <v>267667.38</v>
      </c>
      <c r="F77" s="636" t="s">
        <v>1320</v>
      </c>
      <c r="G77" s="638" t="s">
        <v>1132</v>
      </c>
      <c r="H77" s="639">
        <v>43805</v>
      </c>
      <c r="I77" s="639">
        <v>44040</v>
      </c>
      <c r="J77" s="640"/>
      <c r="K77" s="342"/>
      <c r="L77" s="342"/>
      <c r="M77" s="342"/>
      <c r="N77" s="342"/>
      <c r="O77" s="342"/>
      <c r="P77" s="342"/>
      <c r="Q77" s="342"/>
      <c r="R77" s="342"/>
      <c r="S77" s="342"/>
      <c r="T77" s="342"/>
      <c r="U77" s="342"/>
      <c r="V77" s="342"/>
      <c r="W77" s="342"/>
      <c r="X77" s="342"/>
    </row>
    <row r="78" spans="1:24" ht="12" customHeight="1" x14ac:dyDescent="0.2">
      <c r="A78" s="634" t="s">
        <v>1321</v>
      </c>
      <c r="B78" s="635" t="s">
        <v>945</v>
      </c>
      <c r="C78" s="635" t="s">
        <v>766</v>
      </c>
      <c r="D78" s="636" t="s">
        <v>1306</v>
      </c>
      <c r="E78" s="637">
        <v>226800</v>
      </c>
      <c r="F78" s="636" t="s">
        <v>1322</v>
      </c>
      <c r="G78" s="638" t="s">
        <v>1132</v>
      </c>
      <c r="H78" s="639">
        <v>43809</v>
      </c>
      <c r="I78" s="639">
        <v>44926</v>
      </c>
      <c r="J78" s="640"/>
      <c r="K78" s="342"/>
      <c r="L78" s="342"/>
      <c r="M78" s="342"/>
      <c r="N78" s="342"/>
      <c r="O78" s="342"/>
      <c r="P78" s="342"/>
      <c r="Q78" s="342"/>
      <c r="R78" s="342"/>
      <c r="S78" s="342"/>
      <c r="T78" s="342"/>
      <c r="U78" s="342"/>
      <c r="V78" s="342"/>
      <c r="W78" s="342"/>
      <c r="X78" s="342"/>
    </row>
    <row r="79" spans="1:24" ht="12" customHeight="1" x14ac:dyDescent="0.2">
      <c r="A79" s="634" t="s">
        <v>1323</v>
      </c>
      <c r="B79" s="635" t="s">
        <v>830</v>
      </c>
      <c r="C79" s="635" t="s">
        <v>766</v>
      </c>
      <c r="D79" s="636" t="s">
        <v>1324</v>
      </c>
      <c r="E79" s="637">
        <v>96678</v>
      </c>
      <c r="F79" s="636" t="s">
        <v>1325</v>
      </c>
      <c r="G79" s="638" t="s">
        <v>1132</v>
      </c>
      <c r="H79" s="639">
        <v>43812</v>
      </c>
      <c r="I79" s="639">
        <v>44177</v>
      </c>
      <c r="J79" s="640"/>
      <c r="K79" s="342"/>
      <c r="L79" s="342"/>
      <c r="M79" s="342"/>
      <c r="N79" s="342"/>
      <c r="O79" s="342"/>
      <c r="P79" s="342"/>
      <c r="Q79" s="342"/>
      <c r="R79" s="342"/>
      <c r="S79" s="342"/>
      <c r="T79" s="342"/>
      <c r="U79" s="342"/>
      <c r="V79" s="342"/>
      <c r="W79" s="342"/>
      <c r="X79" s="342"/>
    </row>
    <row r="80" spans="1:24" ht="12" customHeight="1" x14ac:dyDescent="0.2">
      <c r="A80" s="634" t="s">
        <v>1151</v>
      </c>
      <c r="B80" s="635" t="s">
        <v>945</v>
      </c>
      <c r="C80" s="635" t="s">
        <v>766</v>
      </c>
      <c r="D80" s="636" t="s">
        <v>1326</v>
      </c>
      <c r="E80" s="637">
        <v>1550000</v>
      </c>
      <c r="F80" s="636" t="s">
        <v>1327</v>
      </c>
      <c r="G80" s="638" t="s">
        <v>1132</v>
      </c>
      <c r="H80" s="639">
        <v>43812</v>
      </c>
      <c r="I80" s="639">
        <v>44177</v>
      </c>
      <c r="J80" s="640"/>
      <c r="K80" s="342"/>
      <c r="L80" s="342"/>
      <c r="M80" s="342"/>
      <c r="N80" s="342"/>
      <c r="O80" s="342"/>
      <c r="P80" s="342"/>
      <c r="Q80" s="342"/>
      <c r="R80" s="342"/>
      <c r="S80" s="342"/>
      <c r="T80" s="342"/>
      <c r="U80" s="342"/>
      <c r="V80" s="342"/>
      <c r="W80" s="342"/>
      <c r="X80" s="342"/>
    </row>
    <row r="81" spans="1:24" ht="12" customHeight="1" x14ac:dyDescent="0.2">
      <c r="A81" s="634" t="s">
        <v>1328</v>
      </c>
      <c r="B81" s="635" t="s">
        <v>884</v>
      </c>
      <c r="C81" s="635" t="s">
        <v>766</v>
      </c>
      <c r="D81" s="636" t="s">
        <v>1329</v>
      </c>
      <c r="E81" s="637">
        <v>111307</v>
      </c>
      <c r="F81" s="636" t="s">
        <v>1330</v>
      </c>
      <c r="G81" s="638" t="s">
        <v>1143</v>
      </c>
      <c r="H81" s="639">
        <v>43817</v>
      </c>
      <c r="I81" s="639">
        <v>43827</v>
      </c>
      <c r="J81" s="640"/>
      <c r="K81" s="342"/>
      <c r="L81" s="342"/>
      <c r="M81" s="342"/>
      <c r="N81" s="342"/>
      <c r="O81" s="342"/>
      <c r="P81" s="342"/>
      <c r="Q81" s="342"/>
      <c r="R81" s="342"/>
      <c r="S81" s="342"/>
      <c r="T81" s="342"/>
      <c r="U81" s="342"/>
      <c r="V81" s="342"/>
      <c r="W81" s="342"/>
      <c r="X81" s="342"/>
    </row>
    <row r="82" spans="1:24" ht="12" customHeight="1" x14ac:dyDescent="0.2">
      <c r="A82" s="634" t="s">
        <v>1331</v>
      </c>
      <c r="B82" s="635" t="s">
        <v>945</v>
      </c>
      <c r="C82" s="635" t="s">
        <v>766</v>
      </c>
      <c r="D82" s="636" t="s">
        <v>1332</v>
      </c>
      <c r="E82" s="637">
        <v>1788663.55</v>
      </c>
      <c r="F82" s="636" t="s">
        <v>1333</v>
      </c>
      <c r="G82" s="638" t="s">
        <v>1334</v>
      </c>
      <c r="H82" s="639">
        <v>43818</v>
      </c>
      <c r="I82" s="639">
        <v>43818</v>
      </c>
      <c r="J82" s="640"/>
      <c r="K82" s="342"/>
      <c r="L82" s="342"/>
      <c r="M82" s="342"/>
      <c r="N82" s="342"/>
      <c r="O82" s="342"/>
      <c r="P82" s="342"/>
      <c r="Q82" s="342"/>
      <c r="R82" s="342"/>
      <c r="S82" s="342"/>
      <c r="T82" s="342"/>
      <c r="U82" s="342"/>
      <c r="V82" s="342"/>
      <c r="W82" s="342"/>
      <c r="X82" s="342"/>
    </row>
    <row r="83" spans="1:24" ht="12" customHeight="1" x14ac:dyDescent="0.2">
      <c r="A83" s="634" t="s">
        <v>1335</v>
      </c>
      <c r="B83" s="635" t="s">
        <v>765</v>
      </c>
      <c r="C83" s="635" t="s">
        <v>766</v>
      </c>
      <c r="D83" s="636" t="s">
        <v>955</v>
      </c>
      <c r="E83" s="637">
        <v>2412121.4300000002</v>
      </c>
      <c r="F83" s="636" t="s">
        <v>1336</v>
      </c>
      <c r="G83" s="638" t="s">
        <v>1132</v>
      </c>
      <c r="H83" s="639">
        <v>43818</v>
      </c>
      <c r="I83" s="639">
        <v>44040</v>
      </c>
      <c r="J83" s="640"/>
      <c r="K83" s="342"/>
      <c r="L83" s="342"/>
      <c r="M83" s="342"/>
      <c r="N83" s="342"/>
      <c r="O83" s="342"/>
      <c r="P83" s="342"/>
      <c r="Q83" s="342"/>
      <c r="R83" s="342"/>
      <c r="S83" s="342"/>
      <c r="T83" s="342"/>
      <c r="U83" s="342"/>
      <c r="V83" s="342"/>
      <c r="W83" s="342"/>
      <c r="X83" s="342"/>
    </row>
    <row r="84" spans="1:24" ht="12" customHeight="1" x14ac:dyDescent="0.2">
      <c r="A84" s="634" t="s">
        <v>1337</v>
      </c>
      <c r="B84" s="635" t="s">
        <v>884</v>
      </c>
      <c r="C84" s="635" t="s">
        <v>766</v>
      </c>
      <c r="D84" s="641" t="s">
        <v>1338</v>
      </c>
      <c r="E84" s="637">
        <v>84600</v>
      </c>
      <c r="F84" s="646" t="s">
        <v>1339</v>
      </c>
      <c r="G84" s="638" t="s">
        <v>1143</v>
      </c>
      <c r="H84" s="639">
        <v>43819</v>
      </c>
      <c r="I84" s="639">
        <v>43829</v>
      </c>
      <c r="J84" s="640"/>
      <c r="K84" s="342"/>
      <c r="L84" s="342"/>
      <c r="M84" s="342"/>
      <c r="N84" s="342"/>
      <c r="O84" s="342"/>
      <c r="P84" s="342"/>
      <c r="Q84" s="342"/>
      <c r="R84" s="342"/>
      <c r="S84" s="342"/>
      <c r="T84" s="342"/>
      <c r="U84" s="342"/>
      <c r="V84" s="342"/>
      <c r="W84" s="342"/>
      <c r="X84" s="342"/>
    </row>
    <row r="85" spans="1:24" ht="12" customHeight="1" x14ac:dyDescent="0.2">
      <c r="A85" s="634" t="s">
        <v>1340</v>
      </c>
      <c r="B85" s="635" t="s">
        <v>1137</v>
      </c>
      <c r="C85" s="635" t="s">
        <v>766</v>
      </c>
      <c r="D85" s="636" t="s">
        <v>1341</v>
      </c>
      <c r="E85" s="637">
        <v>38650</v>
      </c>
      <c r="F85" s="636" t="s">
        <v>1342</v>
      </c>
      <c r="G85" s="638" t="s">
        <v>1143</v>
      </c>
      <c r="H85" s="639">
        <v>43819</v>
      </c>
      <c r="I85" s="639">
        <v>43829</v>
      </c>
      <c r="J85" s="640"/>
      <c r="K85" s="342"/>
      <c r="L85" s="342"/>
      <c r="M85" s="342"/>
      <c r="N85" s="342"/>
      <c r="O85" s="342"/>
      <c r="P85" s="342"/>
      <c r="Q85" s="342"/>
      <c r="R85" s="342"/>
      <c r="S85" s="342"/>
      <c r="T85" s="342"/>
      <c r="U85" s="342"/>
      <c r="V85" s="342"/>
      <c r="W85" s="342"/>
      <c r="X85" s="342"/>
    </row>
    <row r="86" spans="1:24" ht="12" customHeight="1" x14ac:dyDescent="0.2">
      <c r="A86" s="634" t="s">
        <v>1343</v>
      </c>
      <c r="B86" s="635" t="s">
        <v>1137</v>
      </c>
      <c r="C86" s="635" t="s">
        <v>766</v>
      </c>
      <c r="D86" s="636" t="s">
        <v>1344</v>
      </c>
      <c r="E86" s="637">
        <v>56470.080000000002</v>
      </c>
      <c r="F86" s="636" t="s">
        <v>1345</v>
      </c>
      <c r="G86" s="638" t="s">
        <v>1143</v>
      </c>
      <c r="H86" s="639">
        <v>43819</v>
      </c>
      <c r="I86" s="639">
        <v>43829</v>
      </c>
      <c r="J86" s="640"/>
      <c r="K86" s="342"/>
      <c r="L86" s="342"/>
      <c r="M86" s="342"/>
      <c r="N86" s="342"/>
      <c r="O86" s="342"/>
      <c r="P86" s="342"/>
      <c r="Q86" s="342"/>
      <c r="R86" s="342"/>
      <c r="S86" s="342"/>
      <c r="T86" s="342"/>
      <c r="U86" s="342"/>
      <c r="V86" s="342"/>
      <c r="W86" s="342"/>
      <c r="X86" s="342"/>
    </row>
    <row r="87" spans="1:24" ht="12" customHeight="1" x14ac:dyDescent="0.2">
      <c r="A87" s="634" t="s">
        <v>1346</v>
      </c>
      <c r="B87" s="635" t="s">
        <v>884</v>
      </c>
      <c r="C87" s="635" t="s">
        <v>766</v>
      </c>
      <c r="D87" s="636" t="s">
        <v>1347</v>
      </c>
      <c r="E87" s="637">
        <v>80691.48</v>
      </c>
      <c r="F87" s="636" t="s">
        <v>1348</v>
      </c>
      <c r="G87" s="638" t="s">
        <v>1143</v>
      </c>
      <c r="H87" s="639">
        <v>43825</v>
      </c>
      <c r="I87" s="639">
        <v>43840</v>
      </c>
      <c r="J87" s="640"/>
      <c r="K87" s="342"/>
      <c r="L87" s="342"/>
      <c r="M87" s="342"/>
      <c r="N87" s="342"/>
      <c r="O87" s="342"/>
      <c r="P87" s="342"/>
      <c r="Q87" s="342"/>
      <c r="R87" s="342"/>
      <c r="S87" s="342"/>
      <c r="T87" s="342"/>
      <c r="U87" s="342"/>
      <c r="V87" s="342"/>
      <c r="W87" s="342"/>
      <c r="X87" s="342"/>
    </row>
    <row r="88" spans="1:24" ht="12" customHeight="1" x14ac:dyDescent="0.2">
      <c r="A88" s="634" t="s">
        <v>1349</v>
      </c>
      <c r="B88" s="635" t="s">
        <v>830</v>
      </c>
      <c r="C88" s="635" t="s">
        <v>766</v>
      </c>
      <c r="D88" s="636" t="s">
        <v>1350</v>
      </c>
      <c r="E88" s="637">
        <v>79070.600000000006</v>
      </c>
      <c r="F88" s="636" t="s">
        <v>1348</v>
      </c>
      <c r="G88" s="638" t="s">
        <v>1143</v>
      </c>
      <c r="H88" s="639">
        <v>43825</v>
      </c>
      <c r="I88" s="639">
        <v>43840</v>
      </c>
      <c r="J88" s="640"/>
      <c r="K88" s="342"/>
      <c r="L88" s="342"/>
      <c r="M88" s="342"/>
      <c r="N88" s="342"/>
      <c r="O88" s="342"/>
      <c r="P88" s="342"/>
      <c r="Q88" s="342"/>
      <c r="R88" s="342"/>
      <c r="S88" s="342"/>
      <c r="T88" s="342"/>
      <c r="U88" s="342"/>
      <c r="V88" s="342"/>
      <c r="W88" s="342"/>
      <c r="X88" s="342"/>
    </row>
    <row r="89" spans="1:24" ht="12" customHeight="1" x14ac:dyDescent="0.2">
      <c r="A89" s="634" t="s">
        <v>1351</v>
      </c>
      <c r="B89" s="635" t="s">
        <v>945</v>
      </c>
      <c r="C89" s="635" t="s">
        <v>766</v>
      </c>
      <c r="D89" s="636" t="s">
        <v>964</v>
      </c>
      <c r="E89" s="637">
        <v>720000</v>
      </c>
      <c r="F89" s="636" t="s">
        <v>1352</v>
      </c>
      <c r="G89" s="638" t="s">
        <v>1132</v>
      </c>
      <c r="H89" s="639">
        <v>43832</v>
      </c>
      <c r="I89" s="639">
        <v>44084</v>
      </c>
      <c r="J89" s="640"/>
      <c r="K89" s="342"/>
      <c r="L89" s="342"/>
      <c r="M89" s="342"/>
      <c r="N89" s="342"/>
      <c r="O89" s="342"/>
      <c r="P89" s="342"/>
      <c r="Q89" s="342"/>
      <c r="R89" s="342"/>
      <c r="S89" s="342"/>
      <c r="T89" s="342"/>
      <c r="U89" s="342"/>
      <c r="V89" s="342"/>
      <c r="W89" s="342"/>
      <c r="X89" s="342"/>
    </row>
    <row r="90" spans="1:24" ht="12" customHeight="1" x14ac:dyDescent="0.2">
      <c r="A90" s="634" t="s">
        <v>1136</v>
      </c>
      <c r="B90" s="635" t="s">
        <v>1137</v>
      </c>
      <c r="C90" s="635" t="s">
        <v>766</v>
      </c>
      <c r="D90" s="636" t="s">
        <v>1353</v>
      </c>
      <c r="E90" s="637">
        <v>150000</v>
      </c>
      <c r="F90" s="636" t="s">
        <v>1354</v>
      </c>
      <c r="G90" s="638" t="s">
        <v>1143</v>
      </c>
      <c r="H90" s="639">
        <v>43843</v>
      </c>
      <c r="I90" s="639">
        <v>44196</v>
      </c>
      <c r="J90" s="640"/>
      <c r="K90" s="342"/>
      <c r="L90" s="342"/>
      <c r="M90" s="342"/>
      <c r="N90" s="342"/>
      <c r="O90" s="342"/>
      <c r="P90" s="342"/>
      <c r="Q90" s="342"/>
      <c r="R90" s="342"/>
      <c r="S90" s="342"/>
      <c r="T90" s="342"/>
      <c r="U90" s="342"/>
      <c r="V90" s="342"/>
      <c r="W90" s="342"/>
      <c r="X90" s="342"/>
    </row>
    <row r="91" spans="1:24" ht="12" customHeight="1" x14ac:dyDescent="0.2">
      <c r="A91" s="634" t="s">
        <v>1355</v>
      </c>
      <c r="B91" s="635" t="s">
        <v>830</v>
      </c>
      <c r="C91" s="635" t="s">
        <v>766</v>
      </c>
      <c r="D91" s="636" t="s">
        <v>949</v>
      </c>
      <c r="E91" s="637">
        <v>358845.56</v>
      </c>
      <c r="F91" s="636" t="s">
        <v>1320</v>
      </c>
      <c r="G91" s="638" t="s">
        <v>1132</v>
      </c>
      <c r="H91" s="639">
        <v>43846</v>
      </c>
      <c r="I91" s="639">
        <v>44026</v>
      </c>
      <c r="J91" s="640"/>
      <c r="K91" s="342"/>
      <c r="L91" s="342"/>
      <c r="M91" s="342"/>
      <c r="N91" s="342"/>
      <c r="O91" s="342"/>
      <c r="P91" s="342"/>
      <c r="Q91" s="342"/>
      <c r="R91" s="342"/>
      <c r="S91" s="342"/>
      <c r="T91" s="342"/>
      <c r="U91" s="342"/>
      <c r="V91" s="342"/>
      <c r="W91" s="342"/>
      <c r="X91" s="342"/>
    </row>
    <row r="92" spans="1:24" ht="12" customHeight="1" x14ac:dyDescent="0.2">
      <c r="A92" s="634" t="s">
        <v>1356</v>
      </c>
      <c r="B92" s="635" t="s">
        <v>884</v>
      </c>
      <c r="C92" s="647" t="s">
        <v>1357</v>
      </c>
      <c r="D92" s="641" t="s">
        <v>1358</v>
      </c>
      <c r="E92" s="637">
        <v>161200</v>
      </c>
      <c r="F92" s="636" t="s">
        <v>1359</v>
      </c>
      <c r="G92" s="638" t="s">
        <v>1132</v>
      </c>
      <c r="H92" s="639">
        <v>43851</v>
      </c>
      <c r="I92" s="639">
        <v>44216</v>
      </c>
      <c r="J92" s="640"/>
      <c r="K92" s="342"/>
      <c r="L92" s="342"/>
      <c r="M92" s="342"/>
      <c r="N92" s="342"/>
      <c r="O92" s="342"/>
      <c r="P92" s="342"/>
      <c r="Q92" s="342"/>
      <c r="R92" s="342"/>
      <c r="S92" s="342"/>
      <c r="T92" s="342"/>
      <c r="U92" s="342"/>
      <c r="V92" s="342"/>
      <c r="W92" s="342"/>
      <c r="X92" s="342"/>
    </row>
    <row r="93" spans="1:24" ht="12" customHeight="1" x14ac:dyDescent="0.2">
      <c r="A93" s="634" t="s">
        <v>1360</v>
      </c>
      <c r="B93" s="635" t="s">
        <v>830</v>
      </c>
      <c r="C93" s="635" t="s">
        <v>766</v>
      </c>
      <c r="D93" s="636" t="s">
        <v>1361</v>
      </c>
      <c r="E93" s="637">
        <v>132000</v>
      </c>
      <c r="F93" s="636" t="s">
        <v>1362</v>
      </c>
      <c r="G93" s="638" t="s">
        <v>1143</v>
      </c>
      <c r="H93" s="639">
        <v>43852</v>
      </c>
      <c r="I93" s="639">
        <v>43906</v>
      </c>
      <c r="J93" s="640"/>
      <c r="K93" s="342"/>
      <c r="L93" s="342"/>
      <c r="M93" s="342"/>
      <c r="N93" s="342"/>
      <c r="O93" s="342"/>
      <c r="P93" s="342"/>
      <c r="Q93" s="342"/>
      <c r="R93" s="342"/>
      <c r="S93" s="342"/>
      <c r="T93" s="342"/>
      <c r="U93" s="342"/>
      <c r="V93" s="342"/>
      <c r="W93" s="342"/>
      <c r="X93" s="342"/>
    </row>
    <row r="94" spans="1:24" ht="12" customHeight="1" x14ac:dyDescent="0.2">
      <c r="A94" s="634" t="s">
        <v>1363</v>
      </c>
      <c r="B94" s="635" t="s">
        <v>945</v>
      </c>
      <c r="C94" s="635" t="s">
        <v>766</v>
      </c>
      <c r="D94" s="636" t="s">
        <v>1364</v>
      </c>
      <c r="E94" s="637">
        <v>946941</v>
      </c>
      <c r="F94" s="636" t="s">
        <v>1365</v>
      </c>
      <c r="G94" s="638" t="s">
        <v>1143</v>
      </c>
      <c r="H94" s="639">
        <v>43868</v>
      </c>
      <c r="I94" s="639">
        <v>44598</v>
      </c>
      <c r="J94" s="640"/>
      <c r="K94" s="342"/>
      <c r="L94" s="342"/>
      <c r="M94" s="342"/>
      <c r="N94" s="342"/>
      <c r="O94" s="342"/>
      <c r="P94" s="342"/>
      <c r="Q94" s="342"/>
      <c r="R94" s="342"/>
      <c r="S94" s="342"/>
      <c r="T94" s="342"/>
      <c r="U94" s="342"/>
      <c r="V94" s="342"/>
      <c r="W94" s="342"/>
      <c r="X94" s="342"/>
    </row>
    <row r="95" spans="1:24" ht="12" customHeight="1" x14ac:dyDescent="0.2">
      <c r="A95" s="634" t="s">
        <v>1366</v>
      </c>
      <c r="B95" s="635" t="s">
        <v>945</v>
      </c>
      <c r="C95" s="635" t="s">
        <v>766</v>
      </c>
      <c r="D95" s="636" t="s">
        <v>1306</v>
      </c>
      <c r="E95" s="637">
        <v>560736</v>
      </c>
      <c r="F95" s="636" t="s">
        <v>1367</v>
      </c>
      <c r="G95" s="638" t="s">
        <v>1132</v>
      </c>
      <c r="H95" s="639">
        <v>43872</v>
      </c>
      <c r="I95" s="639">
        <v>44969</v>
      </c>
      <c r="J95" s="640"/>
      <c r="K95" s="342"/>
      <c r="L95" s="342"/>
      <c r="M95" s="342"/>
      <c r="N95" s="342"/>
      <c r="O95" s="342"/>
      <c r="P95" s="342"/>
      <c r="Q95" s="342"/>
      <c r="R95" s="342"/>
      <c r="S95" s="342"/>
      <c r="T95" s="342"/>
      <c r="U95" s="342"/>
      <c r="V95" s="342"/>
      <c r="W95" s="342"/>
      <c r="X95" s="342"/>
    </row>
    <row r="96" spans="1:24" ht="12" customHeight="1" x14ac:dyDescent="0.2">
      <c r="A96" s="634" t="s">
        <v>1368</v>
      </c>
      <c r="B96" s="635" t="s">
        <v>830</v>
      </c>
      <c r="C96" s="635" t="s">
        <v>766</v>
      </c>
      <c r="D96" s="641" t="s">
        <v>1369</v>
      </c>
      <c r="E96" s="637">
        <v>282000</v>
      </c>
      <c r="F96" s="636" t="s">
        <v>1370</v>
      </c>
      <c r="G96" s="638" t="s">
        <v>1132</v>
      </c>
      <c r="H96" s="639">
        <v>43878</v>
      </c>
      <c r="I96" s="639">
        <v>44598</v>
      </c>
      <c r="J96" s="640"/>
      <c r="K96" s="342"/>
      <c r="L96" s="342"/>
      <c r="M96" s="342"/>
      <c r="N96" s="342"/>
      <c r="O96" s="342"/>
      <c r="P96" s="342"/>
      <c r="Q96" s="342"/>
      <c r="R96" s="342"/>
      <c r="S96" s="342"/>
      <c r="T96" s="342"/>
      <c r="U96" s="342"/>
      <c r="V96" s="342"/>
      <c r="W96" s="342"/>
      <c r="X96" s="342"/>
    </row>
    <row r="97" spans="1:24" ht="12" customHeight="1" x14ac:dyDescent="0.2">
      <c r="A97" s="648" t="s">
        <v>1371</v>
      </c>
      <c r="B97" s="635" t="s">
        <v>1129</v>
      </c>
      <c r="C97" s="635" t="s">
        <v>766</v>
      </c>
      <c r="D97" s="636" t="s">
        <v>1372</v>
      </c>
      <c r="E97" s="637">
        <v>277607.13</v>
      </c>
      <c r="F97" s="636" t="s">
        <v>1373</v>
      </c>
      <c r="G97" s="638" t="s">
        <v>1143</v>
      </c>
      <c r="H97" s="639">
        <v>43879</v>
      </c>
      <c r="I97" s="639">
        <v>43939</v>
      </c>
      <c r="J97" s="640"/>
      <c r="K97" s="342"/>
      <c r="L97" s="342"/>
      <c r="M97" s="342"/>
      <c r="N97" s="342"/>
      <c r="O97" s="342"/>
      <c r="P97" s="342"/>
      <c r="Q97" s="342"/>
      <c r="R97" s="342"/>
      <c r="S97" s="342"/>
      <c r="T97" s="342"/>
      <c r="U97" s="342"/>
      <c r="V97" s="342"/>
      <c r="W97" s="342"/>
      <c r="X97" s="342"/>
    </row>
    <row r="98" spans="1:24" ht="12" customHeight="1" x14ac:dyDescent="0.2">
      <c r="A98" s="634" t="s">
        <v>1374</v>
      </c>
      <c r="B98" s="635" t="s">
        <v>945</v>
      </c>
      <c r="C98" s="635" t="s">
        <v>766</v>
      </c>
      <c r="D98" s="636" t="s">
        <v>1375</v>
      </c>
      <c r="E98" s="637">
        <v>714880.32</v>
      </c>
      <c r="F98" s="636" t="s">
        <v>1376</v>
      </c>
      <c r="G98" s="638" t="s">
        <v>1143</v>
      </c>
      <c r="H98" s="639">
        <v>43879</v>
      </c>
      <c r="I98" s="639">
        <v>44609</v>
      </c>
      <c r="J98" s="640"/>
      <c r="K98" s="342"/>
      <c r="L98" s="342"/>
      <c r="M98" s="342"/>
      <c r="N98" s="342"/>
      <c r="O98" s="342"/>
      <c r="P98" s="342"/>
      <c r="Q98" s="342"/>
      <c r="R98" s="342"/>
      <c r="S98" s="342"/>
      <c r="T98" s="342"/>
      <c r="U98" s="342"/>
      <c r="V98" s="342"/>
      <c r="W98" s="342"/>
      <c r="X98" s="342"/>
    </row>
    <row r="99" spans="1:24" ht="12" customHeight="1" x14ac:dyDescent="0.2">
      <c r="A99" s="634" t="s">
        <v>1377</v>
      </c>
      <c r="B99" s="635" t="s">
        <v>884</v>
      </c>
      <c r="C99" s="635" t="s">
        <v>766</v>
      </c>
      <c r="D99" s="636" t="s">
        <v>1378</v>
      </c>
      <c r="E99" s="637">
        <v>98150</v>
      </c>
      <c r="F99" s="636" t="s">
        <v>1379</v>
      </c>
      <c r="G99" s="638" t="s">
        <v>1143</v>
      </c>
      <c r="H99" s="639">
        <v>43882</v>
      </c>
      <c r="I99" s="639">
        <v>43927</v>
      </c>
      <c r="J99" s="640"/>
      <c r="K99" s="342"/>
      <c r="L99" s="342"/>
      <c r="M99" s="342"/>
      <c r="N99" s="342"/>
      <c r="O99" s="342"/>
      <c r="P99" s="342"/>
      <c r="Q99" s="342"/>
      <c r="R99" s="342"/>
      <c r="S99" s="342"/>
      <c r="T99" s="342"/>
      <c r="U99" s="342"/>
      <c r="V99" s="342"/>
      <c r="W99" s="342"/>
      <c r="X99" s="342"/>
    </row>
    <row r="100" spans="1:24" ht="12" customHeight="1" x14ac:dyDescent="0.2">
      <c r="A100" s="634" t="s">
        <v>1380</v>
      </c>
      <c r="B100" s="635" t="s">
        <v>830</v>
      </c>
      <c r="C100" s="635" t="s">
        <v>766</v>
      </c>
      <c r="D100" s="636" t="s">
        <v>1381</v>
      </c>
      <c r="E100" s="637">
        <v>336088</v>
      </c>
      <c r="F100" s="636" t="s">
        <v>1382</v>
      </c>
      <c r="G100" s="638" t="s">
        <v>1143</v>
      </c>
      <c r="H100" s="639">
        <v>43882</v>
      </c>
      <c r="I100" s="639">
        <v>43902</v>
      </c>
      <c r="J100" s="640"/>
      <c r="K100" s="342"/>
      <c r="L100" s="342"/>
      <c r="M100" s="342"/>
      <c r="N100" s="342"/>
      <c r="O100" s="342"/>
      <c r="P100" s="342"/>
      <c r="Q100" s="342"/>
      <c r="R100" s="342"/>
      <c r="S100" s="342"/>
      <c r="T100" s="342"/>
      <c r="U100" s="342"/>
      <c r="V100" s="342"/>
      <c r="W100" s="342"/>
      <c r="X100" s="342"/>
    </row>
    <row r="101" spans="1:24" ht="12" customHeight="1" x14ac:dyDescent="0.2">
      <c r="A101" s="634" t="s">
        <v>1383</v>
      </c>
      <c r="B101" s="635" t="s">
        <v>830</v>
      </c>
      <c r="C101" s="635" t="s">
        <v>766</v>
      </c>
      <c r="D101" s="636" t="s">
        <v>1384</v>
      </c>
      <c r="E101" s="637">
        <v>1161378</v>
      </c>
      <c r="F101" s="636" t="s">
        <v>1385</v>
      </c>
      <c r="G101" s="638" t="s">
        <v>1132</v>
      </c>
      <c r="H101" s="639">
        <v>43885</v>
      </c>
      <c r="I101" s="639">
        <v>44985</v>
      </c>
      <c r="J101" s="640"/>
      <c r="K101" s="342"/>
      <c r="L101" s="342"/>
      <c r="M101" s="342"/>
      <c r="N101" s="342"/>
      <c r="O101" s="342"/>
      <c r="P101" s="342"/>
      <c r="Q101" s="342"/>
      <c r="R101" s="342"/>
      <c r="S101" s="342"/>
      <c r="T101" s="342"/>
      <c r="U101" s="342"/>
      <c r="V101" s="342"/>
      <c r="W101" s="342"/>
      <c r="X101" s="342"/>
    </row>
    <row r="102" spans="1:24" ht="12" customHeight="1" x14ac:dyDescent="0.2">
      <c r="A102" s="634" t="s">
        <v>1386</v>
      </c>
      <c r="B102" s="635" t="s">
        <v>765</v>
      </c>
      <c r="C102" s="635" t="s">
        <v>766</v>
      </c>
      <c r="D102" s="636" t="s">
        <v>949</v>
      </c>
      <c r="E102" s="637">
        <v>2663247.04</v>
      </c>
      <c r="F102" s="636" t="s">
        <v>1387</v>
      </c>
      <c r="G102" s="638" t="s">
        <v>1132</v>
      </c>
      <c r="H102" s="639">
        <v>43888</v>
      </c>
      <c r="I102" s="639">
        <v>43613</v>
      </c>
      <c r="J102" s="640"/>
      <c r="K102" s="342"/>
      <c r="L102" s="342"/>
      <c r="M102" s="342"/>
      <c r="N102" s="342"/>
      <c r="O102" s="342"/>
      <c r="P102" s="342"/>
      <c r="Q102" s="342"/>
      <c r="R102" s="342"/>
      <c r="S102" s="342"/>
      <c r="T102" s="342"/>
      <c r="U102" s="342"/>
      <c r="V102" s="342"/>
      <c r="W102" s="342"/>
      <c r="X102" s="342"/>
    </row>
    <row r="103" spans="1:24" ht="12" customHeight="1" x14ac:dyDescent="0.2">
      <c r="A103" s="634" t="s">
        <v>1388</v>
      </c>
      <c r="B103" s="635" t="s">
        <v>945</v>
      </c>
      <c r="C103" s="635" t="s">
        <v>766</v>
      </c>
      <c r="D103" s="636" t="s">
        <v>1113</v>
      </c>
      <c r="E103" s="637">
        <v>1007777.7</v>
      </c>
      <c r="F103" s="636" t="s">
        <v>1389</v>
      </c>
      <c r="G103" s="638" t="s">
        <v>1143</v>
      </c>
      <c r="H103" s="639">
        <v>43889</v>
      </c>
      <c r="I103" s="639">
        <v>44619</v>
      </c>
      <c r="J103" s="640"/>
      <c r="K103" s="342"/>
      <c r="L103" s="342"/>
      <c r="M103" s="342"/>
      <c r="N103" s="342"/>
      <c r="O103" s="342"/>
      <c r="P103" s="342"/>
      <c r="Q103" s="342"/>
      <c r="R103" s="342"/>
      <c r="S103" s="342"/>
      <c r="T103" s="342"/>
      <c r="U103" s="342"/>
      <c r="V103" s="342"/>
      <c r="W103" s="342"/>
      <c r="X103" s="342"/>
    </row>
    <row r="104" spans="1:24" ht="12" customHeight="1" x14ac:dyDescent="0.2">
      <c r="A104" s="634" t="s">
        <v>1390</v>
      </c>
      <c r="B104" s="635" t="s">
        <v>830</v>
      </c>
      <c r="C104" s="635" t="s">
        <v>766</v>
      </c>
      <c r="D104" s="636" t="s">
        <v>1391</v>
      </c>
      <c r="E104" s="637">
        <v>238300</v>
      </c>
      <c r="F104" s="636" t="s">
        <v>1392</v>
      </c>
      <c r="G104" s="638" t="s">
        <v>1143</v>
      </c>
      <c r="H104" s="639">
        <v>43893</v>
      </c>
      <c r="I104" s="639">
        <v>44053</v>
      </c>
      <c r="J104" s="640"/>
      <c r="K104" s="342"/>
      <c r="L104" s="342"/>
      <c r="M104" s="342"/>
      <c r="N104" s="342"/>
      <c r="O104" s="342"/>
      <c r="P104" s="342"/>
      <c r="Q104" s="342"/>
      <c r="R104" s="342"/>
      <c r="S104" s="342"/>
      <c r="T104" s="342"/>
      <c r="U104" s="342"/>
      <c r="V104" s="342"/>
      <c r="W104" s="342"/>
      <c r="X104" s="342"/>
    </row>
    <row r="105" spans="1:24" ht="12" customHeight="1" x14ac:dyDescent="0.2">
      <c r="A105" s="634" t="s">
        <v>1393</v>
      </c>
      <c r="B105" s="635" t="s">
        <v>830</v>
      </c>
      <c r="C105" s="635" t="s">
        <v>766</v>
      </c>
      <c r="D105" s="636" t="s">
        <v>1394</v>
      </c>
      <c r="E105" s="637">
        <v>281412.59000000003</v>
      </c>
      <c r="F105" s="636" t="s">
        <v>1395</v>
      </c>
      <c r="G105" s="638" t="s">
        <v>1132</v>
      </c>
      <c r="H105" s="639">
        <v>43895</v>
      </c>
      <c r="I105" s="639">
        <v>44259</v>
      </c>
      <c r="J105" s="640"/>
      <c r="K105" s="342"/>
      <c r="L105" s="342"/>
      <c r="M105" s="342"/>
      <c r="N105" s="342"/>
      <c r="O105" s="342"/>
      <c r="P105" s="342"/>
      <c r="Q105" s="342"/>
      <c r="R105" s="342"/>
      <c r="S105" s="342"/>
      <c r="T105" s="342"/>
      <c r="U105" s="342"/>
      <c r="V105" s="342"/>
      <c r="W105" s="342"/>
      <c r="X105" s="342"/>
    </row>
    <row r="106" spans="1:24" ht="12" customHeight="1" x14ac:dyDescent="0.2">
      <c r="A106" s="634" t="s">
        <v>1396</v>
      </c>
      <c r="B106" s="635" t="s">
        <v>884</v>
      </c>
      <c r="C106" s="635" t="s">
        <v>766</v>
      </c>
      <c r="D106" s="636" t="s">
        <v>1397</v>
      </c>
      <c r="E106" s="637">
        <v>41520.69</v>
      </c>
      <c r="F106" s="646" t="s">
        <v>1398</v>
      </c>
      <c r="G106" s="638" t="s">
        <v>1143</v>
      </c>
      <c r="H106" s="639">
        <v>43899</v>
      </c>
      <c r="I106" s="639">
        <v>43929</v>
      </c>
      <c r="J106" s="640"/>
      <c r="K106" s="342"/>
      <c r="L106" s="342"/>
      <c r="M106" s="342"/>
      <c r="N106" s="342"/>
      <c r="O106" s="342"/>
      <c r="P106" s="342"/>
      <c r="Q106" s="342"/>
      <c r="R106" s="342"/>
      <c r="S106" s="342"/>
      <c r="T106" s="342"/>
      <c r="U106" s="342"/>
      <c r="V106" s="342"/>
      <c r="W106" s="342"/>
      <c r="X106" s="342"/>
    </row>
    <row r="107" spans="1:24" ht="12" customHeight="1" x14ac:dyDescent="0.2">
      <c r="A107" s="634" t="s">
        <v>1399</v>
      </c>
      <c r="B107" s="635" t="s">
        <v>884</v>
      </c>
      <c r="C107" s="635" t="s">
        <v>766</v>
      </c>
      <c r="D107" s="636" t="s">
        <v>1400</v>
      </c>
      <c r="E107" s="637">
        <v>46390.400000000001</v>
      </c>
      <c r="F107" s="636" t="s">
        <v>1401</v>
      </c>
      <c r="G107" s="638" t="s">
        <v>1143</v>
      </c>
      <c r="H107" s="639">
        <v>43899</v>
      </c>
      <c r="I107" s="639">
        <v>43929</v>
      </c>
      <c r="J107" s="640"/>
      <c r="K107" s="342"/>
      <c r="L107" s="342"/>
      <c r="M107" s="342"/>
      <c r="N107" s="342"/>
      <c r="O107" s="342"/>
      <c r="P107" s="342"/>
      <c r="Q107" s="342"/>
      <c r="R107" s="342"/>
      <c r="S107" s="342"/>
      <c r="T107" s="342"/>
      <c r="U107" s="342"/>
      <c r="V107" s="342"/>
      <c r="W107" s="342"/>
      <c r="X107" s="342"/>
    </row>
    <row r="108" spans="1:24" ht="12" customHeight="1" x14ac:dyDescent="0.2">
      <c r="A108" s="634" t="s">
        <v>1402</v>
      </c>
      <c r="B108" s="635" t="s">
        <v>830</v>
      </c>
      <c r="C108" s="635" t="s">
        <v>766</v>
      </c>
      <c r="D108" s="636" t="s">
        <v>1109</v>
      </c>
      <c r="E108" s="637">
        <v>70200</v>
      </c>
      <c r="F108" s="636" t="s">
        <v>1403</v>
      </c>
      <c r="G108" s="638" t="s">
        <v>1143</v>
      </c>
      <c r="H108" s="639">
        <v>43900</v>
      </c>
      <c r="I108" s="639">
        <v>44265</v>
      </c>
      <c r="J108" s="640"/>
      <c r="K108" s="342"/>
      <c r="L108" s="342"/>
      <c r="M108" s="342"/>
      <c r="N108" s="342"/>
      <c r="O108" s="342"/>
      <c r="P108" s="342"/>
      <c r="Q108" s="342"/>
      <c r="R108" s="342"/>
      <c r="S108" s="342"/>
      <c r="T108" s="342"/>
      <c r="U108" s="342"/>
      <c r="V108" s="342"/>
      <c r="W108" s="342"/>
      <c r="X108" s="342"/>
    </row>
    <row r="109" spans="1:24" ht="12" customHeight="1" x14ac:dyDescent="0.2">
      <c r="A109" s="634" t="s">
        <v>1404</v>
      </c>
      <c r="B109" s="635" t="s">
        <v>1405</v>
      </c>
      <c r="C109" s="635" t="s">
        <v>766</v>
      </c>
      <c r="D109" s="636"/>
      <c r="E109" s="637">
        <v>6964.45</v>
      </c>
      <c r="F109" s="636" t="s">
        <v>1406</v>
      </c>
      <c r="G109" s="638" t="s">
        <v>1143</v>
      </c>
      <c r="H109" s="639">
        <v>43921</v>
      </c>
      <c r="I109" s="639">
        <v>44286</v>
      </c>
      <c r="J109" s="640"/>
      <c r="K109" s="342"/>
      <c r="L109" s="342"/>
      <c r="M109" s="342"/>
      <c r="N109" s="342"/>
      <c r="O109" s="342"/>
      <c r="P109" s="342"/>
      <c r="Q109" s="342"/>
      <c r="R109" s="342"/>
      <c r="S109" s="342"/>
      <c r="T109" s="342"/>
      <c r="U109" s="342"/>
      <c r="V109" s="342"/>
      <c r="W109" s="342"/>
      <c r="X109" s="342"/>
    </row>
    <row r="110" spans="1:24" ht="12" customHeight="1" x14ac:dyDescent="0.2">
      <c r="A110" s="634" t="s">
        <v>1407</v>
      </c>
      <c r="B110" s="635" t="s">
        <v>884</v>
      </c>
      <c r="C110" s="635" t="s">
        <v>766</v>
      </c>
      <c r="D110" s="636" t="s">
        <v>1408</v>
      </c>
      <c r="E110" s="637">
        <v>54000</v>
      </c>
      <c r="F110" s="636" t="s">
        <v>1409</v>
      </c>
      <c r="G110" s="638" t="s">
        <v>1143</v>
      </c>
      <c r="H110" s="639">
        <v>43949</v>
      </c>
      <c r="I110" s="639">
        <v>43983</v>
      </c>
      <c r="J110" s="640"/>
      <c r="K110" s="342"/>
      <c r="L110" s="342"/>
      <c r="M110" s="342"/>
      <c r="N110" s="342"/>
      <c r="O110" s="342"/>
      <c r="P110" s="342"/>
      <c r="Q110" s="342"/>
      <c r="R110" s="342"/>
      <c r="S110" s="342"/>
      <c r="T110" s="342"/>
      <c r="U110" s="342"/>
      <c r="V110" s="342"/>
      <c r="W110" s="342"/>
      <c r="X110" s="342"/>
    </row>
    <row r="111" spans="1:24" ht="12" customHeight="1" x14ac:dyDescent="0.2">
      <c r="A111" s="634" t="s">
        <v>1410</v>
      </c>
      <c r="B111" s="635" t="s">
        <v>945</v>
      </c>
      <c r="C111" s="635" t="s">
        <v>766</v>
      </c>
      <c r="D111" s="636" t="s">
        <v>1411</v>
      </c>
      <c r="E111" s="637">
        <v>4653789.84</v>
      </c>
      <c r="F111" s="636" t="s">
        <v>1412</v>
      </c>
      <c r="G111" s="638" t="s">
        <v>1413</v>
      </c>
      <c r="H111" s="639">
        <v>43950</v>
      </c>
      <c r="I111" s="639">
        <v>45046</v>
      </c>
      <c r="J111" s="640"/>
      <c r="K111" s="342"/>
      <c r="L111" s="342"/>
      <c r="M111" s="342"/>
      <c r="N111" s="342"/>
      <c r="O111" s="342"/>
      <c r="P111" s="342"/>
      <c r="Q111" s="342"/>
      <c r="R111" s="342"/>
      <c r="S111" s="342"/>
      <c r="T111" s="342"/>
      <c r="U111" s="342"/>
      <c r="V111" s="342"/>
      <c r="W111" s="342"/>
      <c r="X111" s="342"/>
    </row>
    <row r="112" spans="1:24" ht="12" customHeight="1" x14ac:dyDescent="0.2">
      <c r="A112" s="634" t="s">
        <v>1414</v>
      </c>
      <c r="B112" s="635" t="s">
        <v>945</v>
      </c>
      <c r="C112" s="635" t="s">
        <v>766</v>
      </c>
      <c r="D112" s="636" t="s">
        <v>1415</v>
      </c>
      <c r="E112" s="649">
        <v>263562.65999999997</v>
      </c>
      <c r="F112" s="636" t="s">
        <v>1416</v>
      </c>
      <c r="G112" s="638" t="s">
        <v>1413</v>
      </c>
      <c r="H112" s="639">
        <v>43956</v>
      </c>
      <c r="I112" s="639">
        <v>44321</v>
      </c>
      <c r="J112" s="640"/>
      <c r="K112" s="342"/>
      <c r="L112" s="342"/>
      <c r="M112" s="342"/>
      <c r="N112" s="342"/>
      <c r="O112" s="342"/>
      <c r="P112" s="342"/>
      <c r="Q112" s="342"/>
      <c r="R112" s="342"/>
      <c r="S112" s="342"/>
      <c r="T112" s="342"/>
      <c r="U112" s="342"/>
      <c r="V112" s="342"/>
      <c r="W112" s="342"/>
      <c r="X112" s="342"/>
    </row>
    <row r="113" spans="1:24" ht="12" customHeight="1" x14ac:dyDescent="0.2">
      <c r="A113" s="634" t="s">
        <v>1417</v>
      </c>
      <c r="B113" s="635" t="s">
        <v>884</v>
      </c>
      <c r="C113" s="635" t="s">
        <v>766</v>
      </c>
      <c r="D113" s="636" t="s">
        <v>1418</v>
      </c>
      <c r="E113" s="637">
        <v>71390</v>
      </c>
      <c r="F113" s="636" t="s">
        <v>1419</v>
      </c>
      <c r="G113" s="638" t="s">
        <v>1143</v>
      </c>
      <c r="H113" s="639">
        <v>43964</v>
      </c>
      <c r="I113" s="639">
        <v>43971</v>
      </c>
      <c r="J113" s="640"/>
      <c r="K113" s="342"/>
      <c r="L113" s="342"/>
      <c r="M113" s="342"/>
      <c r="N113" s="342"/>
      <c r="O113" s="342"/>
      <c r="P113" s="342"/>
      <c r="Q113" s="342"/>
      <c r="R113" s="342"/>
      <c r="S113" s="342"/>
      <c r="T113" s="342"/>
      <c r="U113" s="342"/>
      <c r="V113" s="342"/>
      <c r="W113" s="342"/>
      <c r="X113" s="342"/>
    </row>
    <row r="114" spans="1:24" ht="12" customHeight="1" x14ac:dyDescent="0.2">
      <c r="A114" s="634" t="s">
        <v>1420</v>
      </c>
      <c r="B114" s="635" t="s">
        <v>884</v>
      </c>
      <c r="C114" s="635" t="s">
        <v>766</v>
      </c>
      <c r="D114" s="636" t="s">
        <v>1421</v>
      </c>
      <c r="E114" s="637">
        <v>90709.89</v>
      </c>
      <c r="F114" s="636" t="s">
        <v>1422</v>
      </c>
      <c r="G114" s="638" t="s">
        <v>1143</v>
      </c>
      <c r="H114" s="639">
        <v>43965</v>
      </c>
      <c r="I114" s="639">
        <v>44025</v>
      </c>
      <c r="J114" s="640"/>
      <c r="K114" s="342"/>
      <c r="L114" s="342"/>
      <c r="M114" s="342"/>
      <c r="N114" s="342"/>
      <c r="O114" s="342"/>
      <c r="P114" s="342"/>
      <c r="Q114" s="342"/>
      <c r="R114" s="342"/>
      <c r="S114" s="342"/>
      <c r="T114" s="342"/>
      <c r="U114" s="342"/>
      <c r="V114" s="342"/>
      <c r="W114" s="342"/>
      <c r="X114" s="342"/>
    </row>
    <row r="115" spans="1:24" ht="12" customHeight="1" x14ac:dyDescent="0.2">
      <c r="A115" s="634" t="s">
        <v>1423</v>
      </c>
      <c r="B115" s="635" t="s">
        <v>884</v>
      </c>
      <c r="C115" s="635" t="s">
        <v>766</v>
      </c>
      <c r="D115" s="636" t="s">
        <v>1424</v>
      </c>
      <c r="E115" s="637">
        <v>552564.46</v>
      </c>
      <c r="F115" s="636" t="s">
        <v>1425</v>
      </c>
      <c r="G115" s="638" t="s">
        <v>1413</v>
      </c>
      <c r="H115" s="639">
        <v>43970</v>
      </c>
      <c r="I115" s="639">
        <v>44060</v>
      </c>
      <c r="J115" s="640"/>
      <c r="K115" s="342"/>
      <c r="L115" s="342"/>
      <c r="M115" s="342"/>
      <c r="N115" s="342"/>
      <c r="O115" s="342"/>
      <c r="P115" s="342"/>
      <c r="Q115" s="342"/>
      <c r="R115" s="342"/>
      <c r="S115" s="342"/>
      <c r="T115" s="342"/>
      <c r="U115" s="342"/>
      <c r="V115" s="342"/>
      <c r="W115" s="342"/>
      <c r="X115" s="342"/>
    </row>
    <row r="116" spans="1:24" ht="12" customHeight="1" x14ac:dyDescent="0.2">
      <c r="A116" s="634" t="s">
        <v>1426</v>
      </c>
      <c r="B116" s="635" t="s">
        <v>884</v>
      </c>
      <c r="C116" s="635" t="s">
        <v>766</v>
      </c>
      <c r="D116" s="636" t="s">
        <v>1427</v>
      </c>
      <c r="E116" s="637">
        <v>53750</v>
      </c>
      <c r="F116" s="636" t="s">
        <v>1428</v>
      </c>
      <c r="G116" s="638" t="s">
        <v>1143</v>
      </c>
      <c r="H116" s="639">
        <v>43970</v>
      </c>
      <c r="I116" s="639">
        <v>43977</v>
      </c>
      <c r="J116" s="640"/>
      <c r="K116" s="342"/>
      <c r="L116" s="342"/>
      <c r="M116" s="342"/>
      <c r="N116" s="342"/>
      <c r="O116" s="342"/>
      <c r="P116" s="342"/>
      <c r="Q116" s="342"/>
      <c r="R116" s="342"/>
      <c r="S116" s="342"/>
      <c r="T116" s="342"/>
      <c r="U116" s="342"/>
      <c r="V116" s="342"/>
      <c r="W116" s="342"/>
      <c r="X116" s="342"/>
    </row>
    <row r="117" spans="1:24" ht="12" customHeight="1" x14ac:dyDescent="0.2">
      <c r="A117" s="634" t="s">
        <v>1429</v>
      </c>
      <c r="B117" s="635" t="s">
        <v>884</v>
      </c>
      <c r="C117" s="635" t="s">
        <v>766</v>
      </c>
      <c r="D117" s="636" t="s">
        <v>1430</v>
      </c>
      <c r="E117" s="637">
        <v>54000</v>
      </c>
      <c r="F117" s="646" t="s">
        <v>1339</v>
      </c>
      <c r="G117" s="638" t="s">
        <v>1143</v>
      </c>
      <c r="H117" s="639">
        <v>43971</v>
      </c>
      <c r="I117" s="639">
        <v>43983</v>
      </c>
      <c r="J117" s="640"/>
      <c r="K117" s="342"/>
      <c r="L117" s="342"/>
      <c r="M117" s="342"/>
      <c r="N117" s="342"/>
      <c r="O117" s="342"/>
      <c r="P117" s="342"/>
      <c r="Q117" s="342"/>
      <c r="R117" s="342"/>
      <c r="S117" s="342"/>
      <c r="T117" s="342"/>
      <c r="U117" s="342"/>
      <c r="V117" s="342"/>
      <c r="W117" s="342"/>
      <c r="X117" s="342"/>
    </row>
    <row r="118" spans="1:24" ht="12" customHeight="1" x14ac:dyDescent="0.2">
      <c r="A118" s="634" t="s">
        <v>1431</v>
      </c>
      <c r="B118" s="635" t="s">
        <v>884</v>
      </c>
      <c r="C118" s="635" t="s">
        <v>766</v>
      </c>
      <c r="D118" s="636" t="s">
        <v>1432</v>
      </c>
      <c r="E118" s="637">
        <v>149924</v>
      </c>
      <c r="F118" s="636" t="s">
        <v>1433</v>
      </c>
      <c r="G118" s="638" t="s">
        <v>1143</v>
      </c>
      <c r="H118" s="639">
        <v>43971</v>
      </c>
      <c r="I118" s="639">
        <v>44036</v>
      </c>
      <c r="J118" s="640"/>
      <c r="K118" s="342"/>
      <c r="L118" s="342"/>
      <c r="M118" s="342"/>
      <c r="N118" s="342"/>
      <c r="O118" s="342"/>
      <c r="P118" s="342"/>
      <c r="Q118" s="342"/>
      <c r="R118" s="342"/>
      <c r="S118" s="342"/>
      <c r="T118" s="342"/>
      <c r="U118" s="342"/>
      <c r="V118" s="342"/>
      <c r="W118" s="342"/>
      <c r="X118" s="342"/>
    </row>
    <row r="119" spans="1:24" ht="12" customHeight="1" x14ac:dyDescent="0.2">
      <c r="A119" s="634" t="s">
        <v>1434</v>
      </c>
      <c r="B119" s="635" t="s">
        <v>884</v>
      </c>
      <c r="C119" s="635" t="s">
        <v>766</v>
      </c>
      <c r="D119" s="636" t="s">
        <v>1435</v>
      </c>
      <c r="E119" s="637">
        <v>56036.67</v>
      </c>
      <c r="F119" s="636" t="s">
        <v>1436</v>
      </c>
      <c r="G119" s="638" t="s">
        <v>1143</v>
      </c>
      <c r="H119" s="639">
        <v>43972</v>
      </c>
      <c r="I119" s="639">
        <v>44032</v>
      </c>
      <c r="J119" s="640"/>
      <c r="K119" s="342"/>
      <c r="L119" s="342"/>
      <c r="M119" s="342"/>
      <c r="N119" s="342"/>
      <c r="O119" s="342"/>
      <c r="P119" s="342"/>
      <c r="Q119" s="342"/>
      <c r="R119" s="342"/>
      <c r="S119" s="342"/>
      <c r="T119" s="342"/>
      <c r="U119" s="342"/>
      <c r="V119" s="342"/>
      <c r="W119" s="342"/>
      <c r="X119" s="342"/>
    </row>
    <row r="120" spans="1:24" ht="12" customHeight="1" x14ac:dyDescent="0.2">
      <c r="A120" s="634" t="s">
        <v>1437</v>
      </c>
      <c r="B120" s="635" t="s">
        <v>830</v>
      </c>
      <c r="C120" s="635" t="s">
        <v>766</v>
      </c>
      <c r="D120" s="636" t="s">
        <v>1438</v>
      </c>
      <c r="E120" s="637">
        <v>175200</v>
      </c>
      <c r="F120" s="636" t="s">
        <v>1439</v>
      </c>
      <c r="G120" s="638" t="s">
        <v>1132</v>
      </c>
      <c r="H120" s="639">
        <v>43983</v>
      </c>
      <c r="I120" s="639">
        <v>44713</v>
      </c>
      <c r="J120" s="645" t="s">
        <v>1440</v>
      </c>
      <c r="K120" s="342"/>
      <c r="L120" s="342"/>
      <c r="M120" s="342"/>
      <c r="N120" s="342"/>
      <c r="O120" s="342"/>
      <c r="P120" s="342"/>
      <c r="Q120" s="342"/>
      <c r="R120" s="342"/>
      <c r="S120" s="342"/>
      <c r="T120" s="342"/>
      <c r="U120" s="342"/>
      <c r="V120" s="342"/>
      <c r="W120" s="342"/>
      <c r="X120" s="342"/>
    </row>
    <row r="121" spans="1:24" ht="12" customHeight="1" x14ac:dyDescent="0.2">
      <c r="A121" s="634" t="s">
        <v>1441</v>
      </c>
      <c r="B121" s="635" t="s">
        <v>830</v>
      </c>
      <c r="C121" s="635" t="s">
        <v>766</v>
      </c>
      <c r="D121" s="636" t="s">
        <v>1438</v>
      </c>
      <c r="E121" s="637">
        <v>80604</v>
      </c>
      <c r="F121" s="636" t="s">
        <v>1442</v>
      </c>
      <c r="G121" s="638" t="s">
        <v>1132</v>
      </c>
      <c r="H121" s="639">
        <v>43983</v>
      </c>
      <c r="I121" s="639">
        <v>44713</v>
      </c>
      <c r="J121" s="645" t="s">
        <v>1440</v>
      </c>
      <c r="K121" s="342"/>
      <c r="L121" s="342"/>
      <c r="M121" s="342"/>
      <c r="N121" s="342"/>
      <c r="O121" s="342"/>
      <c r="P121" s="342"/>
      <c r="Q121" s="342"/>
      <c r="R121" s="342"/>
      <c r="S121" s="342"/>
      <c r="T121" s="342"/>
      <c r="U121" s="342"/>
      <c r="V121" s="342"/>
      <c r="W121" s="342"/>
      <c r="X121" s="342"/>
    </row>
    <row r="122" spans="1:24" ht="12" customHeight="1" x14ac:dyDescent="0.2">
      <c r="A122" s="634" t="s">
        <v>1443</v>
      </c>
      <c r="B122" s="635" t="s">
        <v>830</v>
      </c>
      <c r="C122" s="635" t="s">
        <v>766</v>
      </c>
      <c r="D122" s="636" t="s">
        <v>1438</v>
      </c>
      <c r="E122" s="637">
        <v>6870241.9699999997</v>
      </c>
      <c r="F122" s="636" t="s">
        <v>1444</v>
      </c>
      <c r="G122" s="638" t="s">
        <v>1132</v>
      </c>
      <c r="H122" s="639">
        <v>43984</v>
      </c>
      <c r="I122" s="639">
        <v>44714</v>
      </c>
      <c r="J122" s="645" t="s">
        <v>1440</v>
      </c>
      <c r="K122" s="342"/>
      <c r="L122" s="342"/>
      <c r="M122" s="342"/>
      <c r="N122" s="342"/>
      <c r="O122" s="342"/>
      <c r="P122" s="342"/>
      <c r="Q122" s="342"/>
      <c r="R122" s="342"/>
      <c r="S122" s="342"/>
      <c r="T122" s="342"/>
      <c r="U122" s="342"/>
      <c r="V122" s="342"/>
      <c r="W122" s="342"/>
      <c r="X122" s="342"/>
    </row>
    <row r="123" spans="1:24" ht="12" customHeight="1" x14ac:dyDescent="0.2">
      <c r="A123" s="634" t="s">
        <v>1445</v>
      </c>
      <c r="B123" s="635" t="s">
        <v>884</v>
      </c>
      <c r="C123" s="635" t="s">
        <v>766</v>
      </c>
      <c r="D123" s="636" t="s">
        <v>1446</v>
      </c>
      <c r="E123" s="637">
        <v>745000</v>
      </c>
      <c r="F123" s="636" t="s">
        <v>1310</v>
      </c>
      <c r="G123" s="638" t="s">
        <v>1132</v>
      </c>
      <c r="H123" s="639">
        <v>43992</v>
      </c>
      <c r="I123" s="639">
        <v>44112</v>
      </c>
      <c r="J123" s="640"/>
      <c r="K123" s="342"/>
      <c r="L123" s="342"/>
      <c r="M123" s="342"/>
      <c r="N123" s="342"/>
      <c r="O123" s="342"/>
      <c r="P123" s="342"/>
      <c r="Q123" s="342"/>
      <c r="R123" s="342"/>
      <c r="S123" s="342"/>
      <c r="T123" s="342"/>
      <c r="U123" s="342"/>
      <c r="V123" s="342"/>
      <c r="W123" s="342"/>
      <c r="X123" s="342"/>
    </row>
    <row r="124" spans="1:24" ht="12" customHeight="1" x14ac:dyDescent="0.2">
      <c r="A124" s="634" t="s">
        <v>1447</v>
      </c>
      <c r="B124" s="635" t="s">
        <v>1405</v>
      </c>
      <c r="C124" s="635" t="s">
        <v>766</v>
      </c>
      <c r="D124" s="636"/>
      <c r="E124" s="637">
        <v>20650</v>
      </c>
      <c r="F124" s="636" t="s">
        <v>1448</v>
      </c>
      <c r="G124" s="638" t="s">
        <v>1143</v>
      </c>
      <c r="H124" s="639">
        <v>43994</v>
      </c>
      <c r="I124" s="639">
        <v>44359</v>
      </c>
      <c r="J124" s="640"/>
      <c r="K124" s="342"/>
      <c r="L124" s="342"/>
      <c r="M124" s="342"/>
      <c r="N124" s="342"/>
      <c r="O124" s="342"/>
      <c r="P124" s="342"/>
      <c r="Q124" s="342"/>
      <c r="R124" s="342"/>
      <c r="S124" s="342"/>
      <c r="T124" s="342"/>
      <c r="U124" s="342"/>
      <c r="V124" s="342"/>
      <c r="W124" s="342"/>
      <c r="X124" s="342"/>
    </row>
    <row r="125" spans="1:24" ht="12" customHeight="1" x14ac:dyDescent="0.2">
      <c r="A125" s="634" t="s">
        <v>1449</v>
      </c>
      <c r="B125" s="635" t="s">
        <v>830</v>
      </c>
      <c r="C125" s="635" t="s">
        <v>766</v>
      </c>
      <c r="D125" s="641" t="s">
        <v>1211</v>
      </c>
      <c r="E125" s="637">
        <v>107573.67</v>
      </c>
      <c r="F125" s="636" t="s">
        <v>1212</v>
      </c>
      <c r="G125" s="638" t="s">
        <v>1143</v>
      </c>
      <c r="H125" s="639">
        <v>43996</v>
      </c>
      <c r="I125" s="639">
        <v>44031</v>
      </c>
      <c r="J125" s="640"/>
      <c r="K125" s="342"/>
      <c r="L125" s="342"/>
      <c r="M125" s="342"/>
      <c r="N125" s="342"/>
      <c r="O125" s="342"/>
      <c r="P125" s="342"/>
      <c r="Q125" s="342"/>
      <c r="R125" s="342"/>
      <c r="S125" s="342"/>
      <c r="T125" s="342"/>
      <c r="U125" s="342"/>
      <c r="V125" s="342"/>
      <c r="W125" s="342"/>
      <c r="X125" s="342"/>
    </row>
    <row r="126" spans="1:24" ht="12" customHeight="1" x14ac:dyDescent="0.2">
      <c r="A126" s="634" t="s">
        <v>1450</v>
      </c>
      <c r="B126" s="635" t="s">
        <v>884</v>
      </c>
      <c r="C126" s="635" t="s">
        <v>766</v>
      </c>
      <c r="D126" s="636" t="s">
        <v>1451</v>
      </c>
      <c r="E126" s="637">
        <v>100000</v>
      </c>
      <c r="F126" s="636" t="s">
        <v>1452</v>
      </c>
      <c r="G126" s="638" t="s">
        <v>1132</v>
      </c>
      <c r="H126" s="639">
        <v>43997</v>
      </c>
      <c r="I126" s="639">
        <v>44192</v>
      </c>
      <c r="J126" s="640"/>
      <c r="K126" s="342"/>
      <c r="L126" s="342"/>
      <c r="M126" s="342"/>
      <c r="N126" s="342"/>
      <c r="O126" s="342"/>
      <c r="P126" s="342"/>
      <c r="Q126" s="342"/>
      <c r="R126" s="342"/>
      <c r="S126" s="342"/>
      <c r="T126" s="342"/>
      <c r="U126" s="342"/>
      <c r="V126" s="342"/>
      <c r="W126" s="342"/>
      <c r="X126" s="342"/>
    </row>
    <row r="127" spans="1:24" ht="12" customHeight="1" x14ac:dyDescent="0.2">
      <c r="A127" s="634" t="s">
        <v>1453</v>
      </c>
      <c r="B127" s="635" t="s">
        <v>884</v>
      </c>
      <c r="C127" s="635" t="s">
        <v>766</v>
      </c>
      <c r="D127" s="636" t="s">
        <v>1454</v>
      </c>
      <c r="E127" s="637">
        <v>731187</v>
      </c>
      <c r="F127" s="636" t="s">
        <v>1455</v>
      </c>
      <c r="G127" s="638" t="s">
        <v>1132</v>
      </c>
      <c r="H127" s="639">
        <v>43998</v>
      </c>
      <c r="I127" s="639">
        <v>44151</v>
      </c>
      <c r="J127" s="640"/>
      <c r="K127" s="342"/>
      <c r="L127" s="342"/>
      <c r="M127" s="342"/>
      <c r="N127" s="342"/>
      <c r="O127" s="342"/>
      <c r="P127" s="342"/>
      <c r="Q127" s="342"/>
      <c r="R127" s="342"/>
      <c r="S127" s="342"/>
      <c r="T127" s="342"/>
      <c r="U127" s="342"/>
      <c r="V127" s="342"/>
      <c r="W127" s="342"/>
      <c r="X127" s="342"/>
    </row>
    <row r="128" spans="1:24" ht="12" customHeight="1" x14ac:dyDescent="0.2">
      <c r="A128" s="634" t="s">
        <v>1456</v>
      </c>
      <c r="B128" s="635" t="s">
        <v>884</v>
      </c>
      <c r="C128" s="635" t="s">
        <v>766</v>
      </c>
      <c r="D128" s="636" t="s">
        <v>1457</v>
      </c>
      <c r="E128" s="637">
        <v>132750</v>
      </c>
      <c r="F128" s="636" t="s">
        <v>1458</v>
      </c>
      <c r="G128" s="638" t="s">
        <v>1143</v>
      </c>
      <c r="H128" s="639">
        <v>44005</v>
      </c>
      <c r="I128" s="639">
        <v>44014</v>
      </c>
      <c r="J128" s="640"/>
      <c r="K128" s="342"/>
      <c r="L128" s="342"/>
      <c r="M128" s="342"/>
      <c r="N128" s="342"/>
      <c r="O128" s="342"/>
      <c r="P128" s="342"/>
      <c r="Q128" s="342"/>
      <c r="R128" s="342"/>
      <c r="S128" s="342"/>
      <c r="T128" s="342"/>
      <c r="U128" s="342"/>
      <c r="V128" s="342"/>
      <c r="W128" s="342"/>
      <c r="X128" s="342"/>
    </row>
    <row r="129" spans="1:24" ht="12" customHeight="1" x14ac:dyDescent="0.2">
      <c r="A129" s="634" t="s">
        <v>1459</v>
      </c>
      <c r="B129" s="635" t="s">
        <v>884</v>
      </c>
      <c r="C129" s="635" t="s">
        <v>766</v>
      </c>
      <c r="D129" s="636" t="s">
        <v>1460</v>
      </c>
      <c r="E129" s="637">
        <v>424470.78</v>
      </c>
      <c r="F129" s="636" t="s">
        <v>1461</v>
      </c>
      <c r="G129" s="638" t="s">
        <v>1132</v>
      </c>
      <c r="H129" s="639">
        <v>44005</v>
      </c>
      <c r="I129" s="639">
        <v>44244</v>
      </c>
      <c r="J129" s="640"/>
      <c r="K129" s="342"/>
      <c r="L129" s="342"/>
      <c r="M129" s="342"/>
      <c r="N129" s="342"/>
      <c r="O129" s="342"/>
      <c r="P129" s="342"/>
      <c r="Q129" s="342"/>
      <c r="R129" s="342"/>
      <c r="S129" s="342"/>
      <c r="T129" s="342"/>
      <c r="U129" s="342"/>
      <c r="V129" s="342"/>
      <c r="W129" s="342"/>
      <c r="X129" s="342"/>
    </row>
    <row r="130" spans="1:24" ht="12" customHeight="1" x14ac:dyDescent="0.2">
      <c r="A130" s="634" t="s">
        <v>1462</v>
      </c>
      <c r="B130" s="635" t="s">
        <v>830</v>
      </c>
      <c r="C130" s="635" t="s">
        <v>766</v>
      </c>
      <c r="D130" s="636" t="s">
        <v>1463</v>
      </c>
      <c r="E130" s="637">
        <v>258030</v>
      </c>
      <c r="F130" s="636" t="s">
        <v>1464</v>
      </c>
      <c r="G130" s="638" t="s">
        <v>1143</v>
      </c>
      <c r="H130" s="639">
        <v>44008</v>
      </c>
      <c r="I130" s="639">
        <v>44013</v>
      </c>
      <c r="J130" s="640"/>
      <c r="K130" s="342"/>
      <c r="L130" s="342"/>
      <c r="M130" s="342"/>
      <c r="N130" s="342"/>
      <c r="O130" s="342"/>
      <c r="P130" s="342"/>
      <c r="Q130" s="342"/>
      <c r="R130" s="342"/>
      <c r="S130" s="342"/>
      <c r="T130" s="342"/>
      <c r="U130" s="342"/>
      <c r="V130" s="342"/>
      <c r="W130" s="342"/>
      <c r="X130" s="342"/>
    </row>
    <row r="131" spans="1:24" ht="12" customHeight="1" x14ac:dyDescent="0.2">
      <c r="A131" s="634" t="s">
        <v>1465</v>
      </c>
      <c r="B131" s="635" t="s">
        <v>830</v>
      </c>
      <c r="C131" s="635" t="s">
        <v>766</v>
      </c>
      <c r="D131" s="636" t="s">
        <v>1466</v>
      </c>
      <c r="E131" s="637">
        <v>44949.96</v>
      </c>
      <c r="F131" s="636" t="s">
        <v>1467</v>
      </c>
      <c r="G131" s="638" t="s">
        <v>1143</v>
      </c>
      <c r="H131" s="639">
        <v>44008</v>
      </c>
      <c r="I131" s="639">
        <v>44373</v>
      </c>
      <c r="J131" s="640"/>
      <c r="K131" s="342"/>
      <c r="L131" s="342"/>
      <c r="M131" s="342"/>
      <c r="N131" s="342"/>
      <c r="O131" s="342"/>
      <c r="P131" s="342"/>
      <c r="Q131" s="342"/>
      <c r="R131" s="342"/>
      <c r="S131" s="342"/>
      <c r="T131" s="342"/>
      <c r="U131" s="342"/>
      <c r="V131" s="342"/>
      <c r="W131" s="342"/>
      <c r="X131" s="342"/>
    </row>
    <row r="132" spans="1:24" ht="12" customHeight="1" x14ac:dyDescent="0.2">
      <c r="A132" s="634" t="s">
        <v>1468</v>
      </c>
      <c r="B132" s="635" t="s">
        <v>830</v>
      </c>
      <c r="C132" s="635" t="s">
        <v>766</v>
      </c>
      <c r="D132" s="636" t="s">
        <v>1469</v>
      </c>
      <c r="E132" s="637">
        <v>133042.20000000001</v>
      </c>
      <c r="F132" s="636" t="s">
        <v>1470</v>
      </c>
      <c r="G132" s="638" t="s">
        <v>1143</v>
      </c>
      <c r="H132" s="639">
        <v>44014</v>
      </c>
      <c r="I132" s="639">
        <v>44379</v>
      </c>
      <c r="J132" s="640"/>
      <c r="K132" s="342"/>
      <c r="L132" s="342"/>
      <c r="M132" s="342"/>
      <c r="N132" s="342"/>
      <c r="O132" s="342"/>
      <c r="P132" s="342"/>
      <c r="Q132" s="342"/>
      <c r="R132" s="342"/>
      <c r="S132" s="342"/>
      <c r="T132" s="342"/>
      <c r="U132" s="342"/>
      <c r="V132" s="342"/>
      <c r="W132" s="342"/>
      <c r="X132" s="342"/>
    </row>
    <row r="133" spans="1:24" ht="12" customHeight="1" x14ac:dyDescent="0.2">
      <c r="A133" s="634" t="s">
        <v>1471</v>
      </c>
      <c r="B133" s="635" t="s">
        <v>830</v>
      </c>
      <c r="C133" s="635" t="s">
        <v>766</v>
      </c>
      <c r="D133" s="636" t="s">
        <v>1472</v>
      </c>
      <c r="E133" s="637">
        <v>209804</v>
      </c>
      <c r="F133" s="636" t="s">
        <v>1473</v>
      </c>
      <c r="G133" s="638" t="s">
        <v>1132</v>
      </c>
      <c r="H133" s="639">
        <v>44026</v>
      </c>
      <c r="I133" s="639">
        <v>44055</v>
      </c>
      <c r="J133" s="640"/>
      <c r="K133" s="342"/>
      <c r="L133" s="342"/>
      <c r="M133" s="342"/>
      <c r="N133" s="342"/>
      <c r="O133" s="342"/>
      <c r="P133" s="342"/>
      <c r="Q133" s="342"/>
      <c r="R133" s="342"/>
      <c r="S133" s="342"/>
      <c r="T133" s="342"/>
      <c r="U133" s="342"/>
      <c r="V133" s="342"/>
      <c r="W133" s="342"/>
      <c r="X133" s="342"/>
    </row>
    <row r="134" spans="1:24" ht="12" customHeight="1" x14ac:dyDescent="0.2">
      <c r="A134" s="634" t="s">
        <v>1474</v>
      </c>
      <c r="B134" s="635" t="s">
        <v>830</v>
      </c>
      <c r="C134" s="635" t="s">
        <v>766</v>
      </c>
      <c r="D134" s="636" t="s">
        <v>1475</v>
      </c>
      <c r="E134" s="637">
        <v>144000</v>
      </c>
      <c r="F134" s="636" t="s">
        <v>1476</v>
      </c>
      <c r="G134" s="638" t="s">
        <v>1132</v>
      </c>
      <c r="H134" s="639">
        <v>44048</v>
      </c>
      <c r="I134" s="639">
        <v>44137</v>
      </c>
      <c r="J134" s="640"/>
      <c r="K134" s="342"/>
      <c r="L134" s="342"/>
      <c r="M134" s="342"/>
      <c r="N134" s="342"/>
      <c r="O134" s="342"/>
      <c r="P134" s="342"/>
      <c r="Q134" s="342"/>
      <c r="R134" s="342"/>
      <c r="S134" s="342"/>
      <c r="T134" s="342"/>
      <c r="U134" s="342"/>
      <c r="V134" s="342"/>
      <c r="W134" s="342"/>
      <c r="X134" s="342"/>
    </row>
    <row r="135" spans="1:24" ht="12" customHeight="1" x14ac:dyDescent="0.2">
      <c r="A135" s="634" t="s">
        <v>1477</v>
      </c>
      <c r="B135" s="635" t="s">
        <v>1129</v>
      </c>
      <c r="C135" s="635" t="s">
        <v>766</v>
      </c>
      <c r="D135" s="636" t="s">
        <v>1478</v>
      </c>
      <c r="E135" s="637">
        <v>206972.04</v>
      </c>
      <c r="F135" s="636" t="s">
        <v>1131</v>
      </c>
      <c r="G135" s="638" t="s">
        <v>1132</v>
      </c>
      <c r="H135" s="639">
        <v>44061</v>
      </c>
      <c r="I135" s="639">
        <v>45261</v>
      </c>
      <c r="J135" s="640"/>
      <c r="K135" s="342"/>
      <c r="L135" s="342"/>
      <c r="M135" s="342"/>
      <c r="N135" s="342"/>
      <c r="O135" s="342"/>
      <c r="P135" s="342"/>
      <c r="Q135" s="342"/>
      <c r="R135" s="342"/>
      <c r="S135" s="342"/>
      <c r="T135" s="342"/>
      <c r="U135" s="342"/>
      <c r="V135" s="342"/>
      <c r="W135" s="342"/>
      <c r="X135" s="342"/>
    </row>
    <row r="136" spans="1:24" ht="12" customHeight="1" x14ac:dyDescent="0.2">
      <c r="A136" s="634" t="s">
        <v>1479</v>
      </c>
      <c r="B136" s="635" t="s">
        <v>945</v>
      </c>
      <c r="C136" s="635" t="s">
        <v>766</v>
      </c>
      <c r="D136" s="636" t="s">
        <v>1480</v>
      </c>
      <c r="E136" s="637">
        <v>7230314.5599999996</v>
      </c>
      <c r="F136" s="636" t="s">
        <v>1481</v>
      </c>
      <c r="G136" s="638" t="s">
        <v>1132</v>
      </c>
      <c r="H136" s="639">
        <v>44074</v>
      </c>
      <c r="I136" s="639">
        <v>44804</v>
      </c>
      <c r="J136" s="640"/>
      <c r="K136" s="342"/>
      <c r="L136" s="342"/>
      <c r="M136" s="342"/>
      <c r="N136" s="342"/>
      <c r="O136" s="342"/>
      <c r="P136" s="342"/>
      <c r="Q136" s="342"/>
      <c r="R136" s="342"/>
      <c r="S136" s="342"/>
      <c r="T136" s="342"/>
      <c r="U136" s="342"/>
      <c r="V136" s="342"/>
      <c r="W136" s="342"/>
      <c r="X136" s="342"/>
    </row>
    <row r="137" spans="1:24" ht="12" customHeight="1" x14ac:dyDescent="0.2">
      <c r="A137" s="634" t="s">
        <v>1482</v>
      </c>
      <c r="B137" s="635" t="s">
        <v>945</v>
      </c>
      <c r="C137" s="635" t="s">
        <v>766</v>
      </c>
      <c r="D137" s="636" t="s">
        <v>1483</v>
      </c>
      <c r="E137" s="637">
        <v>45847.5</v>
      </c>
      <c r="F137" s="636" t="s">
        <v>1484</v>
      </c>
      <c r="G137" s="638" t="s">
        <v>1132</v>
      </c>
      <c r="H137" s="639">
        <v>44074</v>
      </c>
      <c r="I137" s="639">
        <v>44104</v>
      </c>
      <c r="J137" s="640"/>
      <c r="K137" s="342"/>
      <c r="L137" s="342"/>
      <c r="M137" s="342"/>
      <c r="N137" s="342"/>
      <c r="O137" s="342"/>
      <c r="P137" s="342"/>
      <c r="Q137" s="342"/>
      <c r="R137" s="342"/>
      <c r="S137" s="342"/>
      <c r="T137" s="342"/>
      <c r="U137" s="342"/>
      <c r="V137" s="342"/>
      <c r="W137" s="342"/>
      <c r="X137" s="342"/>
    </row>
    <row r="138" spans="1:24" ht="12" customHeight="1" x14ac:dyDescent="0.2">
      <c r="A138" s="634" t="s">
        <v>1485</v>
      </c>
      <c r="B138" s="635" t="s">
        <v>884</v>
      </c>
      <c r="C138" s="635" t="s">
        <v>766</v>
      </c>
      <c r="D138" s="636" t="s">
        <v>1486</v>
      </c>
      <c r="E138" s="637">
        <v>1236923.04</v>
      </c>
      <c r="F138" s="636" t="s">
        <v>1487</v>
      </c>
      <c r="G138" s="638" t="s">
        <v>1132</v>
      </c>
      <c r="H138" s="639">
        <v>44088</v>
      </c>
      <c r="I138" s="639">
        <v>44808</v>
      </c>
      <c r="J138" s="640"/>
      <c r="K138" s="342"/>
      <c r="L138" s="342"/>
      <c r="M138" s="342"/>
      <c r="N138" s="342"/>
      <c r="O138" s="342"/>
      <c r="P138" s="342"/>
      <c r="Q138" s="342"/>
      <c r="R138" s="342"/>
      <c r="S138" s="342"/>
      <c r="T138" s="342"/>
      <c r="U138" s="342"/>
      <c r="V138" s="342"/>
      <c r="W138" s="342"/>
      <c r="X138" s="342"/>
    </row>
    <row r="139" spans="1:24" ht="12" customHeight="1" x14ac:dyDescent="0.2">
      <c r="A139" s="634" t="s">
        <v>1488</v>
      </c>
      <c r="B139" s="635" t="s">
        <v>945</v>
      </c>
      <c r="C139" s="635" t="s">
        <v>766</v>
      </c>
      <c r="D139" s="636" t="s">
        <v>1489</v>
      </c>
      <c r="E139" s="637">
        <v>7050000</v>
      </c>
      <c r="F139" s="636" t="s">
        <v>1490</v>
      </c>
      <c r="G139" s="638" t="s">
        <v>1132</v>
      </c>
      <c r="H139" s="639">
        <v>44092</v>
      </c>
      <c r="I139" s="639">
        <v>44812</v>
      </c>
      <c r="J139" s="640"/>
      <c r="K139" s="342"/>
      <c r="L139" s="342"/>
      <c r="M139" s="342"/>
      <c r="N139" s="342"/>
      <c r="O139" s="342"/>
      <c r="P139" s="342"/>
      <c r="Q139" s="342"/>
      <c r="R139" s="342"/>
      <c r="S139" s="342"/>
      <c r="T139" s="342"/>
      <c r="U139" s="342"/>
      <c r="V139" s="342"/>
      <c r="W139" s="342"/>
      <c r="X139" s="342"/>
    </row>
    <row r="140" spans="1:24" ht="12" customHeight="1" x14ac:dyDescent="0.2">
      <c r="A140" s="634" t="s">
        <v>1491</v>
      </c>
      <c r="B140" s="635" t="s">
        <v>945</v>
      </c>
      <c r="C140" s="635" t="s">
        <v>766</v>
      </c>
      <c r="D140" s="636" t="s">
        <v>1492</v>
      </c>
      <c r="E140" s="637">
        <v>419032</v>
      </c>
      <c r="F140" s="636" t="s">
        <v>1493</v>
      </c>
      <c r="G140" s="638" t="s">
        <v>1413</v>
      </c>
      <c r="H140" s="639">
        <v>43497</v>
      </c>
      <c r="I140" s="639">
        <v>44240</v>
      </c>
      <c r="J140" s="640"/>
      <c r="K140" s="342"/>
      <c r="L140" s="342"/>
      <c r="M140" s="342"/>
      <c r="N140" s="342"/>
      <c r="O140" s="342"/>
      <c r="P140" s="342"/>
      <c r="Q140" s="342"/>
      <c r="R140" s="342"/>
      <c r="S140" s="342"/>
      <c r="T140" s="342"/>
      <c r="U140" s="342"/>
      <c r="V140" s="342"/>
      <c r="W140" s="342"/>
      <c r="X140" s="342"/>
    </row>
    <row r="141" spans="1:24" ht="12" customHeight="1" x14ac:dyDescent="0.2">
      <c r="A141" s="634" t="s">
        <v>1494</v>
      </c>
      <c r="B141" s="635" t="s">
        <v>1495</v>
      </c>
      <c r="C141" s="635" t="s">
        <v>1496</v>
      </c>
      <c r="D141" s="636" t="s">
        <v>1497</v>
      </c>
      <c r="E141" s="637">
        <v>106708</v>
      </c>
      <c r="F141" s="636" t="s">
        <v>1498</v>
      </c>
      <c r="G141" s="638" t="s">
        <v>1143</v>
      </c>
      <c r="H141" s="639">
        <v>43801</v>
      </c>
      <c r="I141" s="639">
        <v>43823</v>
      </c>
      <c r="J141" s="640"/>
      <c r="K141" s="342"/>
      <c r="L141" s="342"/>
      <c r="M141" s="342"/>
      <c r="N141" s="342"/>
      <c r="O141" s="342"/>
      <c r="P141" s="342"/>
      <c r="Q141" s="342"/>
      <c r="R141" s="342"/>
      <c r="S141" s="342"/>
      <c r="T141" s="342"/>
      <c r="U141" s="342"/>
      <c r="V141" s="342"/>
      <c r="W141" s="342"/>
      <c r="X141" s="342"/>
    </row>
    <row r="142" spans="1:24" ht="12" customHeight="1" x14ac:dyDescent="0.2">
      <c r="A142" s="634" t="s">
        <v>1499</v>
      </c>
      <c r="B142" s="635" t="s">
        <v>1129</v>
      </c>
      <c r="C142" s="635" t="s">
        <v>766</v>
      </c>
      <c r="D142" s="636" t="s">
        <v>1500</v>
      </c>
      <c r="E142" s="637">
        <v>99000</v>
      </c>
      <c r="F142" s="636" t="s">
        <v>1501</v>
      </c>
      <c r="G142" s="638" t="s">
        <v>1413</v>
      </c>
      <c r="H142" s="639">
        <v>43985</v>
      </c>
      <c r="I142" s="639">
        <v>44499</v>
      </c>
      <c r="J142" s="640"/>
      <c r="K142" s="342"/>
      <c r="L142" s="342"/>
      <c r="M142" s="342"/>
      <c r="N142" s="342"/>
      <c r="O142" s="342"/>
      <c r="P142" s="342"/>
      <c r="Q142" s="342"/>
      <c r="R142" s="342"/>
      <c r="S142" s="342"/>
      <c r="T142" s="342"/>
      <c r="U142" s="342"/>
      <c r="V142" s="342"/>
      <c r="W142" s="342"/>
      <c r="X142" s="342"/>
    </row>
    <row r="143" spans="1:24" ht="12" customHeight="1" x14ac:dyDescent="0.2">
      <c r="A143" s="634" t="s">
        <v>1502</v>
      </c>
      <c r="B143" s="635" t="s">
        <v>1129</v>
      </c>
      <c r="C143" s="635" t="s">
        <v>766</v>
      </c>
      <c r="D143" s="636" t="s">
        <v>1503</v>
      </c>
      <c r="E143" s="637">
        <v>44964</v>
      </c>
      <c r="F143" s="636" t="s">
        <v>1504</v>
      </c>
      <c r="G143" s="638" t="s">
        <v>1413</v>
      </c>
      <c r="H143" s="639">
        <v>43742</v>
      </c>
      <c r="I143" s="639">
        <v>44560</v>
      </c>
      <c r="J143" s="640"/>
      <c r="K143" s="342"/>
      <c r="L143" s="342"/>
      <c r="M143" s="342"/>
      <c r="N143" s="342"/>
      <c r="O143" s="342"/>
      <c r="P143" s="342"/>
      <c r="Q143" s="342"/>
      <c r="R143" s="342"/>
      <c r="S143" s="342"/>
      <c r="T143" s="342"/>
      <c r="U143" s="342"/>
      <c r="V143" s="342"/>
      <c r="W143" s="342"/>
      <c r="X143" s="342"/>
    </row>
    <row r="144" spans="1:24" ht="12" customHeight="1" x14ac:dyDescent="0.2">
      <c r="A144" s="634" t="s">
        <v>1505</v>
      </c>
      <c r="B144" s="635" t="s">
        <v>1495</v>
      </c>
      <c r="C144" s="635" t="s">
        <v>1496</v>
      </c>
      <c r="D144" s="636" t="s">
        <v>1506</v>
      </c>
      <c r="E144" s="637">
        <v>138228</v>
      </c>
      <c r="F144" s="636" t="s">
        <v>1507</v>
      </c>
      <c r="G144" s="638" t="s">
        <v>1413</v>
      </c>
      <c r="H144" s="639">
        <v>43560</v>
      </c>
      <c r="I144" s="639">
        <v>44196</v>
      </c>
      <c r="J144" s="640"/>
      <c r="K144" s="342"/>
      <c r="L144" s="342"/>
      <c r="M144" s="342"/>
      <c r="N144" s="342"/>
      <c r="O144" s="342"/>
      <c r="P144" s="342"/>
      <c r="Q144" s="342"/>
      <c r="R144" s="342"/>
      <c r="S144" s="342"/>
      <c r="T144" s="342"/>
      <c r="U144" s="342"/>
      <c r="V144" s="342"/>
      <c r="W144" s="342"/>
      <c r="X144" s="342"/>
    </row>
    <row r="145" spans="1:24" ht="12" customHeight="1" x14ac:dyDescent="0.2">
      <c r="A145" s="634" t="s">
        <v>1508</v>
      </c>
      <c r="B145" s="635" t="s">
        <v>1129</v>
      </c>
      <c r="C145" s="635" t="s">
        <v>766</v>
      </c>
      <c r="D145" s="636" t="s">
        <v>1509</v>
      </c>
      <c r="E145" s="637">
        <v>65087</v>
      </c>
      <c r="F145" s="636" t="s">
        <v>1510</v>
      </c>
      <c r="G145" s="638" t="s">
        <v>1413</v>
      </c>
      <c r="H145" s="639">
        <v>43621</v>
      </c>
      <c r="I145" s="639">
        <v>44560</v>
      </c>
      <c r="J145" s="640"/>
      <c r="K145" s="342"/>
      <c r="L145" s="342"/>
      <c r="M145" s="342"/>
      <c r="N145" s="342"/>
      <c r="O145" s="342"/>
      <c r="P145" s="342"/>
      <c r="Q145" s="342"/>
      <c r="R145" s="342"/>
      <c r="S145" s="342"/>
      <c r="T145" s="342"/>
      <c r="U145" s="342"/>
      <c r="V145" s="342"/>
      <c r="W145" s="342"/>
      <c r="X145" s="342"/>
    </row>
    <row r="146" spans="1:24" ht="12" customHeight="1" x14ac:dyDescent="0.2">
      <c r="A146" s="634" t="s">
        <v>1511</v>
      </c>
      <c r="B146" s="635" t="s">
        <v>765</v>
      </c>
      <c r="C146" s="635" t="s">
        <v>1496</v>
      </c>
      <c r="D146" s="636" t="s">
        <v>1512</v>
      </c>
      <c r="E146" s="637">
        <v>635800</v>
      </c>
      <c r="F146" s="636" t="s">
        <v>1513</v>
      </c>
      <c r="G146" s="638" t="s">
        <v>1143</v>
      </c>
      <c r="H146" s="639">
        <v>43804</v>
      </c>
      <c r="I146" s="639">
        <v>43835</v>
      </c>
      <c r="J146" s="640"/>
      <c r="K146" s="342"/>
      <c r="L146" s="342"/>
      <c r="M146" s="342"/>
      <c r="N146" s="342"/>
      <c r="O146" s="342"/>
      <c r="P146" s="342"/>
      <c r="Q146" s="342"/>
      <c r="R146" s="342"/>
      <c r="S146" s="342"/>
      <c r="T146" s="342"/>
      <c r="U146" s="342"/>
      <c r="V146" s="342"/>
      <c r="W146" s="342"/>
      <c r="X146" s="342"/>
    </row>
    <row r="147" spans="1:24" ht="12" customHeight="1" x14ac:dyDescent="0.2">
      <c r="A147" s="634" t="s">
        <v>1514</v>
      </c>
      <c r="B147" s="635" t="s">
        <v>884</v>
      </c>
      <c r="C147" s="635" t="s">
        <v>1496</v>
      </c>
      <c r="D147" s="636" t="s">
        <v>1515</v>
      </c>
      <c r="E147" s="637">
        <v>298222.40000000002</v>
      </c>
      <c r="F147" s="636" t="s">
        <v>1516</v>
      </c>
      <c r="G147" s="638" t="s">
        <v>1413</v>
      </c>
      <c r="H147" s="639">
        <v>43867</v>
      </c>
      <c r="I147" s="639">
        <v>44233</v>
      </c>
      <c r="J147" s="640"/>
      <c r="K147" s="342"/>
      <c r="L147" s="342"/>
      <c r="M147" s="342"/>
      <c r="N147" s="342"/>
      <c r="O147" s="342"/>
      <c r="P147" s="342"/>
      <c r="Q147" s="342"/>
      <c r="R147" s="342"/>
      <c r="S147" s="342"/>
      <c r="T147" s="342"/>
      <c r="U147" s="342"/>
      <c r="V147" s="342"/>
      <c r="W147" s="342"/>
      <c r="X147" s="342"/>
    </row>
    <row r="148" spans="1:24" ht="12" customHeight="1" x14ac:dyDescent="0.2">
      <c r="A148" s="634" t="s">
        <v>1517</v>
      </c>
      <c r="B148" s="635" t="s">
        <v>1495</v>
      </c>
      <c r="C148" s="635" t="s">
        <v>1496</v>
      </c>
      <c r="D148" s="636" t="s">
        <v>1518</v>
      </c>
      <c r="E148" s="637">
        <v>228555</v>
      </c>
      <c r="F148" s="636" t="s">
        <v>1519</v>
      </c>
      <c r="G148" s="638" t="s">
        <v>1143</v>
      </c>
      <c r="H148" s="639">
        <v>43805</v>
      </c>
      <c r="I148" s="639">
        <v>43820</v>
      </c>
      <c r="J148" s="640"/>
      <c r="K148" s="342"/>
      <c r="L148" s="342"/>
      <c r="M148" s="342"/>
      <c r="N148" s="342"/>
      <c r="O148" s="342"/>
      <c r="P148" s="342"/>
      <c r="Q148" s="342"/>
      <c r="R148" s="342"/>
      <c r="S148" s="342"/>
      <c r="T148" s="342"/>
      <c r="U148" s="342"/>
      <c r="V148" s="342"/>
      <c r="W148" s="342"/>
      <c r="X148" s="342"/>
    </row>
    <row r="149" spans="1:24" ht="12" customHeight="1" x14ac:dyDescent="0.2">
      <c r="A149" s="634" t="s">
        <v>1520</v>
      </c>
      <c r="B149" s="635" t="s">
        <v>830</v>
      </c>
      <c r="C149" s="635" t="s">
        <v>766</v>
      </c>
      <c r="D149" s="636" t="s">
        <v>1521</v>
      </c>
      <c r="E149" s="637">
        <v>157663.1</v>
      </c>
      <c r="F149" s="636" t="s">
        <v>1522</v>
      </c>
      <c r="G149" s="638" t="s">
        <v>1143</v>
      </c>
      <c r="H149" s="639">
        <v>43868</v>
      </c>
      <c r="I149" s="639">
        <v>43915</v>
      </c>
      <c r="J149" s="640"/>
      <c r="K149" s="342"/>
      <c r="L149" s="342"/>
      <c r="M149" s="342"/>
      <c r="N149" s="342"/>
      <c r="O149" s="342"/>
      <c r="P149" s="342"/>
      <c r="Q149" s="342"/>
      <c r="R149" s="342"/>
      <c r="S149" s="342"/>
      <c r="T149" s="342"/>
      <c r="U149" s="342"/>
      <c r="V149" s="342"/>
      <c r="W149" s="342"/>
      <c r="X149" s="342"/>
    </row>
    <row r="150" spans="1:24" ht="12" customHeight="1" x14ac:dyDescent="0.2">
      <c r="A150" s="634" t="s">
        <v>1523</v>
      </c>
      <c r="B150" s="635" t="s">
        <v>884</v>
      </c>
      <c r="C150" s="635" t="s">
        <v>1496</v>
      </c>
      <c r="D150" s="636" t="s">
        <v>1524</v>
      </c>
      <c r="E150" s="637">
        <v>295820</v>
      </c>
      <c r="F150" s="636" t="s">
        <v>1525</v>
      </c>
      <c r="G150" s="638" t="s">
        <v>1143</v>
      </c>
      <c r="H150" s="639">
        <v>43776</v>
      </c>
      <c r="I150" s="639">
        <v>43806</v>
      </c>
      <c r="J150" s="640"/>
      <c r="K150" s="342"/>
      <c r="L150" s="342"/>
      <c r="M150" s="342"/>
      <c r="N150" s="342"/>
      <c r="O150" s="342"/>
      <c r="P150" s="342"/>
      <c r="Q150" s="342"/>
      <c r="R150" s="342"/>
      <c r="S150" s="342"/>
      <c r="T150" s="342"/>
      <c r="U150" s="342"/>
      <c r="V150" s="342"/>
      <c r="W150" s="342"/>
      <c r="X150" s="342"/>
    </row>
    <row r="151" spans="1:24" ht="12" customHeight="1" x14ac:dyDescent="0.2">
      <c r="A151" s="634" t="s">
        <v>1526</v>
      </c>
      <c r="B151" s="635" t="s">
        <v>1527</v>
      </c>
      <c r="C151" s="635" t="s">
        <v>1496</v>
      </c>
      <c r="D151" s="636" t="s">
        <v>1528</v>
      </c>
      <c r="E151" s="637">
        <v>243873.5</v>
      </c>
      <c r="F151" s="636" t="s">
        <v>1529</v>
      </c>
      <c r="G151" s="638" t="s">
        <v>1413</v>
      </c>
      <c r="H151" s="639">
        <v>43654</v>
      </c>
      <c r="I151" s="639">
        <v>44028</v>
      </c>
      <c r="J151" s="645" t="s">
        <v>1530</v>
      </c>
      <c r="K151" s="342"/>
      <c r="L151" s="342"/>
      <c r="M151" s="342"/>
      <c r="N151" s="342"/>
      <c r="O151" s="342"/>
      <c r="P151" s="342"/>
      <c r="Q151" s="342"/>
      <c r="R151" s="342"/>
      <c r="S151" s="342"/>
      <c r="T151" s="342"/>
      <c r="U151" s="342"/>
      <c r="V151" s="342"/>
      <c r="W151" s="342"/>
      <c r="X151" s="342"/>
    </row>
    <row r="152" spans="1:24" ht="12" customHeight="1" x14ac:dyDescent="0.2">
      <c r="A152" s="634" t="s">
        <v>1531</v>
      </c>
      <c r="B152" s="635" t="s">
        <v>1129</v>
      </c>
      <c r="C152" s="635" t="s">
        <v>766</v>
      </c>
      <c r="D152" s="636" t="s">
        <v>1532</v>
      </c>
      <c r="E152" s="637">
        <v>127890</v>
      </c>
      <c r="F152" s="636" t="s">
        <v>1533</v>
      </c>
      <c r="G152" s="638" t="s">
        <v>1413</v>
      </c>
      <c r="H152" s="639">
        <v>43594</v>
      </c>
      <c r="I152" s="639">
        <v>44316</v>
      </c>
      <c r="J152" s="640"/>
      <c r="K152" s="342"/>
      <c r="L152" s="342"/>
      <c r="M152" s="342"/>
      <c r="N152" s="342"/>
      <c r="O152" s="342"/>
      <c r="P152" s="342"/>
      <c r="Q152" s="342"/>
      <c r="R152" s="342"/>
      <c r="S152" s="342"/>
      <c r="T152" s="342"/>
      <c r="U152" s="342"/>
      <c r="V152" s="342"/>
      <c r="W152" s="342"/>
      <c r="X152" s="342"/>
    </row>
    <row r="153" spans="1:24" ht="12" customHeight="1" x14ac:dyDescent="0.2">
      <c r="A153" s="634" t="s">
        <v>1534</v>
      </c>
      <c r="B153" s="635" t="s">
        <v>1129</v>
      </c>
      <c r="C153" s="635" t="s">
        <v>766</v>
      </c>
      <c r="D153" s="636" t="s">
        <v>1535</v>
      </c>
      <c r="E153" s="637">
        <v>38220</v>
      </c>
      <c r="F153" s="636" t="s">
        <v>1533</v>
      </c>
      <c r="G153" s="638" t="s">
        <v>1413</v>
      </c>
      <c r="H153" s="639">
        <v>43594</v>
      </c>
      <c r="I153" s="639">
        <v>44407</v>
      </c>
      <c r="J153" s="640"/>
      <c r="K153" s="342"/>
      <c r="L153" s="342"/>
      <c r="M153" s="342"/>
      <c r="N153" s="342"/>
      <c r="O153" s="342"/>
      <c r="P153" s="342"/>
      <c r="Q153" s="342"/>
      <c r="R153" s="342"/>
      <c r="S153" s="342"/>
      <c r="T153" s="342"/>
      <c r="U153" s="342"/>
      <c r="V153" s="342"/>
      <c r="W153" s="342"/>
      <c r="X153" s="342"/>
    </row>
    <row r="154" spans="1:24" ht="12" customHeight="1" x14ac:dyDescent="0.2">
      <c r="A154" s="634" t="s">
        <v>1536</v>
      </c>
      <c r="B154" s="635" t="s">
        <v>945</v>
      </c>
      <c r="C154" s="635" t="s">
        <v>766</v>
      </c>
      <c r="D154" s="636" t="s">
        <v>1535</v>
      </c>
      <c r="E154" s="637">
        <v>5598016.7300000004</v>
      </c>
      <c r="F154" s="636" t="s">
        <v>1537</v>
      </c>
      <c r="G154" s="638" t="s">
        <v>1413</v>
      </c>
      <c r="H154" s="639">
        <v>44083</v>
      </c>
      <c r="I154" s="639">
        <v>44449</v>
      </c>
      <c r="J154" s="640"/>
      <c r="K154" s="342"/>
      <c r="L154" s="342"/>
      <c r="M154" s="342"/>
      <c r="N154" s="342"/>
      <c r="O154" s="342"/>
      <c r="P154" s="342"/>
      <c r="Q154" s="342"/>
      <c r="R154" s="342"/>
      <c r="S154" s="342"/>
      <c r="T154" s="342"/>
      <c r="U154" s="342"/>
      <c r="V154" s="342"/>
      <c r="W154" s="342"/>
      <c r="X154" s="342"/>
    </row>
    <row r="155" spans="1:24" ht="12" customHeight="1" x14ac:dyDescent="0.2">
      <c r="A155" s="634" t="s">
        <v>1538</v>
      </c>
      <c r="B155" s="635" t="s">
        <v>884</v>
      </c>
      <c r="C155" s="635" t="s">
        <v>766</v>
      </c>
      <c r="D155" s="636" t="s">
        <v>1539</v>
      </c>
      <c r="E155" s="637">
        <v>65000</v>
      </c>
      <c r="F155" s="636" t="s">
        <v>1540</v>
      </c>
      <c r="G155" s="638" t="s">
        <v>1132</v>
      </c>
      <c r="H155" s="650">
        <v>43871</v>
      </c>
      <c r="I155" s="638" t="s">
        <v>1541</v>
      </c>
      <c r="J155" s="645" t="s">
        <v>1542</v>
      </c>
      <c r="K155" s="342"/>
      <c r="L155" s="342"/>
      <c r="M155" s="342"/>
      <c r="N155" s="342"/>
      <c r="O155" s="342"/>
      <c r="P155" s="342"/>
      <c r="Q155" s="342"/>
      <c r="R155" s="342"/>
      <c r="S155" s="342"/>
      <c r="T155" s="342"/>
      <c r="U155" s="342"/>
      <c r="V155" s="342"/>
      <c r="W155" s="342"/>
      <c r="X155" s="342"/>
    </row>
    <row r="156" spans="1:24" ht="12" customHeight="1" x14ac:dyDescent="0.2">
      <c r="A156" s="634" t="s">
        <v>1543</v>
      </c>
      <c r="B156" s="635" t="s">
        <v>830</v>
      </c>
      <c r="C156" s="635" t="s">
        <v>766</v>
      </c>
      <c r="D156" s="636" t="s">
        <v>1532</v>
      </c>
      <c r="E156" s="637">
        <v>135202.82</v>
      </c>
      <c r="F156" s="636" t="s">
        <v>1544</v>
      </c>
      <c r="G156" s="638" t="s">
        <v>1143</v>
      </c>
      <c r="H156" s="639">
        <v>43595</v>
      </c>
      <c r="I156" s="639">
        <v>43972</v>
      </c>
      <c r="J156" s="640"/>
      <c r="K156" s="342"/>
      <c r="L156" s="342"/>
      <c r="M156" s="342"/>
      <c r="N156" s="342"/>
      <c r="O156" s="342"/>
      <c r="P156" s="342"/>
      <c r="Q156" s="342"/>
      <c r="R156" s="342"/>
      <c r="S156" s="342"/>
      <c r="T156" s="342"/>
      <c r="U156" s="342"/>
      <c r="V156" s="342"/>
      <c r="W156" s="342"/>
      <c r="X156" s="342"/>
    </row>
    <row r="157" spans="1:24" ht="12" customHeight="1" x14ac:dyDescent="0.2">
      <c r="A157" s="634" t="s">
        <v>1545</v>
      </c>
      <c r="B157" s="635" t="s">
        <v>1546</v>
      </c>
      <c r="C157" s="635" t="s">
        <v>1496</v>
      </c>
      <c r="D157" s="636" t="s">
        <v>1547</v>
      </c>
      <c r="E157" s="637">
        <v>52560.75</v>
      </c>
      <c r="F157" s="636" t="s">
        <v>1548</v>
      </c>
      <c r="G157" s="638" t="s">
        <v>1143</v>
      </c>
      <c r="H157" s="639">
        <v>43809</v>
      </c>
      <c r="I157" s="639">
        <v>43814</v>
      </c>
      <c r="J157" s="640"/>
      <c r="K157" s="342"/>
      <c r="L157" s="342"/>
      <c r="M157" s="342"/>
      <c r="N157" s="342"/>
      <c r="O157" s="342"/>
      <c r="P157" s="342"/>
      <c r="Q157" s="342"/>
      <c r="R157" s="342"/>
      <c r="S157" s="342"/>
      <c r="T157" s="342"/>
      <c r="U157" s="342"/>
      <c r="V157" s="342"/>
      <c r="W157" s="342"/>
      <c r="X157" s="342"/>
    </row>
    <row r="158" spans="1:24" ht="12" customHeight="1" x14ac:dyDescent="0.2">
      <c r="A158" s="634" t="s">
        <v>1549</v>
      </c>
      <c r="B158" s="635" t="s">
        <v>830</v>
      </c>
      <c r="C158" s="635" t="s">
        <v>766</v>
      </c>
      <c r="D158" s="636" t="s">
        <v>1550</v>
      </c>
      <c r="E158" s="637">
        <v>77000</v>
      </c>
      <c r="F158" s="636" t="s">
        <v>1551</v>
      </c>
      <c r="G158" s="638" t="s">
        <v>1143</v>
      </c>
      <c r="H158" s="639">
        <v>43476</v>
      </c>
      <c r="I158" s="639">
        <v>43602</v>
      </c>
      <c r="J158" s="640"/>
      <c r="K158" s="342"/>
      <c r="L158" s="342"/>
      <c r="M158" s="342"/>
      <c r="N158" s="342"/>
      <c r="O158" s="342"/>
      <c r="P158" s="342"/>
      <c r="Q158" s="342"/>
      <c r="R158" s="342"/>
      <c r="S158" s="342"/>
      <c r="T158" s="342"/>
      <c r="U158" s="342"/>
      <c r="V158" s="342"/>
      <c r="W158" s="342"/>
      <c r="X158" s="342"/>
    </row>
    <row r="159" spans="1:24" ht="12" customHeight="1" x14ac:dyDescent="0.2">
      <c r="A159" s="634" t="s">
        <v>1552</v>
      </c>
      <c r="B159" s="635" t="s">
        <v>1129</v>
      </c>
      <c r="C159" s="635" t="s">
        <v>766</v>
      </c>
      <c r="D159" s="636" t="s">
        <v>1553</v>
      </c>
      <c r="E159" s="637">
        <v>47562.3</v>
      </c>
      <c r="F159" s="636" t="s">
        <v>1554</v>
      </c>
      <c r="G159" s="638" t="s">
        <v>1413</v>
      </c>
      <c r="H159" s="639">
        <v>43749</v>
      </c>
      <c r="I159" s="639">
        <v>45290</v>
      </c>
      <c r="J159" s="640"/>
      <c r="K159" s="342"/>
      <c r="L159" s="342"/>
      <c r="M159" s="342"/>
      <c r="N159" s="342"/>
      <c r="O159" s="342"/>
      <c r="P159" s="342"/>
      <c r="Q159" s="342"/>
      <c r="R159" s="342"/>
      <c r="S159" s="342"/>
      <c r="T159" s="342"/>
      <c r="U159" s="342"/>
      <c r="V159" s="342"/>
      <c r="W159" s="342"/>
      <c r="X159" s="342"/>
    </row>
    <row r="160" spans="1:24" ht="12" customHeight="1" x14ac:dyDescent="0.2">
      <c r="A160" s="634" t="s">
        <v>1555</v>
      </c>
      <c r="B160" s="635" t="s">
        <v>1495</v>
      </c>
      <c r="C160" s="635" t="s">
        <v>1496</v>
      </c>
      <c r="D160" s="636" t="s">
        <v>1556</v>
      </c>
      <c r="E160" s="637">
        <v>68900</v>
      </c>
      <c r="F160" s="636" t="s">
        <v>1557</v>
      </c>
      <c r="G160" s="638" t="s">
        <v>1143</v>
      </c>
      <c r="H160" s="639">
        <v>43810</v>
      </c>
      <c r="I160" s="639">
        <v>43815</v>
      </c>
      <c r="J160" s="640"/>
      <c r="K160" s="342"/>
      <c r="L160" s="342"/>
      <c r="M160" s="342"/>
      <c r="N160" s="342"/>
      <c r="O160" s="342"/>
      <c r="P160" s="342"/>
      <c r="Q160" s="342"/>
      <c r="R160" s="342"/>
      <c r="S160" s="342"/>
      <c r="T160" s="342"/>
      <c r="U160" s="342"/>
      <c r="V160" s="342"/>
      <c r="W160" s="342"/>
      <c r="X160" s="342"/>
    </row>
    <row r="161" spans="1:24" ht="12" customHeight="1" x14ac:dyDescent="0.2">
      <c r="A161" s="634" t="s">
        <v>1558</v>
      </c>
      <c r="B161" s="635" t="s">
        <v>1129</v>
      </c>
      <c r="C161" s="635" t="s">
        <v>766</v>
      </c>
      <c r="D161" s="636" t="s">
        <v>1559</v>
      </c>
      <c r="E161" s="637">
        <v>50778</v>
      </c>
      <c r="F161" s="636" t="s">
        <v>1560</v>
      </c>
      <c r="G161" s="638" t="s">
        <v>1413</v>
      </c>
      <c r="H161" s="639">
        <v>43810</v>
      </c>
      <c r="I161" s="639">
        <v>44681</v>
      </c>
      <c r="J161" s="640"/>
      <c r="K161" s="342"/>
      <c r="L161" s="342"/>
      <c r="M161" s="342"/>
      <c r="N161" s="342"/>
      <c r="O161" s="342"/>
      <c r="P161" s="342"/>
      <c r="Q161" s="342"/>
      <c r="R161" s="342"/>
      <c r="S161" s="342"/>
      <c r="T161" s="342"/>
      <c r="U161" s="342"/>
      <c r="V161" s="342"/>
      <c r="W161" s="342"/>
      <c r="X161" s="342"/>
    </row>
    <row r="162" spans="1:24" ht="12" customHeight="1" x14ac:dyDescent="0.2">
      <c r="A162" s="634" t="s">
        <v>1256</v>
      </c>
      <c r="B162" s="635" t="s">
        <v>945</v>
      </c>
      <c r="C162" s="635" t="s">
        <v>766</v>
      </c>
      <c r="D162" s="636" t="s">
        <v>1561</v>
      </c>
      <c r="E162" s="637">
        <v>310643.51</v>
      </c>
      <c r="F162" s="636" t="s">
        <v>1562</v>
      </c>
      <c r="G162" s="638" t="s">
        <v>1413</v>
      </c>
      <c r="H162" s="639">
        <v>43446</v>
      </c>
      <c r="I162" s="639">
        <v>44236</v>
      </c>
      <c r="J162" s="640"/>
      <c r="K162" s="342"/>
      <c r="L162" s="342"/>
      <c r="M162" s="342"/>
      <c r="N162" s="342"/>
      <c r="O162" s="342"/>
      <c r="P162" s="342"/>
      <c r="Q162" s="342"/>
      <c r="R162" s="342"/>
      <c r="S162" s="342"/>
      <c r="T162" s="342"/>
      <c r="U162" s="342"/>
      <c r="V162" s="342"/>
      <c r="W162" s="342"/>
      <c r="X162" s="342"/>
    </row>
    <row r="163" spans="1:24" ht="12" customHeight="1" x14ac:dyDescent="0.2">
      <c r="A163" s="634" t="s">
        <v>1563</v>
      </c>
      <c r="B163" s="635" t="s">
        <v>830</v>
      </c>
      <c r="C163" s="635" t="s">
        <v>1496</v>
      </c>
      <c r="D163" s="636" t="s">
        <v>1564</v>
      </c>
      <c r="E163" s="637">
        <v>63360</v>
      </c>
      <c r="F163" s="636" t="s">
        <v>1565</v>
      </c>
      <c r="G163" s="638" t="s">
        <v>1413</v>
      </c>
      <c r="H163" s="639">
        <v>43903</v>
      </c>
      <c r="I163" s="639">
        <v>44280</v>
      </c>
      <c r="J163" s="640"/>
      <c r="K163" s="342"/>
      <c r="L163" s="342"/>
      <c r="M163" s="342"/>
      <c r="N163" s="342"/>
      <c r="O163" s="342"/>
      <c r="P163" s="342"/>
      <c r="Q163" s="342"/>
      <c r="R163" s="342"/>
      <c r="S163" s="342"/>
      <c r="T163" s="342"/>
      <c r="U163" s="342"/>
      <c r="V163" s="342"/>
      <c r="W163" s="342"/>
      <c r="X163" s="342"/>
    </row>
    <row r="164" spans="1:24" ht="12" customHeight="1" x14ac:dyDescent="0.2">
      <c r="A164" s="634" t="s">
        <v>1566</v>
      </c>
      <c r="B164" s="635" t="s">
        <v>945</v>
      </c>
      <c r="C164" s="635" t="s">
        <v>1496</v>
      </c>
      <c r="D164" s="636" t="s">
        <v>1567</v>
      </c>
      <c r="E164" s="637">
        <v>387491.41</v>
      </c>
      <c r="F164" s="636" t="s">
        <v>1568</v>
      </c>
      <c r="G164" s="638" t="s">
        <v>1413</v>
      </c>
      <c r="H164" s="639">
        <v>43325</v>
      </c>
      <c r="I164" s="639">
        <v>44469</v>
      </c>
      <c r="J164" s="640"/>
      <c r="K164" s="342"/>
      <c r="L164" s="342"/>
      <c r="M164" s="342"/>
      <c r="N164" s="342"/>
      <c r="O164" s="342"/>
      <c r="P164" s="342"/>
      <c r="Q164" s="342"/>
      <c r="R164" s="342"/>
      <c r="S164" s="342"/>
      <c r="T164" s="342"/>
      <c r="U164" s="342"/>
      <c r="V164" s="342"/>
      <c r="W164" s="342"/>
      <c r="X164" s="342"/>
    </row>
    <row r="165" spans="1:24" ht="12" customHeight="1" x14ac:dyDescent="0.2">
      <c r="A165" s="634" t="s">
        <v>1569</v>
      </c>
      <c r="B165" s="635" t="s">
        <v>884</v>
      </c>
      <c r="C165" s="635" t="s">
        <v>1496</v>
      </c>
      <c r="D165" s="636" t="s">
        <v>1570</v>
      </c>
      <c r="E165" s="637">
        <v>116800</v>
      </c>
      <c r="F165" s="636" t="s">
        <v>1507</v>
      </c>
      <c r="G165" s="638" t="s">
        <v>1413</v>
      </c>
      <c r="H165" s="639">
        <v>43690</v>
      </c>
      <c r="I165" s="639">
        <v>44300</v>
      </c>
      <c r="J165" s="640"/>
      <c r="K165" s="342"/>
      <c r="L165" s="342"/>
      <c r="M165" s="342"/>
      <c r="N165" s="342"/>
      <c r="O165" s="342"/>
      <c r="P165" s="342"/>
      <c r="Q165" s="342"/>
      <c r="R165" s="342"/>
      <c r="S165" s="342"/>
      <c r="T165" s="342"/>
      <c r="U165" s="342"/>
      <c r="V165" s="342"/>
      <c r="W165" s="342"/>
      <c r="X165" s="342"/>
    </row>
    <row r="166" spans="1:24" ht="12" customHeight="1" x14ac:dyDescent="0.2">
      <c r="A166" s="634" t="s">
        <v>1571</v>
      </c>
      <c r="B166" s="635" t="s">
        <v>884</v>
      </c>
      <c r="C166" s="635" t="s">
        <v>1496</v>
      </c>
      <c r="D166" s="636" t="s">
        <v>1572</v>
      </c>
      <c r="E166" s="637">
        <v>265513</v>
      </c>
      <c r="F166" s="636" t="s">
        <v>1525</v>
      </c>
      <c r="G166" s="638" t="s">
        <v>1143</v>
      </c>
      <c r="H166" s="639">
        <v>43815</v>
      </c>
      <c r="I166" s="639">
        <v>43836</v>
      </c>
      <c r="J166" s="640"/>
      <c r="K166" s="342"/>
      <c r="L166" s="342"/>
      <c r="M166" s="342"/>
      <c r="N166" s="342"/>
      <c r="O166" s="342"/>
      <c r="P166" s="342"/>
      <c r="Q166" s="342"/>
      <c r="R166" s="342"/>
      <c r="S166" s="342"/>
      <c r="T166" s="342"/>
      <c r="U166" s="342"/>
      <c r="V166" s="342"/>
      <c r="W166" s="342"/>
      <c r="X166" s="342"/>
    </row>
    <row r="167" spans="1:24" ht="12" customHeight="1" x14ac:dyDescent="0.2">
      <c r="A167" s="634" t="s">
        <v>1573</v>
      </c>
      <c r="B167" s="635" t="s">
        <v>1129</v>
      </c>
      <c r="C167" s="635" t="s">
        <v>766</v>
      </c>
      <c r="D167" s="636" t="s">
        <v>1574</v>
      </c>
      <c r="E167" s="637">
        <v>41496</v>
      </c>
      <c r="F167" s="636" t="s">
        <v>1575</v>
      </c>
      <c r="G167" s="638" t="s">
        <v>1413</v>
      </c>
      <c r="H167" s="639">
        <v>43663</v>
      </c>
      <c r="I167" s="639">
        <v>44438</v>
      </c>
      <c r="J167" s="640"/>
      <c r="K167" s="342"/>
      <c r="L167" s="342"/>
      <c r="M167" s="342"/>
      <c r="N167" s="342"/>
      <c r="O167" s="342"/>
      <c r="P167" s="342"/>
      <c r="Q167" s="342"/>
      <c r="R167" s="342"/>
      <c r="S167" s="342"/>
      <c r="T167" s="342"/>
      <c r="U167" s="342"/>
      <c r="V167" s="342"/>
      <c r="W167" s="342"/>
      <c r="X167" s="342"/>
    </row>
    <row r="168" spans="1:24" ht="12" customHeight="1" x14ac:dyDescent="0.2">
      <c r="A168" s="634" t="s">
        <v>1576</v>
      </c>
      <c r="B168" s="635" t="s">
        <v>830</v>
      </c>
      <c r="C168" s="635" t="s">
        <v>766</v>
      </c>
      <c r="D168" s="636" t="s">
        <v>1500</v>
      </c>
      <c r="E168" s="637">
        <v>114000</v>
      </c>
      <c r="F168" s="636" t="s">
        <v>1577</v>
      </c>
      <c r="G168" s="638" t="s">
        <v>1413</v>
      </c>
      <c r="H168" s="639">
        <v>44060</v>
      </c>
      <c r="I168" s="639">
        <v>44130</v>
      </c>
      <c r="J168" s="640"/>
      <c r="K168" s="342"/>
      <c r="L168" s="342"/>
      <c r="M168" s="342"/>
      <c r="N168" s="342"/>
      <c r="O168" s="342"/>
      <c r="P168" s="342"/>
      <c r="Q168" s="342"/>
      <c r="R168" s="342"/>
      <c r="S168" s="342"/>
      <c r="T168" s="342"/>
      <c r="U168" s="342"/>
      <c r="V168" s="342"/>
      <c r="W168" s="342"/>
      <c r="X168" s="342"/>
    </row>
    <row r="169" spans="1:24" ht="12" customHeight="1" x14ac:dyDescent="0.2">
      <c r="A169" s="634" t="s">
        <v>1578</v>
      </c>
      <c r="B169" s="635" t="s">
        <v>830</v>
      </c>
      <c r="C169" s="635" t="s">
        <v>766</v>
      </c>
      <c r="D169" s="636" t="s">
        <v>1579</v>
      </c>
      <c r="E169" s="637">
        <v>95478.24</v>
      </c>
      <c r="F169" s="636" t="s">
        <v>1580</v>
      </c>
      <c r="G169" s="638" t="s">
        <v>1413</v>
      </c>
      <c r="H169" s="639">
        <v>43879</v>
      </c>
      <c r="I169" s="639">
        <v>44609</v>
      </c>
      <c r="J169" s="640"/>
      <c r="K169" s="342"/>
      <c r="L169" s="342"/>
      <c r="M169" s="342"/>
      <c r="N169" s="342"/>
      <c r="O169" s="342"/>
      <c r="P169" s="342"/>
      <c r="Q169" s="342"/>
      <c r="R169" s="342"/>
      <c r="S169" s="342"/>
      <c r="T169" s="342"/>
      <c r="U169" s="342"/>
      <c r="V169" s="342"/>
      <c r="W169" s="342"/>
      <c r="X169" s="342"/>
    </row>
    <row r="170" spans="1:24" ht="12" customHeight="1" x14ac:dyDescent="0.2">
      <c r="A170" s="634" t="s">
        <v>1581</v>
      </c>
      <c r="B170" s="635" t="s">
        <v>830</v>
      </c>
      <c r="C170" s="635" t="s">
        <v>766</v>
      </c>
      <c r="D170" s="636" t="s">
        <v>1503</v>
      </c>
      <c r="E170" s="637">
        <v>198828</v>
      </c>
      <c r="F170" s="636" t="s">
        <v>1582</v>
      </c>
      <c r="G170" s="638" t="s">
        <v>1413</v>
      </c>
      <c r="H170" s="639">
        <v>43879</v>
      </c>
      <c r="I170" s="639">
        <v>44245</v>
      </c>
      <c r="J170" s="640"/>
      <c r="K170" s="342"/>
      <c r="L170" s="342"/>
      <c r="M170" s="342"/>
      <c r="N170" s="342"/>
      <c r="O170" s="342"/>
      <c r="P170" s="342"/>
      <c r="Q170" s="342"/>
      <c r="R170" s="342"/>
      <c r="S170" s="342"/>
      <c r="T170" s="342"/>
      <c r="U170" s="342"/>
      <c r="V170" s="342"/>
      <c r="W170" s="342"/>
      <c r="X170" s="342"/>
    </row>
    <row r="171" spans="1:24" ht="12" customHeight="1" x14ac:dyDescent="0.2">
      <c r="A171" s="634" t="s">
        <v>1583</v>
      </c>
      <c r="B171" s="635" t="s">
        <v>1129</v>
      </c>
      <c r="C171" s="635" t="s">
        <v>766</v>
      </c>
      <c r="D171" s="636" t="s">
        <v>1584</v>
      </c>
      <c r="E171" s="637">
        <v>42300</v>
      </c>
      <c r="F171" s="636" t="s">
        <v>1585</v>
      </c>
      <c r="G171" s="638" t="s">
        <v>1413</v>
      </c>
      <c r="H171" s="639">
        <v>43542</v>
      </c>
      <c r="I171" s="639">
        <v>44134</v>
      </c>
      <c r="J171" s="640"/>
      <c r="K171" s="342"/>
      <c r="L171" s="342"/>
      <c r="M171" s="342"/>
      <c r="N171" s="342"/>
      <c r="O171" s="342"/>
      <c r="P171" s="342"/>
      <c r="Q171" s="342"/>
      <c r="R171" s="342"/>
      <c r="S171" s="342"/>
      <c r="T171" s="342"/>
      <c r="U171" s="342"/>
      <c r="V171" s="342"/>
      <c r="W171" s="342"/>
      <c r="X171" s="342"/>
    </row>
    <row r="172" spans="1:24" ht="12" customHeight="1" x14ac:dyDescent="0.2">
      <c r="A172" s="634" t="s">
        <v>1499</v>
      </c>
      <c r="B172" s="635" t="s">
        <v>1129</v>
      </c>
      <c r="C172" s="635" t="s">
        <v>766</v>
      </c>
      <c r="D172" s="636" t="s">
        <v>1586</v>
      </c>
      <c r="E172" s="637">
        <v>157000</v>
      </c>
      <c r="F172" s="636" t="s">
        <v>1587</v>
      </c>
      <c r="G172" s="638" t="s">
        <v>1413</v>
      </c>
      <c r="H172" s="639">
        <v>43026</v>
      </c>
      <c r="I172" s="639">
        <v>44134</v>
      </c>
      <c r="J172" s="640"/>
      <c r="K172" s="342"/>
      <c r="L172" s="342"/>
      <c r="M172" s="342"/>
      <c r="N172" s="342"/>
      <c r="O172" s="342"/>
      <c r="P172" s="342"/>
      <c r="Q172" s="342"/>
      <c r="R172" s="342"/>
      <c r="S172" s="342"/>
      <c r="T172" s="342"/>
      <c r="U172" s="342"/>
      <c r="V172" s="342"/>
      <c r="W172" s="342"/>
      <c r="X172" s="342"/>
    </row>
    <row r="173" spans="1:24" ht="12" customHeight="1" x14ac:dyDescent="0.2">
      <c r="A173" s="634" t="s">
        <v>1588</v>
      </c>
      <c r="B173" s="635" t="s">
        <v>830</v>
      </c>
      <c r="C173" s="635" t="s">
        <v>766</v>
      </c>
      <c r="D173" s="636" t="s">
        <v>1509</v>
      </c>
      <c r="E173" s="637">
        <v>399950</v>
      </c>
      <c r="F173" s="636" t="s">
        <v>1589</v>
      </c>
      <c r="G173" s="638" t="s">
        <v>1143</v>
      </c>
      <c r="H173" s="639">
        <v>43756</v>
      </c>
      <c r="I173" s="639">
        <v>43826</v>
      </c>
      <c r="J173" s="640"/>
      <c r="K173" s="342"/>
      <c r="L173" s="342"/>
      <c r="M173" s="342"/>
      <c r="N173" s="342"/>
      <c r="O173" s="342"/>
      <c r="P173" s="342"/>
      <c r="Q173" s="342"/>
      <c r="R173" s="342"/>
      <c r="S173" s="342"/>
      <c r="T173" s="342"/>
      <c r="U173" s="342"/>
      <c r="V173" s="342"/>
      <c r="W173" s="342"/>
      <c r="X173" s="342"/>
    </row>
    <row r="174" spans="1:24" ht="12" customHeight="1" x14ac:dyDescent="0.2">
      <c r="A174" s="634" t="s">
        <v>1590</v>
      </c>
      <c r="B174" s="635" t="s">
        <v>1495</v>
      </c>
      <c r="C174" s="635" t="s">
        <v>1496</v>
      </c>
      <c r="D174" s="636" t="s">
        <v>1591</v>
      </c>
      <c r="E174" s="637">
        <v>89100</v>
      </c>
      <c r="F174" s="636" t="s">
        <v>1592</v>
      </c>
      <c r="G174" s="638" t="s">
        <v>1143</v>
      </c>
      <c r="H174" s="639">
        <v>43817</v>
      </c>
      <c r="I174" s="639">
        <v>43822</v>
      </c>
      <c r="J174" s="640"/>
      <c r="K174" s="342"/>
      <c r="L174" s="342"/>
      <c r="M174" s="342"/>
      <c r="N174" s="342"/>
      <c r="O174" s="342"/>
      <c r="P174" s="342"/>
      <c r="Q174" s="342"/>
      <c r="R174" s="342"/>
      <c r="S174" s="342"/>
      <c r="T174" s="342"/>
      <c r="U174" s="342"/>
      <c r="V174" s="342"/>
      <c r="W174" s="342"/>
      <c r="X174" s="342"/>
    </row>
    <row r="175" spans="1:24" ht="12" customHeight="1" x14ac:dyDescent="0.2">
      <c r="A175" s="634" t="s">
        <v>1593</v>
      </c>
      <c r="B175" s="635" t="s">
        <v>830</v>
      </c>
      <c r="C175" s="635" t="s">
        <v>766</v>
      </c>
      <c r="D175" s="636" t="s">
        <v>1521</v>
      </c>
      <c r="E175" s="637">
        <v>163856.94</v>
      </c>
      <c r="F175" s="636" t="s">
        <v>1522</v>
      </c>
      <c r="G175" s="638" t="s">
        <v>1143</v>
      </c>
      <c r="H175" s="639">
        <v>43880</v>
      </c>
      <c r="I175" s="639">
        <v>43927</v>
      </c>
      <c r="J175" s="640"/>
      <c r="K175" s="342"/>
      <c r="L175" s="342"/>
      <c r="M175" s="342"/>
      <c r="N175" s="342"/>
      <c r="O175" s="342"/>
      <c r="P175" s="342"/>
      <c r="Q175" s="342"/>
      <c r="R175" s="342"/>
      <c r="S175" s="342"/>
      <c r="T175" s="342"/>
      <c r="U175" s="342"/>
      <c r="V175" s="342"/>
      <c r="W175" s="342"/>
      <c r="X175" s="342"/>
    </row>
    <row r="176" spans="1:24" ht="12" customHeight="1" x14ac:dyDescent="0.2">
      <c r="A176" s="634" t="s">
        <v>1594</v>
      </c>
      <c r="B176" s="635" t="s">
        <v>765</v>
      </c>
      <c r="C176" s="635" t="s">
        <v>766</v>
      </c>
      <c r="D176" s="636" t="s">
        <v>1535</v>
      </c>
      <c r="E176" s="637">
        <v>1495785</v>
      </c>
      <c r="F176" s="636" t="s">
        <v>1595</v>
      </c>
      <c r="G176" s="638" t="s">
        <v>1143</v>
      </c>
      <c r="H176" s="639">
        <v>43788</v>
      </c>
      <c r="I176" s="639">
        <v>43818</v>
      </c>
      <c r="J176" s="640"/>
      <c r="K176" s="342"/>
      <c r="L176" s="342"/>
      <c r="M176" s="342"/>
      <c r="N176" s="342"/>
      <c r="O176" s="342"/>
      <c r="P176" s="342"/>
      <c r="Q176" s="342"/>
      <c r="R176" s="342"/>
      <c r="S176" s="342"/>
      <c r="T176" s="342"/>
      <c r="U176" s="342"/>
      <c r="V176" s="342"/>
      <c r="W176" s="342"/>
      <c r="X176" s="342"/>
    </row>
    <row r="177" spans="1:24" ht="12" customHeight="1" x14ac:dyDescent="0.2">
      <c r="A177" s="634" t="s">
        <v>1596</v>
      </c>
      <c r="B177" s="635" t="s">
        <v>830</v>
      </c>
      <c r="C177" s="635" t="s">
        <v>766</v>
      </c>
      <c r="D177" s="636" t="s">
        <v>1597</v>
      </c>
      <c r="E177" s="637">
        <v>295800</v>
      </c>
      <c r="F177" s="636" t="s">
        <v>1598</v>
      </c>
      <c r="G177" s="638" t="s">
        <v>1143</v>
      </c>
      <c r="H177" s="639">
        <v>42906</v>
      </c>
      <c r="I177" s="639">
        <v>44002</v>
      </c>
      <c r="J177" s="640"/>
      <c r="K177" s="342"/>
      <c r="L177" s="342"/>
      <c r="M177" s="342"/>
      <c r="N177" s="342"/>
      <c r="O177" s="342"/>
      <c r="P177" s="342"/>
      <c r="Q177" s="342"/>
      <c r="R177" s="342"/>
      <c r="S177" s="342"/>
      <c r="T177" s="342"/>
      <c r="U177" s="342"/>
      <c r="V177" s="342"/>
      <c r="W177" s="342"/>
      <c r="X177" s="342"/>
    </row>
    <row r="178" spans="1:24" ht="12" customHeight="1" x14ac:dyDescent="0.2">
      <c r="A178" s="634" t="s">
        <v>1599</v>
      </c>
      <c r="B178" s="635" t="s">
        <v>830</v>
      </c>
      <c r="C178" s="635" t="s">
        <v>1496</v>
      </c>
      <c r="D178" s="636" t="s">
        <v>1600</v>
      </c>
      <c r="E178" s="637">
        <v>49950</v>
      </c>
      <c r="F178" s="636" t="s">
        <v>1601</v>
      </c>
      <c r="G178" s="638" t="s">
        <v>1413</v>
      </c>
      <c r="H178" s="639">
        <v>44063</v>
      </c>
      <c r="I178" s="639">
        <v>44198</v>
      </c>
      <c r="J178" s="640"/>
      <c r="K178" s="342"/>
      <c r="L178" s="342"/>
      <c r="M178" s="342"/>
      <c r="N178" s="342"/>
      <c r="O178" s="342"/>
      <c r="P178" s="342"/>
      <c r="Q178" s="342"/>
      <c r="R178" s="342"/>
      <c r="S178" s="342"/>
      <c r="T178" s="342"/>
      <c r="U178" s="342"/>
      <c r="V178" s="342"/>
      <c r="W178" s="342"/>
      <c r="X178" s="342"/>
    </row>
    <row r="179" spans="1:24" ht="12" customHeight="1" x14ac:dyDescent="0.2">
      <c r="A179" s="634" t="s">
        <v>1602</v>
      </c>
      <c r="B179" s="635" t="s">
        <v>830</v>
      </c>
      <c r="C179" s="635" t="s">
        <v>766</v>
      </c>
      <c r="D179" s="636" t="s">
        <v>1603</v>
      </c>
      <c r="E179" s="637">
        <v>59914</v>
      </c>
      <c r="F179" s="636" t="s">
        <v>1604</v>
      </c>
      <c r="G179" s="638" t="s">
        <v>1143</v>
      </c>
      <c r="H179" s="639">
        <v>43486</v>
      </c>
      <c r="I179" s="639">
        <v>43522</v>
      </c>
      <c r="J179" s="640"/>
      <c r="K179" s="342"/>
      <c r="L179" s="342"/>
      <c r="M179" s="342"/>
      <c r="N179" s="342"/>
      <c r="O179" s="342"/>
      <c r="P179" s="342"/>
      <c r="Q179" s="342"/>
      <c r="R179" s="342"/>
      <c r="S179" s="342"/>
      <c r="T179" s="342"/>
      <c r="U179" s="342"/>
      <c r="V179" s="342"/>
      <c r="W179" s="342"/>
      <c r="X179" s="342"/>
    </row>
    <row r="180" spans="1:24" ht="12" customHeight="1" x14ac:dyDescent="0.2">
      <c r="A180" s="634" t="s">
        <v>1605</v>
      </c>
      <c r="B180" s="635" t="s">
        <v>830</v>
      </c>
      <c r="C180" s="635" t="s">
        <v>766</v>
      </c>
      <c r="D180" s="636" t="s">
        <v>1606</v>
      </c>
      <c r="E180" s="637">
        <v>78728.460000000006</v>
      </c>
      <c r="F180" s="636" t="s">
        <v>1607</v>
      </c>
      <c r="G180" s="638" t="s">
        <v>1143</v>
      </c>
      <c r="H180" s="639">
        <v>43545</v>
      </c>
      <c r="I180" s="639">
        <v>43590</v>
      </c>
      <c r="J180" s="640"/>
      <c r="K180" s="342"/>
      <c r="L180" s="342"/>
      <c r="M180" s="342"/>
      <c r="N180" s="342"/>
      <c r="O180" s="342"/>
      <c r="P180" s="342"/>
      <c r="Q180" s="342"/>
      <c r="R180" s="342"/>
      <c r="S180" s="342"/>
      <c r="T180" s="342"/>
      <c r="U180" s="342"/>
      <c r="V180" s="342"/>
      <c r="W180" s="342"/>
      <c r="X180" s="342"/>
    </row>
    <row r="181" spans="1:24" ht="12" customHeight="1" x14ac:dyDescent="0.2">
      <c r="A181" s="634" t="s">
        <v>1608</v>
      </c>
      <c r="B181" s="635" t="s">
        <v>884</v>
      </c>
      <c r="C181" s="635" t="s">
        <v>1496</v>
      </c>
      <c r="D181" s="636" t="s">
        <v>1609</v>
      </c>
      <c r="E181" s="637">
        <v>161832.20000000001</v>
      </c>
      <c r="F181" s="636" t="s">
        <v>1610</v>
      </c>
      <c r="G181" s="638" t="s">
        <v>1143</v>
      </c>
      <c r="H181" s="639">
        <v>44033</v>
      </c>
      <c r="I181" s="639">
        <v>44398</v>
      </c>
      <c r="J181" s="640"/>
      <c r="K181" s="342"/>
      <c r="L181" s="342"/>
      <c r="M181" s="342"/>
      <c r="N181" s="342"/>
      <c r="O181" s="342"/>
      <c r="P181" s="342"/>
      <c r="Q181" s="342"/>
      <c r="R181" s="342"/>
      <c r="S181" s="342"/>
      <c r="T181" s="342"/>
      <c r="U181" s="342"/>
      <c r="V181" s="342"/>
      <c r="W181" s="342"/>
      <c r="X181" s="342"/>
    </row>
    <row r="182" spans="1:24" ht="12" customHeight="1" x14ac:dyDescent="0.2">
      <c r="A182" s="634" t="s">
        <v>1611</v>
      </c>
      <c r="B182" s="635" t="s">
        <v>945</v>
      </c>
      <c r="C182" s="635" t="s">
        <v>766</v>
      </c>
      <c r="D182" s="636" t="s">
        <v>1612</v>
      </c>
      <c r="E182" s="637">
        <v>1647905.94</v>
      </c>
      <c r="F182" s="636" t="s">
        <v>1613</v>
      </c>
      <c r="G182" s="638" t="s">
        <v>1413</v>
      </c>
      <c r="H182" s="639">
        <v>43426</v>
      </c>
      <c r="I182" s="639">
        <v>44164</v>
      </c>
      <c r="J182" s="640"/>
      <c r="K182" s="342"/>
      <c r="L182" s="342"/>
      <c r="M182" s="342"/>
      <c r="N182" s="342"/>
      <c r="O182" s="342"/>
      <c r="P182" s="342"/>
      <c r="Q182" s="342"/>
      <c r="R182" s="342"/>
      <c r="S182" s="342"/>
      <c r="T182" s="342"/>
      <c r="U182" s="342"/>
      <c r="V182" s="342"/>
      <c r="W182" s="342"/>
      <c r="X182" s="342"/>
    </row>
    <row r="183" spans="1:24" ht="12" customHeight="1" x14ac:dyDescent="0.2">
      <c r="A183" s="634" t="s">
        <v>1614</v>
      </c>
      <c r="B183" s="635" t="s">
        <v>1495</v>
      </c>
      <c r="C183" s="635" t="s">
        <v>1496</v>
      </c>
      <c r="D183" s="636" t="s">
        <v>1615</v>
      </c>
      <c r="E183" s="637">
        <v>300000</v>
      </c>
      <c r="F183" s="636" t="s">
        <v>1616</v>
      </c>
      <c r="G183" s="638" t="s">
        <v>1413</v>
      </c>
      <c r="H183" s="639">
        <v>43700</v>
      </c>
      <c r="I183" s="639">
        <v>44841</v>
      </c>
      <c r="J183" s="640"/>
      <c r="K183" s="342"/>
      <c r="L183" s="342"/>
      <c r="M183" s="342"/>
      <c r="N183" s="342"/>
      <c r="O183" s="342"/>
      <c r="P183" s="342"/>
      <c r="Q183" s="342"/>
      <c r="R183" s="342"/>
      <c r="S183" s="342"/>
      <c r="T183" s="342"/>
      <c r="U183" s="342"/>
      <c r="V183" s="342"/>
      <c r="W183" s="342"/>
      <c r="X183" s="342"/>
    </row>
    <row r="184" spans="1:24" ht="12" customHeight="1" x14ac:dyDescent="0.2">
      <c r="A184" s="634" t="s">
        <v>1617</v>
      </c>
      <c r="B184" s="635" t="s">
        <v>1495</v>
      </c>
      <c r="C184" s="635" t="s">
        <v>1496</v>
      </c>
      <c r="D184" s="636" t="s">
        <v>1618</v>
      </c>
      <c r="E184" s="637">
        <v>97310</v>
      </c>
      <c r="F184" s="636" t="s">
        <v>1619</v>
      </c>
      <c r="G184" s="638" t="s">
        <v>1413</v>
      </c>
      <c r="H184" s="639">
        <v>43731</v>
      </c>
      <c r="I184" s="639">
        <v>44105</v>
      </c>
      <c r="J184" s="640"/>
      <c r="K184" s="342"/>
      <c r="L184" s="342"/>
      <c r="M184" s="342"/>
      <c r="N184" s="342"/>
      <c r="O184" s="342"/>
      <c r="P184" s="342"/>
      <c r="Q184" s="342"/>
      <c r="R184" s="342"/>
      <c r="S184" s="342"/>
      <c r="T184" s="342"/>
      <c r="U184" s="342"/>
      <c r="V184" s="342"/>
      <c r="W184" s="342"/>
      <c r="X184" s="342"/>
    </row>
    <row r="185" spans="1:24" ht="12" customHeight="1" x14ac:dyDescent="0.2">
      <c r="A185" s="634" t="s">
        <v>1620</v>
      </c>
      <c r="B185" s="635" t="s">
        <v>1495</v>
      </c>
      <c r="C185" s="635" t="s">
        <v>1496</v>
      </c>
      <c r="D185" s="636" t="s">
        <v>1621</v>
      </c>
      <c r="E185" s="637">
        <v>255748</v>
      </c>
      <c r="F185" s="636" t="s">
        <v>1622</v>
      </c>
      <c r="G185" s="638" t="s">
        <v>1143</v>
      </c>
      <c r="H185" s="639">
        <v>43822</v>
      </c>
      <c r="I185" s="639">
        <v>43828</v>
      </c>
      <c r="J185" s="640"/>
      <c r="K185" s="342"/>
      <c r="L185" s="342"/>
      <c r="M185" s="342"/>
      <c r="N185" s="342"/>
      <c r="O185" s="342"/>
      <c r="P185" s="342"/>
      <c r="Q185" s="342"/>
      <c r="R185" s="342"/>
      <c r="S185" s="342"/>
      <c r="T185" s="342"/>
      <c r="U185" s="342"/>
      <c r="V185" s="342"/>
      <c r="W185" s="342"/>
      <c r="X185" s="342"/>
    </row>
    <row r="186" spans="1:24" ht="12" customHeight="1" x14ac:dyDescent="0.2">
      <c r="A186" s="634" t="s">
        <v>1623</v>
      </c>
      <c r="B186" s="635" t="s">
        <v>1495</v>
      </c>
      <c r="C186" s="635" t="s">
        <v>1496</v>
      </c>
      <c r="D186" s="636" t="s">
        <v>1624</v>
      </c>
      <c r="E186" s="637">
        <v>99999.99</v>
      </c>
      <c r="F186" s="636" t="s">
        <v>1625</v>
      </c>
      <c r="G186" s="638" t="s">
        <v>1143</v>
      </c>
      <c r="H186" s="639">
        <v>44189</v>
      </c>
      <c r="I186" s="639">
        <v>43832</v>
      </c>
      <c r="J186" s="640"/>
      <c r="K186" s="342"/>
      <c r="L186" s="342"/>
      <c r="M186" s="342"/>
      <c r="N186" s="342"/>
      <c r="O186" s="342"/>
      <c r="P186" s="342"/>
      <c r="Q186" s="342"/>
      <c r="R186" s="342"/>
      <c r="S186" s="342"/>
      <c r="T186" s="342"/>
      <c r="U186" s="342"/>
      <c r="V186" s="342"/>
      <c r="W186" s="342"/>
      <c r="X186" s="342"/>
    </row>
    <row r="187" spans="1:24" ht="12" customHeight="1" x14ac:dyDescent="0.2">
      <c r="A187" s="634" t="s">
        <v>1626</v>
      </c>
      <c r="B187" s="635" t="s">
        <v>884</v>
      </c>
      <c r="C187" s="635" t="s">
        <v>1496</v>
      </c>
      <c r="D187" s="636" t="s">
        <v>1627</v>
      </c>
      <c r="E187" s="637">
        <v>142000</v>
      </c>
      <c r="F187" s="636" t="s">
        <v>1507</v>
      </c>
      <c r="G187" s="638" t="s">
        <v>1413</v>
      </c>
      <c r="H187" s="639">
        <v>43763</v>
      </c>
      <c r="I187" s="639">
        <v>44132</v>
      </c>
      <c r="J187" s="640"/>
      <c r="K187" s="342"/>
      <c r="L187" s="342"/>
      <c r="M187" s="342"/>
      <c r="N187" s="342"/>
      <c r="O187" s="342"/>
      <c r="P187" s="342"/>
      <c r="Q187" s="342"/>
      <c r="R187" s="342"/>
      <c r="S187" s="342"/>
      <c r="T187" s="342"/>
      <c r="U187" s="342"/>
      <c r="V187" s="342"/>
      <c r="W187" s="342"/>
      <c r="X187" s="342"/>
    </row>
    <row r="188" spans="1:24" ht="12" customHeight="1" x14ac:dyDescent="0.2">
      <c r="A188" s="634" t="s">
        <v>1628</v>
      </c>
      <c r="B188" s="635" t="s">
        <v>884</v>
      </c>
      <c r="C188" s="635" t="s">
        <v>1496</v>
      </c>
      <c r="D188" s="636" t="s">
        <v>1629</v>
      </c>
      <c r="E188" s="637">
        <v>142000</v>
      </c>
      <c r="F188" s="636" t="s">
        <v>1507</v>
      </c>
      <c r="G188" s="638" t="s">
        <v>1413</v>
      </c>
      <c r="H188" s="639">
        <v>43763</v>
      </c>
      <c r="I188" s="639">
        <v>44132</v>
      </c>
      <c r="J188" s="640"/>
      <c r="K188" s="342"/>
      <c r="L188" s="342"/>
      <c r="M188" s="342"/>
      <c r="N188" s="342"/>
      <c r="O188" s="342"/>
      <c r="P188" s="342"/>
      <c r="Q188" s="342"/>
      <c r="R188" s="342"/>
      <c r="S188" s="342"/>
      <c r="T188" s="342"/>
      <c r="U188" s="342"/>
      <c r="V188" s="342"/>
      <c r="W188" s="342"/>
      <c r="X188" s="342"/>
    </row>
    <row r="189" spans="1:24" ht="12" customHeight="1" x14ac:dyDescent="0.2">
      <c r="A189" s="634" t="s">
        <v>1630</v>
      </c>
      <c r="B189" s="635" t="s">
        <v>830</v>
      </c>
      <c r="C189" s="635" t="s">
        <v>1496</v>
      </c>
      <c r="D189" s="636" t="s">
        <v>1564</v>
      </c>
      <c r="E189" s="637">
        <v>41882.400000000001</v>
      </c>
      <c r="F189" s="636" t="s">
        <v>1565</v>
      </c>
      <c r="G189" s="638" t="s">
        <v>1413</v>
      </c>
      <c r="H189" s="639">
        <v>43887</v>
      </c>
      <c r="I189" s="639">
        <v>44252</v>
      </c>
      <c r="J189" s="640"/>
      <c r="K189" s="342"/>
      <c r="L189" s="342"/>
      <c r="M189" s="342"/>
      <c r="N189" s="342"/>
      <c r="O189" s="342"/>
      <c r="P189" s="342"/>
      <c r="Q189" s="342"/>
      <c r="R189" s="342"/>
      <c r="S189" s="342"/>
      <c r="T189" s="342"/>
      <c r="U189" s="342"/>
      <c r="V189" s="342"/>
      <c r="W189" s="342"/>
      <c r="X189" s="342"/>
    </row>
    <row r="190" spans="1:24" ht="12" customHeight="1" x14ac:dyDescent="0.2">
      <c r="A190" s="634" t="s">
        <v>1631</v>
      </c>
      <c r="B190" s="635" t="s">
        <v>830</v>
      </c>
      <c r="C190" s="635" t="s">
        <v>1496</v>
      </c>
      <c r="D190" s="636" t="s">
        <v>1632</v>
      </c>
      <c r="E190" s="637">
        <v>3033000</v>
      </c>
      <c r="F190" s="636" t="s">
        <v>1633</v>
      </c>
      <c r="G190" s="638" t="s">
        <v>1413</v>
      </c>
      <c r="H190" s="639">
        <v>43887</v>
      </c>
      <c r="I190" s="639">
        <v>44995</v>
      </c>
      <c r="J190" s="640"/>
      <c r="K190" s="342"/>
      <c r="L190" s="342"/>
      <c r="M190" s="342"/>
      <c r="N190" s="342"/>
      <c r="O190" s="342"/>
      <c r="P190" s="342"/>
      <c r="Q190" s="342"/>
      <c r="R190" s="342"/>
      <c r="S190" s="342"/>
      <c r="T190" s="342"/>
      <c r="U190" s="342"/>
      <c r="V190" s="342"/>
      <c r="W190" s="342"/>
      <c r="X190" s="342"/>
    </row>
    <row r="191" spans="1:24" ht="12" customHeight="1" x14ac:dyDescent="0.2">
      <c r="A191" s="634" t="s">
        <v>1634</v>
      </c>
      <c r="B191" s="635" t="s">
        <v>830</v>
      </c>
      <c r="C191" s="635" t="s">
        <v>766</v>
      </c>
      <c r="D191" s="636" t="s">
        <v>1579</v>
      </c>
      <c r="E191" s="637">
        <v>32980</v>
      </c>
      <c r="F191" s="636" t="s">
        <v>1635</v>
      </c>
      <c r="G191" s="638" t="s">
        <v>1143</v>
      </c>
      <c r="H191" s="639">
        <v>43277</v>
      </c>
      <c r="I191" s="639">
        <v>44008</v>
      </c>
      <c r="J191" s="640"/>
      <c r="K191" s="342"/>
      <c r="L191" s="342"/>
      <c r="M191" s="342"/>
      <c r="N191" s="342"/>
      <c r="O191" s="342"/>
      <c r="P191" s="342"/>
      <c r="Q191" s="342"/>
      <c r="R191" s="342"/>
      <c r="S191" s="342"/>
      <c r="T191" s="342"/>
      <c r="U191" s="342"/>
      <c r="V191" s="342"/>
      <c r="W191" s="342"/>
      <c r="X191" s="342"/>
    </row>
    <row r="192" spans="1:24" ht="12" customHeight="1" x14ac:dyDescent="0.2">
      <c r="A192" s="634" t="s">
        <v>1636</v>
      </c>
      <c r="B192" s="635" t="s">
        <v>1527</v>
      </c>
      <c r="C192" s="635" t="s">
        <v>1496</v>
      </c>
      <c r="D192" s="636" t="s">
        <v>1637</v>
      </c>
      <c r="E192" s="637">
        <v>1680322.08</v>
      </c>
      <c r="F192" s="636" t="s">
        <v>1638</v>
      </c>
      <c r="G192" s="638" t="s">
        <v>1413</v>
      </c>
      <c r="H192" s="639">
        <v>43642</v>
      </c>
      <c r="I192" s="639">
        <v>44742</v>
      </c>
      <c r="J192" s="640"/>
      <c r="K192" s="342"/>
      <c r="L192" s="342"/>
      <c r="M192" s="342"/>
      <c r="N192" s="342"/>
      <c r="O192" s="342"/>
      <c r="P192" s="342"/>
      <c r="Q192" s="342"/>
      <c r="R192" s="342"/>
      <c r="S192" s="342"/>
      <c r="T192" s="342"/>
      <c r="U192" s="342"/>
      <c r="V192" s="342"/>
      <c r="W192" s="342"/>
      <c r="X192" s="342"/>
    </row>
    <row r="193" spans="1:24" ht="12" customHeight="1" x14ac:dyDescent="0.2">
      <c r="A193" s="634" t="s">
        <v>1639</v>
      </c>
      <c r="B193" s="635" t="s">
        <v>945</v>
      </c>
      <c r="C193" s="635" t="s">
        <v>766</v>
      </c>
      <c r="D193" s="636" t="s">
        <v>1584</v>
      </c>
      <c r="E193" s="637">
        <v>634500</v>
      </c>
      <c r="F193" s="636" t="s">
        <v>1640</v>
      </c>
      <c r="G193" s="638" t="s">
        <v>1413</v>
      </c>
      <c r="H193" s="639">
        <v>43734</v>
      </c>
      <c r="I193" s="639">
        <v>44480</v>
      </c>
      <c r="J193" s="640"/>
      <c r="K193" s="342"/>
      <c r="L193" s="342"/>
      <c r="M193" s="342"/>
      <c r="N193" s="342"/>
      <c r="O193" s="342"/>
      <c r="P193" s="342"/>
      <c r="Q193" s="342"/>
      <c r="R193" s="342"/>
      <c r="S193" s="342"/>
      <c r="T193" s="342"/>
      <c r="U193" s="342"/>
      <c r="V193" s="342"/>
      <c r="W193" s="342"/>
      <c r="X193" s="342"/>
    </row>
    <row r="194" spans="1:24" ht="12" customHeight="1" x14ac:dyDescent="0.2">
      <c r="A194" s="634" t="s">
        <v>1641</v>
      </c>
      <c r="B194" s="635" t="s">
        <v>830</v>
      </c>
      <c r="C194" s="635" t="s">
        <v>766</v>
      </c>
      <c r="D194" s="636" t="s">
        <v>1642</v>
      </c>
      <c r="E194" s="637">
        <v>56357.68</v>
      </c>
      <c r="F194" s="636" t="s">
        <v>1643</v>
      </c>
      <c r="G194" s="638" t="s">
        <v>1413</v>
      </c>
      <c r="H194" s="639">
        <v>43217</v>
      </c>
      <c r="I194" s="639">
        <v>44319</v>
      </c>
      <c r="J194" s="640"/>
      <c r="K194" s="342"/>
      <c r="L194" s="342"/>
      <c r="M194" s="342"/>
      <c r="N194" s="342"/>
      <c r="O194" s="342"/>
      <c r="P194" s="342"/>
      <c r="Q194" s="342"/>
      <c r="R194" s="342"/>
      <c r="S194" s="342"/>
      <c r="T194" s="342"/>
      <c r="U194" s="342"/>
      <c r="V194" s="342"/>
      <c r="W194" s="342"/>
      <c r="X194" s="342"/>
    </row>
    <row r="195" spans="1:24" ht="12" customHeight="1" x14ac:dyDescent="0.2">
      <c r="A195" s="634" t="s">
        <v>1644</v>
      </c>
      <c r="B195" s="635" t="s">
        <v>830</v>
      </c>
      <c r="C195" s="635" t="s">
        <v>766</v>
      </c>
      <c r="D195" s="636" t="s">
        <v>1535</v>
      </c>
      <c r="E195" s="637">
        <v>54700</v>
      </c>
      <c r="F195" s="636" t="s">
        <v>1645</v>
      </c>
      <c r="G195" s="638" t="s">
        <v>1143</v>
      </c>
      <c r="H195" s="639">
        <v>43643</v>
      </c>
      <c r="I195" s="639">
        <v>44012</v>
      </c>
      <c r="J195" s="640"/>
      <c r="K195" s="342"/>
      <c r="L195" s="342"/>
      <c r="M195" s="342"/>
      <c r="N195" s="342"/>
      <c r="O195" s="342"/>
      <c r="P195" s="342"/>
      <c r="Q195" s="342"/>
      <c r="R195" s="342"/>
      <c r="S195" s="342"/>
      <c r="T195" s="342"/>
      <c r="U195" s="342"/>
      <c r="V195" s="342"/>
      <c r="W195" s="342"/>
      <c r="X195" s="342"/>
    </row>
    <row r="196" spans="1:24" ht="12" customHeight="1" x14ac:dyDescent="0.2">
      <c r="A196" s="634" t="s">
        <v>1646</v>
      </c>
      <c r="B196" s="635" t="s">
        <v>830</v>
      </c>
      <c r="C196" s="635" t="s">
        <v>1496</v>
      </c>
      <c r="D196" s="636" t="s">
        <v>1647</v>
      </c>
      <c r="E196" s="637">
        <v>44450</v>
      </c>
      <c r="F196" s="636" t="s">
        <v>1648</v>
      </c>
      <c r="G196" s="638" t="s">
        <v>1413</v>
      </c>
      <c r="H196" s="639">
        <v>44070</v>
      </c>
      <c r="I196" s="639">
        <v>44227</v>
      </c>
      <c r="J196" s="640"/>
      <c r="K196" s="342"/>
      <c r="L196" s="342"/>
      <c r="M196" s="342"/>
      <c r="N196" s="342"/>
      <c r="O196" s="342"/>
      <c r="P196" s="342"/>
      <c r="Q196" s="342"/>
      <c r="R196" s="342"/>
      <c r="S196" s="342"/>
      <c r="T196" s="342"/>
      <c r="U196" s="342"/>
      <c r="V196" s="342"/>
      <c r="W196" s="342"/>
      <c r="X196" s="342"/>
    </row>
    <row r="197" spans="1:24" ht="12" customHeight="1" x14ac:dyDescent="0.2">
      <c r="A197" s="634" t="s">
        <v>1649</v>
      </c>
      <c r="B197" s="635" t="s">
        <v>884</v>
      </c>
      <c r="C197" s="635" t="s">
        <v>1496</v>
      </c>
      <c r="D197" s="636" t="s">
        <v>1650</v>
      </c>
      <c r="E197" s="637">
        <v>136200</v>
      </c>
      <c r="F197" s="636" t="s">
        <v>1651</v>
      </c>
      <c r="G197" s="638" t="s">
        <v>1413</v>
      </c>
      <c r="H197" s="639">
        <v>43735</v>
      </c>
      <c r="I197" s="639">
        <v>44108</v>
      </c>
      <c r="J197" s="640"/>
      <c r="K197" s="342"/>
      <c r="L197" s="342"/>
      <c r="M197" s="342"/>
      <c r="N197" s="342"/>
      <c r="O197" s="342"/>
      <c r="P197" s="342"/>
      <c r="Q197" s="342"/>
      <c r="R197" s="342"/>
      <c r="S197" s="342"/>
      <c r="T197" s="342"/>
      <c r="U197" s="342"/>
      <c r="V197" s="342"/>
      <c r="W197" s="342"/>
      <c r="X197" s="342"/>
    </row>
    <row r="198" spans="1:24" ht="12" customHeight="1" x14ac:dyDescent="0.2">
      <c r="A198" s="634" t="s">
        <v>1631</v>
      </c>
      <c r="B198" s="635" t="s">
        <v>884</v>
      </c>
      <c r="C198" s="635" t="s">
        <v>1496</v>
      </c>
      <c r="D198" s="636" t="s">
        <v>1652</v>
      </c>
      <c r="E198" s="637">
        <v>172398.66</v>
      </c>
      <c r="F198" s="636" t="s">
        <v>1653</v>
      </c>
      <c r="G198" s="638" t="s">
        <v>1143</v>
      </c>
      <c r="H198" s="639">
        <v>43796</v>
      </c>
      <c r="I198" s="639">
        <v>43888</v>
      </c>
      <c r="J198" s="640"/>
      <c r="K198" s="342"/>
      <c r="L198" s="342"/>
      <c r="M198" s="342"/>
      <c r="N198" s="342"/>
      <c r="O198" s="342"/>
      <c r="P198" s="342"/>
      <c r="Q198" s="342"/>
      <c r="R198" s="342"/>
      <c r="S198" s="342"/>
      <c r="T198" s="342"/>
      <c r="U198" s="342"/>
      <c r="V198" s="342"/>
      <c r="W198" s="342"/>
      <c r="X198" s="342"/>
    </row>
    <row r="199" spans="1:24" ht="12" customHeight="1" x14ac:dyDescent="0.2">
      <c r="A199" s="634" t="s">
        <v>1654</v>
      </c>
      <c r="B199" s="635" t="s">
        <v>1495</v>
      </c>
      <c r="C199" s="635" t="s">
        <v>1496</v>
      </c>
      <c r="D199" s="636" t="s">
        <v>1655</v>
      </c>
      <c r="E199" s="637">
        <v>105264</v>
      </c>
      <c r="F199" s="636" t="s">
        <v>1656</v>
      </c>
      <c r="G199" s="638" t="s">
        <v>1413</v>
      </c>
      <c r="H199" s="639">
        <v>43524</v>
      </c>
      <c r="I199" s="639">
        <v>43889</v>
      </c>
      <c r="J199" s="645" t="s">
        <v>1530</v>
      </c>
      <c r="K199" s="342"/>
      <c r="L199" s="342"/>
      <c r="M199" s="342"/>
      <c r="N199" s="342"/>
      <c r="O199" s="342"/>
      <c r="P199" s="342"/>
      <c r="Q199" s="342"/>
      <c r="R199" s="342"/>
      <c r="S199" s="342"/>
      <c r="T199" s="342"/>
      <c r="U199" s="342"/>
      <c r="V199" s="342"/>
      <c r="W199" s="342"/>
      <c r="X199" s="342"/>
    </row>
    <row r="200" spans="1:24" ht="12" customHeight="1" x14ac:dyDescent="0.2">
      <c r="A200" s="634" t="s">
        <v>1657</v>
      </c>
      <c r="B200" s="635" t="s">
        <v>830</v>
      </c>
      <c r="C200" s="635" t="s">
        <v>766</v>
      </c>
      <c r="D200" s="636" t="s">
        <v>1584</v>
      </c>
      <c r="E200" s="637">
        <v>289450.09000000003</v>
      </c>
      <c r="F200" s="636" t="s">
        <v>1658</v>
      </c>
      <c r="G200" s="638" t="s">
        <v>1413</v>
      </c>
      <c r="H200" s="639">
        <v>43552</v>
      </c>
      <c r="I200" s="639">
        <v>44294</v>
      </c>
      <c r="J200" s="640"/>
      <c r="K200" s="342"/>
      <c r="L200" s="342"/>
      <c r="M200" s="342"/>
      <c r="N200" s="342"/>
      <c r="O200" s="342"/>
      <c r="P200" s="342"/>
      <c r="Q200" s="342"/>
      <c r="R200" s="342"/>
      <c r="S200" s="342"/>
      <c r="T200" s="342"/>
      <c r="U200" s="342"/>
      <c r="V200" s="342"/>
      <c r="W200" s="342"/>
      <c r="X200" s="342"/>
    </row>
    <row r="201" spans="1:24" ht="12" customHeight="1" x14ac:dyDescent="0.2">
      <c r="A201" s="634" t="s">
        <v>1659</v>
      </c>
      <c r="B201" s="635" t="s">
        <v>830</v>
      </c>
      <c r="C201" s="635" t="s">
        <v>766</v>
      </c>
      <c r="D201" s="636" t="s">
        <v>1660</v>
      </c>
      <c r="E201" s="637">
        <v>63500</v>
      </c>
      <c r="F201" s="636" t="s">
        <v>1661</v>
      </c>
      <c r="G201" s="638" t="s">
        <v>1143</v>
      </c>
      <c r="H201" s="639">
        <v>43705</v>
      </c>
      <c r="I201" s="639">
        <v>43754</v>
      </c>
      <c r="J201" s="640"/>
      <c r="K201" s="342"/>
      <c r="L201" s="342"/>
      <c r="M201" s="342"/>
      <c r="N201" s="342"/>
      <c r="O201" s="342"/>
      <c r="P201" s="342"/>
      <c r="Q201" s="342"/>
      <c r="R201" s="342"/>
      <c r="S201" s="342"/>
      <c r="T201" s="342"/>
      <c r="U201" s="342"/>
      <c r="V201" s="342"/>
      <c r="W201" s="342"/>
      <c r="X201" s="342"/>
    </row>
    <row r="202" spans="1:24" ht="12" customHeight="1" x14ac:dyDescent="0.2">
      <c r="A202" s="634" t="s">
        <v>1662</v>
      </c>
      <c r="B202" s="635" t="s">
        <v>830</v>
      </c>
      <c r="C202" s="635" t="s">
        <v>1496</v>
      </c>
      <c r="D202" s="636" t="s">
        <v>1564</v>
      </c>
      <c r="E202" s="637">
        <v>94846.81</v>
      </c>
      <c r="F202" s="636" t="s">
        <v>1565</v>
      </c>
      <c r="G202" s="638" t="s">
        <v>1413</v>
      </c>
      <c r="H202" s="639">
        <v>43859</v>
      </c>
      <c r="I202" s="639">
        <v>44252</v>
      </c>
      <c r="J202" s="640"/>
      <c r="K202" s="342"/>
      <c r="L202" s="342"/>
      <c r="M202" s="342"/>
      <c r="N202" s="342"/>
      <c r="O202" s="342"/>
      <c r="P202" s="342"/>
      <c r="Q202" s="342"/>
      <c r="R202" s="342"/>
      <c r="S202" s="342"/>
      <c r="T202" s="342"/>
      <c r="U202" s="342"/>
      <c r="V202" s="342"/>
      <c r="W202" s="342"/>
      <c r="X202" s="342"/>
    </row>
    <row r="203" spans="1:24" ht="12" customHeight="1" x14ac:dyDescent="0.2">
      <c r="A203" s="634" t="s">
        <v>1494</v>
      </c>
      <c r="B203" s="635" t="s">
        <v>1495</v>
      </c>
      <c r="C203" s="635" t="s">
        <v>1496</v>
      </c>
      <c r="D203" s="636" t="s">
        <v>1497</v>
      </c>
      <c r="E203" s="637">
        <v>99049.91</v>
      </c>
      <c r="F203" s="636" t="s">
        <v>1663</v>
      </c>
      <c r="G203" s="638" t="s">
        <v>1143</v>
      </c>
      <c r="H203" s="639">
        <v>43798</v>
      </c>
      <c r="I203" s="639">
        <v>43823</v>
      </c>
      <c r="J203" s="640"/>
      <c r="K203" s="342"/>
      <c r="L203" s="342"/>
      <c r="M203" s="342"/>
      <c r="N203" s="342"/>
      <c r="O203" s="342"/>
      <c r="P203" s="342"/>
      <c r="Q203" s="342"/>
      <c r="R203" s="342"/>
      <c r="S203" s="342"/>
      <c r="T203" s="342"/>
      <c r="U203" s="342"/>
      <c r="V203" s="342"/>
      <c r="W203" s="342"/>
      <c r="X203" s="342"/>
    </row>
    <row r="204" spans="1:24" ht="12" customHeight="1" x14ac:dyDescent="0.2">
      <c r="A204" s="634" t="s">
        <v>1664</v>
      </c>
      <c r="B204" s="635" t="s">
        <v>945</v>
      </c>
      <c r="C204" s="635" t="s">
        <v>766</v>
      </c>
      <c r="D204" s="636" t="s">
        <v>1665</v>
      </c>
      <c r="E204" s="637">
        <v>432533.35</v>
      </c>
      <c r="F204" s="636" t="s">
        <v>1643</v>
      </c>
      <c r="G204" s="638" t="s">
        <v>1143</v>
      </c>
      <c r="H204" s="639">
        <v>43311</v>
      </c>
      <c r="I204" s="639">
        <v>44066</v>
      </c>
      <c r="J204" s="640"/>
      <c r="K204" s="342"/>
      <c r="L204" s="342"/>
      <c r="M204" s="342"/>
      <c r="N204" s="342"/>
      <c r="O204" s="342"/>
      <c r="P204" s="342"/>
      <c r="Q204" s="342"/>
      <c r="R204" s="342"/>
      <c r="S204" s="342"/>
      <c r="T204" s="342"/>
      <c r="U204" s="342"/>
      <c r="V204" s="342"/>
      <c r="W204" s="342"/>
      <c r="X204" s="342"/>
    </row>
    <row r="205" spans="1:24" ht="12" customHeight="1" x14ac:dyDescent="0.2">
      <c r="A205" s="634" t="s">
        <v>1666</v>
      </c>
      <c r="B205" s="635" t="s">
        <v>1129</v>
      </c>
      <c r="C205" s="635" t="s">
        <v>766</v>
      </c>
      <c r="D205" s="636" t="s">
        <v>1521</v>
      </c>
      <c r="E205" s="637">
        <v>37170</v>
      </c>
      <c r="F205" s="636" t="s">
        <v>1667</v>
      </c>
      <c r="G205" s="638" t="s">
        <v>1413</v>
      </c>
      <c r="H205" s="639">
        <v>43616</v>
      </c>
      <c r="I205" s="639">
        <v>45168</v>
      </c>
      <c r="J205" s="640"/>
      <c r="K205" s="342"/>
      <c r="L205" s="342"/>
      <c r="M205" s="342"/>
      <c r="N205" s="342"/>
      <c r="O205" s="342"/>
      <c r="P205" s="342"/>
      <c r="Q205" s="342"/>
      <c r="R205" s="342"/>
      <c r="S205" s="342"/>
      <c r="T205" s="342"/>
      <c r="U205" s="342"/>
      <c r="V205" s="342"/>
      <c r="W205" s="342"/>
      <c r="X205" s="342"/>
    </row>
    <row r="206" spans="1:24" ht="12" customHeight="1" x14ac:dyDescent="0.2">
      <c r="A206" s="634" t="s">
        <v>1668</v>
      </c>
      <c r="B206" s="635" t="s">
        <v>884</v>
      </c>
      <c r="C206" s="635" t="s">
        <v>766</v>
      </c>
      <c r="D206" s="636" t="s">
        <v>1669</v>
      </c>
      <c r="E206" s="637">
        <v>168623.98</v>
      </c>
      <c r="F206" s="636" t="s">
        <v>1670</v>
      </c>
      <c r="G206" s="638" t="s">
        <v>1413</v>
      </c>
      <c r="H206" s="639">
        <v>43039</v>
      </c>
      <c r="I206" s="639">
        <v>44136</v>
      </c>
      <c r="J206" s="640"/>
      <c r="K206" s="342"/>
      <c r="L206" s="342"/>
      <c r="M206" s="342"/>
      <c r="N206" s="342"/>
      <c r="O206" s="342"/>
      <c r="P206" s="342"/>
      <c r="Q206" s="342"/>
      <c r="R206" s="342"/>
      <c r="S206" s="342"/>
      <c r="T206" s="342"/>
      <c r="U206" s="342"/>
      <c r="V206" s="342"/>
      <c r="W206" s="342"/>
      <c r="X206" s="342"/>
    </row>
    <row r="207" spans="1:24" ht="20.25" customHeight="1" x14ac:dyDescent="0.2">
      <c r="A207" s="627" t="s">
        <v>284</v>
      </c>
      <c r="B207" s="628"/>
      <c r="C207" s="628"/>
      <c r="D207" s="628"/>
      <c r="E207" s="651">
        <f>SUM(E5:E206)</f>
        <v>179532356.06599998</v>
      </c>
      <c r="F207" s="628"/>
      <c r="G207" s="652"/>
      <c r="H207" s="652"/>
      <c r="I207" s="652"/>
      <c r="J207" s="653"/>
      <c r="K207" s="342"/>
      <c r="L207" s="342"/>
      <c r="M207" s="342"/>
      <c r="N207" s="342"/>
      <c r="O207" s="342"/>
      <c r="P207" s="342"/>
      <c r="Q207" s="342"/>
      <c r="R207" s="342"/>
      <c r="S207" s="342"/>
      <c r="T207" s="342"/>
      <c r="U207" s="342"/>
      <c r="V207" s="342"/>
      <c r="W207" s="342"/>
      <c r="X207" s="342"/>
    </row>
    <row r="208" spans="1:24" ht="12" customHeight="1" x14ac:dyDescent="0.2">
      <c r="A208" s="213"/>
      <c r="B208" s="213"/>
      <c r="C208" s="213"/>
      <c r="D208" s="213"/>
      <c r="E208" s="213"/>
      <c r="F208" s="213"/>
      <c r="G208" s="48"/>
      <c r="H208" s="342"/>
      <c r="I208" s="342"/>
      <c r="J208" s="342"/>
      <c r="K208" s="342"/>
      <c r="L208" s="342"/>
      <c r="M208" s="342"/>
      <c r="N208" s="342"/>
      <c r="O208" s="342"/>
      <c r="P208" s="342"/>
      <c r="Q208" s="342"/>
      <c r="R208" s="342"/>
      <c r="S208" s="342"/>
      <c r="T208" s="342"/>
      <c r="U208" s="342"/>
      <c r="V208" s="342"/>
      <c r="W208" s="342"/>
      <c r="X208" s="342"/>
    </row>
    <row r="209" spans="1:24" ht="12" customHeight="1" x14ac:dyDescent="0.2">
      <c r="A209" s="593"/>
      <c r="B209" s="593"/>
      <c r="C209" s="593"/>
      <c r="D209" s="593"/>
      <c r="E209" s="593"/>
      <c r="F209" s="593"/>
      <c r="G209" s="48"/>
      <c r="H209" s="342"/>
      <c r="I209" s="342"/>
      <c r="J209" s="342"/>
      <c r="K209" s="342"/>
      <c r="L209" s="342"/>
      <c r="M209" s="342"/>
      <c r="N209" s="342"/>
      <c r="O209" s="342"/>
      <c r="P209" s="342"/>
      <c r="Q209" s="342"/>
      <c r="R209" s="342"/>
      <c r="S209" s="342"/>
      <c r="T209" s="342"/>
      <c r="U209" s="342"/>
      <c r="V209" s="342"/>
      <c r="W209" s="342"/>
      <c r="X209" s="342"/>
    </row>
    <row r="210" spans="1:24" ht="12" customHeight="1" x14ac:dyDescent="0.2">
      <c r="A210" s="593"/>
      <c r="B210" s="342"/>
      <c r="C210" s="342"/>
      <c r="D210" s="342"/>
      <c r="E210" s="342"/>
      <c r="F210" s="342"/>
      <c r="G210" s="342"/>
      <c r="H210" s="342"/>
      <c r="I210" s="342"/>
      <c r="J210" s="342"/>
      <c r="K210" s="342"/>
      <c r="L210" s="342"/>
      <c r="M210" s="342"/>
      <c r="N210" s="342"/>
      <c r="O210" s="342"/>
      <c r="P210" s="342"/>
      <c r="Q210" s="342"/>
      <c r="R210" s="342"/>
      <c r="S210" s="342"/>
      <c r="T210" s="342"/>
      <c r="U210" s="342"/>
      <c r="V210" s="342"/>
      <c r="W210" s="342"/>
      <c r="X210" s="342"/>
    </row>
    <row r="211" spans="1:24" ht="12" customHeight="1" x14ac:dyDescent="0.2">
      <c r="A211" s="593"/>
      <c r="B211" s="342"/>
      <c r="C211" s="342"/>
      <c r="D211" s="342"/>
      <c r="E211" s="342"/>
      <c r="F211" s="342"/>
      <c r="G211" s="342"/>
      <c r="H211" s="342"/>
      <c r="I211" s="342"/>
      <c r="J211" s="342"/>
      <c r="K211" s="342"/>
      <c r="L211" s="342"/>
      <c r="M211" s="342"/>
      <c r="N211" s="342"/>
      <c r="O211" s="342"/>
      <c r="P211" s="342"/>
      <c r="Q211" s="342"/>
      <c r="R211" s="342"/>
      <c r="S211" s="342"/>
      <c r="T211" s="342"/>
      <c r="U211" s="342"/>
      <c r="V211" s="342"/>
      <c r="W211" s="342"/>
      <c r="X211" s="342"/>
    </row>
    <row r="212" spans="1:24" ht="12" customHeight="1" x14ac:dyDescent="0.2">
      <c r="A212" s="593"/>
      <c r="B212" s="342"/>
      <c r="C212" s="342"/>
      <c r="D212" s="342"/>
      <c r="E212" s="342"/>
      <c r="F212" s="342"/>
      <c r="G212" s="342"/>
      <c r="H212" s="342"/>
      <c r="I212" s="342"/>
      <c r="J212" s="342"/>
      <c r="K212" s="342"/>
      <c r="L212" s="342"/>
      <c r="M212" s="342"/>
      <c r="N212" s="342"/>
      <c r="O212" s="342"/>
      <c r="P212" s="342"/>
      <c r="Q212" s="342"/>
      <c r="R212" s="342"/>
      <c r="S212" s="342"/>
      <c r="T212" s="342"/>
      <c r="U212" s="342"/>
      <c r="V212" s="342"/>
      <c r="W212" s="342"/>
      <c r="X212" s="342"/>
    </row>
  </sheetData>
  <autoFilter ref="A4:J207" xr:uid="{00000000-0009-0000-0000-00000E000000}"/>
  <printOptions horizontalCentered="1"/>
  <pageMargins left="0.23622047244094491" right="0.23622047244094491" top="0.74803149606299213" bottom="0.74803149606299213" header="0" footer="0"/>
  <pageSetup paperSize="9" fitToHeight="0" orientation="landscape"/>
  <headerFooter>
    <oddHeader>&amp;CPROYECTO DE PRESUPUESTO 2021</oddHeader>
    <oddFooter>&amp;LPROYECTO DE PRESUPUESTO PARA EL AÑO FISCAL 2020 INFORMACIÓN PARA LA COMISIÓN DE PRESUPUESTO Y CUENTA GENERAL DE LA REPÚBLICA DEL CONGRESO DE LA REPÚBLICA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8064A2"/>
    <pageSetUpPr fitToPage="1"/>
  </sheetPr>
  <dimension ref="A1:W100"/>
  <sheetViews>
    <sheetView showGridLines="0" workbookViewId="0">
      <pane ySplit="5" topLeftCell="A6" activePane="bottomLeft" state="frozen"/>
      <selection pane="bottomLeft" activeCell="B7" sqref="B7"/>
    </sheetView>
  </sheetViews>
  <sheetFormatPr baseColWidth="10" defaultColWidth="14.42578125" defaultRowHeight="15" customHeight="1" x14ac:dyDescent="0.2"/>
  <cols>
    <col min="1" max="1" width="43.7109375" customWidth="1"/>
    <col min="2" max="2" width="30.42578125" customWidth="1"/>
    <col min="3" max="3" width="20.28515625" customWidth="1"/>
    <col min="4" max="4" width="12.5703125" customWidth="1"/>
    <col min="5" max="5" width="11.42578125" customWidth="1"/>
    <col min="6" max="6" width="13.140625" customWidth="1"/>
    <col min="7" max="7" width="53.7109375" customWidth="1"/>
    <col min="8" max="8" width="20.85546875" customWidth="1"/>
    <col min="9" max="23" width="11.42578125" customWidth="1"/>
  </cols>
  <sheetData>
    <row r="1" spans="1:23" ht="12" customHeight="1" x14ac:dyDescent="0.2">
      <c r="A1" s="16" t="s">
        <v>1671</v>
      </c>
      <c r="B1" s="48"/>
      <c r="C1" s="48"/>
      <c r="D1" s="48"/>
      <c r="E1" s="48"/>
      <c r="F1" s="48"/>
      <c r="G1" s="343"/>
      <c r="H1" s="339"/>
      <c r="I1" s="342"/>
      <c r="J1" s="342"/>
      <c r="K1" s="342"/>
      <c r="L1" s="342"/>
      <c r="M1" s="342"/>
      <c r="N1" s="342"/>
      <c r="O1" s="342"/>
      <c r="P1" s="342"/>
      <c r="Q1" s="342"/>
      <c r="R1" s="342"/>
      <c r="S1" s="342"/>
      <c r="T1" s="342"/>
      <c r="U1" s="342"/>
      <c r="V1" s="342"/>
      <c r="W1" s="342"/>
    </row>
    <row r="2" spans="1:23" ht="12" customHeight="1" x14ac:dyDescent="0.2">
      <c r="A2" s="16" t="s">
        <v>402</v>
      </c>
      <c r="B2" s="48"/>
      <c r="C2" s="48"/>
      <c r="D2" s="48"/>
      <c r="E2" s="48"/>
      <c r="F2" s="48"/>
      <c r="G2" s="343"/>
      <c r="H2" s="343"/>
      <c r="I2" s="48"/>
      <c r="J2" s="48"/>
      <c r="K2" s="48"/>
      <c r="L2" s="48"/>
      <c r="M2" s="48"/>
      <c r="N2" s="48"/>
      <c r="O2" s="48"/>
      <c r="P2" s="48"/>
      <c r="Q2" s="48"/>
      <c r="R2" s="48"/>
      <c r="S2" s="48"/>
      <c r="T2" s="48"/>
      <c r="U2" s="48"/>
      <c r="V2" s="48"/>
      <c r="W2" s="48"/>
    </row>
    <row r="3" spans="1:23" ht="8.25" customHeight="1" x14ac:dyDescent="0.2">
      <c r="A3" s="341"/>
      <c r="B3" s="341"/>
      <c r="C3" s="341"/>
      <c r="D3" s="632"/>
      <c r="E3" s="632"/>
      <c r="F3" s="632"/>
      <c r="G3" s="654"/>
      <c r="H3" s="339"/>
      <c r="I3" s="342"/>
      <c r="J3" s="342"/>
      <c r="K3" s="342"/>
      <c r="L3" s="342"/>
      <c r="M3" s="342"/>
      <c r="N3" s="342"/>
      <c r="O3" s="342"/>
      <c r="P3" s="342"/>
      <c r="Q3" s="342"/>
      <c r="R3" s="342"/>
      <c r="S3" s="342"/>
      <c r="T3" s="342"/>
      <c r="U3" s="342"/>
      <c r="V3" s="342"/>
      <c r="W3" s="342"/>
    </row>
    <row r="4" spans="1:23" ht="12" customHeight="1" x14ac:dyDescent="0.2">
      <c r="A4" s="855" t="s">
        <v>1672</v>
      </c>
      <c r="B4" s="856" t="s">
        <v>1673</v>
      </c>
      <c r="C4" s="858" t="s">
        <v>1674</v>
      </c>
      <c r="D4" s="655" t="s">
        <v>1675</v>
      </c>
      <c r="E4" s="655" t="s">
        <v>1676</v>
      </c>
      <c r="F4" s="656" t="s">
        <v>1677</v>
      </c>
      <c r="G4" s="856" t="s">
        <v>1678</v>
      </c>
      <c r="H4" s="859" t="s">
        <v>1679</v>
      </c>
      <c r="I4" s="342"/>
      <c r="J4" s="342"/>
      <c r="K4" s="342"/>
      <c r="L4" s="342"/>
      <c r="M4" s="342"/>
      <c r="N4" s="342"/>
      <c r="O4" s="342"/>
      <c r="P4" s="342"/>
      <c r="Q4" s="342"/>
      <c r="R4" s="342"/>
      <c r="S4" s="342"/>
      <c r="T4" s="342"/>
      <c r="U4" s="342"/>
      <c r="V4" s="342"/>
      <c r="W4" s="342"/>
    </row>
    <row r="5" spans="1:23" ht="17.25" customHeight="1" x14ac:dyDescent="0.2">
      <c r="A5" s="853"/>
      <c r="B5" s="857"/>
      <c r="C5" s="857"/>
      <c r="D5" s="380" t="s">
        <v>1680</v>
      </c>
      <c r="E5" s="380" t="s">
        <v>1680</v>
      </c>
      <c r="F5" s="657" t="s">
        <v>1680</v>
      </c>
      <c r="G5" s="857"/>
      <c r="H5" s="845"/>
      <c r="I5" s="342"/>
      <c r="J5" s="342"/>
      <c r="K5" s="342"/>
      <c r="L5" s="342"/>
      <c r="M5" s="342"/>
      <c r="N5" s="342"/>
      <c r="O5" s="342"/>
      <c r="P5" s="342"/>
      <c r="Q5" s="342"/>
      <c r="R5" s="342"/>
      <c r="S5" s="342"/>
      <c r="T5" s="342"/>
      <c r="U5" s="342"/>
      <c r="V5" s="342"/>
      <c r="W5" s="342"/>
    </row>
    <row r="6" spans="1:23" ht="12" customHeight="1" x14ac:dyDescent="0.2">
      <c r="A6" s="600" t="s">
        <v>1681</v>
      </c>
      <c r="B6" s="601" t="s">
        <v>1682</v>
      </c>
      <c r="C6" s="621" t="s">
        <v>1683</v>
      </c>
      <c r="D6" s="658">
        <v>0</v>
      </c>
      <c r="E6" s="658">
        <v>805000</v>
      </c>
      <c r="F6" s="622">
        <v>0</v>
      </c>
      <c r="G6" s="603" t="s">
        <v>1684</v>
      </c>
      <c r="H6" s="659" t="s">
        <v>1685</v>
      </c>
      <c r="I6" s="342"/>
      <c r="J6" s="342"/>
      <c r="K6" s="342"/>
      <c r="L6" s="342"/>
      <c r="M6" s="342"/>
      <c r="N6" s="342"/>
      <c r="O6" s="342"/>
      <c r="P6" s="342"/>
      <c r="Q6" s="342"/>
      <c r="R6" s="342"/>
      <c r="S6" s="342"/>
      <c r="T6" s="342"/>
      <c r="U6" s="342"/>
      <c r="V6" s="342"/>
      <c r="W6" s="342"/>
    </row>
    <row r="7" spans="1:23" ht="12" customHeight="1" x14ac:dyDescent="0.2">
      <c r="A7" s="600" t="s">
        <v>1686</v>
      </c>
      <c r="B7" s="601" t="s">
        <v>1682</v>
      </c>
      <c r="C7" s="621" t="s">
        <v>1683</v>
      </c>
      <c r="D7" s="658">
        <v>0</v>
      </c>
      <c r="E7" s="658">
        <v>613300</v>
      </c>
      <c r="F7" s="622">
        <v>0</v>
      </c>
      <c r="G7" s="603" t="s">
        <v>1684</v>
      </c>
      <c r="H7" s="659" t="s">
        <v>1685</v>
      </c>
      <c r="I7" s="342"/>
      <c r="J7" s="342"/>
      <c r="K7" s="342"/>
      <c r="L7" s="342"/>
      <c r="M7" s="342"/>
      <c r="N7" s="342"/>
      <c r="O7" s="342"/>
      <c r="P7" s="342"/>
      <c r="Q7" s="342"/>
      <c r="R7" s="342"/>
      <c r="S7" s="342"/>
      <c r="T7" s="342"/>
      <c r="U7" s="342"/>
      <c r="V7" s="342"/>
      <c r="W7" s="342"/>
    </row>
    <row r="8" spans="1:23" ht="12" customHeight="1" x14ac:dyDescent="0.2">
      <c r="A8" s="600" t="s">
        <v>1687</v>
      </c>
      <c r="B8" s="601" t="s">
        <v>1688</v>
      </c>
      <c r="C8" s="621" t="s">
        <v>1683</v>
      </c>
      <c r="D8" s="658">
        <v>169880</v>
      </c>
      <c r="E8" s="658">
        <v>44820</v>
      </c>
      <c r="F8" s="622">
        <v>0</v>
      </c>
      <c r="G8" s="603" t="s">
        <v>1684</v>
      </c>
      <c r="H8" s="659" t="s">
        <v>1685</v>
      </c>
      <c r="I8" s="342"/>
      <c r="J8" s="342"/>
      <c r="K8" s="342"/>
      <c r="L8" s="342"/>
      <c r="M8" s="342"/>
      <c r="N8" s="342"/>
      <c r="O8" s="342"/>
      <c r="P8" s="342"/>
      <c r="Q8" s="342"/>
      <c r="R8" s="342"/>
      <c r="S8" s="342"/>
      <c r="T8" s="342"/>
      <c r="U8" s="342"/>
      <c r="V8" s="342"/>
      <c r="W8" s="342"/>
    </row>
    <row r="9" spans="1:23" ht="12" customHeight="1" x14ac:dyDescent="0.2">
      <c r="A9" s="600" t="s">
        <v>1689</v>
      </c>
      <c r="B9" s="601" t="s">
        <v>1690</v>
      </c>
      <c r="C9" s="621" t="s">
        <v>1683</v>
      </c>
      <c r="D9" s="658">
        <v>0</v>
      </c>
      <c r="E9" s="658">
        <v>445000</v>
      </c>
      <c r="F9" s="622">
        <v>0</v>
      </c>
      <c r="G9" s="603" t="s">
        <v>1684</v>
      </c>
      <c r="H9" s="659" t="s">
        <v>1685</v>
      </c>
      <c r="I9" s="342"/>
      <c r="J9" s="342"/>
      <c r="K9" s="342"/>
      <c r="L9" s="342"/>
      <c r="M9" s="342"/>
      <c r="N9" s="342"/>
      <c r="O9" s="342"/>
      <c r="P9" s="342"/>
      <c r="Q9" s="342"/>
      <c r="R9" s="342"/>
      <c r="S9" s="342"/>
      <c r="T9" s="342"/>
      <c r="U9" s="342"/>
      <c r="V9" s="342"/>
      <c r="W9" s="342"/>
    </row>
    <row r="10" spans="1:23" ht="12" customHeight="1" x14ac:dyDescent="0.2">
      <c r="A10" s="600" t="s">
        <v>1691</v>
      </c>
      <c r="B10" s="601" t="s">
        <v>1690</v>
      </c>
      <c r="C10" s="621" t="s">
        <v>1683</v>
      </c>
      <c r="D10" s="658">
        <v>0</v>
      </c>
      <c r="E10" s="658">
        <v>436380</v>
      </c>
      <c r="F10" s="622">
        <v>0</v>
      </c>
      <c r="G10" s="603" t="s">
        <v>1684</v>
      </c>
      <c r="H10" s="659" t="s">
        <v>1685</v>
      </c>
      <c r="I10" s="342"/>
      <c r="J10" s="342"/>
      <c r="K10" s="342"/>
      <c r="L10" s="342"/>
      <c r="M10" s="342"/>
      <c r="N10" s="342"/>
      <c r="O10" s="342"/>
      <c r="P10" s="342"/>
      <c r="Q10" s="342"/>
      <c r="R10" s="342"/>
      <c r="S10" s="342"/>
      <c r="T10" s="342"/>
      <c r="U10" s="342"/>
      <c r="V10" s="342"/>
      <c r="W10" s="342"/>
    </row>
    <row r="11" spans="1:23" ht="12" customHeight="1" x14ac:dyDescent="0.2">
      <c r="A11" s="600" t="s">
        <v>1692</v>
      </c>
      <c r="B11" s="601" t="s">
        <v>1682</v>
      </c>
      <c r="C11" s="621" t="s">
        <v>1683</v>
      </c>
      <c r="D11" s="658">
        <v>0</v>
      </c>
      <c r="E11" s="658">
        <v>589950</v>
      </c>
      <c r="F11" s="622">
        <v>0</v>
      </c>
      <c r="G11" s="603" t="s">
        <v>1684</v>
      </c>
      <c r="H11" s="659" t="s">
        <v>1685</v>
      </c>
      <c r="I11" s="342"/>
      <c r="J11" s="342"/>
      <c r="K11" s="342"/>
      <c r="L11" s="342"/>
      <c r="M11" s="342"/>
      <c r="N11" s="342"/>
      <c r="O11" s="342"/>
      <c r="P11" s="342"/>
      <c r="Q11" s="342"/>
      <c r="R11" s="342"/>
      <c r="S11" s="342"/>
      <c r="T11" s="342"/>
      <c r="U11" s="342"/>
      <c r="V11" s="342"/>
      <c r="W11" s="342"/>
    </row>
    <row r="12" spans="1:23" ht="12" customHeight="1" x14ac:dyDescent="0.2">
      <c r="A12" s="600" t="s">
        <v>1693</v>
      </c>
      <c r="B12" s="601" t="s">
        <v>1690</v>
      </c>
      <c r="C12" s="621" t="s">
        <v>1683</v>
      </c>
      <c r="D12" s="658">
        <v>0</v>
      </c>
      <c r="E12" s="658">
        <v>831260</v>
      </c>
      <c r="F12" s="622">
        <v>0</v>
      </c>
      <c r="G12" s="603" t="s">
        <v>1684</v>
      </c>
      <c r="H12" s="659" t="s">
        <v>1685</v>
      </c>
      <c r="I12" s="342"/>
      <c r="J12" s="342"/>
      <c r="K12" s="342"/>
      <c r="L12" s="342"/>
      <c r="M12" s="342"/>
      <c r="N12" s="342"/>
      <c r="O12" s="342"/>
      <c r="P12" s="342"/>
      <c r="Q12" s="342"/>
      <c r="R12" s="342"/>
      <c r="S12" s="342"/>
      <c r="T12" s="342"/>
      <c r="U12" s="342"/>
      <c r="V12" s="342"/>
      <c r="W12" s="342"/>
    </row>
    <row r="13" spans="1:23" ht="12" customHeight="1" x14ac:dyDescent="0.2">
      <c r="A13" s="660" t="s">
        <v>1694</v>
      </c>
      <c r="B13" s="661" t="s">
        <v>1695</v>
      </c>
      <c r="C13" s="621" t="s">
        <v>1683</v>
      </c>
      <c r="D13" s="658">
        <v>4111062.8</v>
      </c>
      <c r="E13" s="658">
        <v>0</v>
      </c>
      <c r="F13" s="622">
        <v>4111062.8</v>
      </c>
      <c r="G13" s="603" t="s">
        <v>1684</v>
      </c>
      <c r="H13" s="659" t="s">
        <v>1685</v>
      </c>
      <c r="I13" s="342"/>
      <c r="J13" s="342"/>
      <c r="K13" s="342"/>
      <c r="L13" s="342"/>
      <c r="M13" s="342"/>
      <c r="N13" s="342"/>
      <c r="O13" s="342"/>
      <c r="P13" s="342"/>
      <c r="Q13" s="342"/>
      <c r="R13" s="342"/>
      <c r="S13" s="342"/>
      <c r="T13" s="342"/>
      <c r="U13" s="342"/>
      <c r="V13" s="342"/>
      <c r="W13" s="342"/>
    </row>
    <row r="14" spans="1:23" ht="12" customHeight="1" x14ac:dyDescent="0.2">
      <c r="A14" s="660" t="s">
        <v>1696</v>
      </c>
      <c r="B14" s="661" t="s">
        <v>1697</v>
      </c>
      <c r="C14" s="621" t="s">
        <v>1683</v>
      </c>
      <c r="D14" s="658">
        <v>646485</v>
      </c>
      <c r="E14" s="658">
        <v>0</v>
      </c>
      <c r="F14" s="622">
        <v>1508465</v>
      </c>
      <c r="G14" s="603" t="s">
        <v>1698</v>
      </c>
      <c r="H14" s="659" t="s">
        <v>1685</v>
      </c>
      <c r="I14" s="342"/>
      <c r="J14" s="342"/>
      <c r="K14" s="342"/>
      <c r="L14" s="342"/>
      <c r="M14" s="342"/>
      <c r="N14" s="342"/>
      <c r="O14" s="342"/>
      <c r="P14" s="342"/>
      <c r="Q14" s="342"/>
      <c r="R14" s="342"/>
      <c r="S14" s="342"/>
      <c r="T14" s="342"/>
      <c r="U14" s="342"/>
      <c r="V14" s="342"/>
      <c r="W14" s="342"/>
    </row>
    <row r="15" spans="1:23" ht="12" customHeight="1" x14ac:dyDescent="0.2">
      <c r="A15" s="660" t="s">
        <v>1699</v>
      </c>
      <c r="B15" s="661" t="s">
        <v>1700</v>
      </c>
      <c r="C15" s="621" t="s">
        <v>1683</v>
      </c>
      <c r="D15" s="658">
        <v>1837755.93</v>
      </c>
      <c r="E15" s="658">
        <v>0</v>
      </c>
      <c r="F15" s="622">
        <v>1837755.9100000001</v>
      </c>
      <c r="G15" s="603" t="s">
        <v>1698</v>
      </c>
      <c r="H15" s="659" t="s">
        <v>1685</v>
      </c>
      <c r="I15" s="342"/>
      <c r="J15" s="342"/>
      <c r="K15" s="342"/>
      <c r="L15" s="342"/>
      <c r="M15" s="342"/>
      <c r="N15" s="342"/>
      <c r="O15" s="342"/>
      <c r="P15" s="342"/>
      <c r="Q15" s="342"/>
      <c r="R15" s="342"/>
      <c r="S15" s="342"/>
      <c r="T15" s="342"/>
      <c r="U15" s="342"/>
      <c r="V15" s="342"/>
      <c r="W15" s="342"/>
    </row>
    <row r="16" spans="1:23" ht="12" customHeight="1" x14ac:dyDescent="0.2">
      <c r="A16" s="660" t="s">
        <v>1701</v>
      </c>
      <c r="B16" s="661" t="s">
        <v>1702</v>
      </c>
      <c r="C16" s="621" t="s">
        <v>1683</v>
      </c>
      <c r="D16" s="658">
        <v>1461070.47</v>
      </c>
      <c r="E16" s="658">
        <v>0</v>
      </c>
      <c r="F16" s="622">
        <v>1461070.49</v>
      </c>
      <c r="G16" s="603" t="s">
        <v>1698</v>
      </c>
      <c r="H16" s="659" t="s">
        <v>1685</v>
      </c>
      <c r="I16" s="342"/>
      <c r="J16" s="342"/>
      <c r="K16" s="342"/>
      <c r="L16" s="342"/>
      <c r="M16" s="342"/>
      <c r="N16" s="342"/>
      <c r="O16" s="342"/>
      <c r="P16" s="342"/>
      <c r="Q16" s="342"/>
      <c r="R16" s="342"/>
      <c r="S16" s="342"/>
      <c r="T16" s="342"/>
      <c r="U16" s="342"/>
      <c r="V16" s="342"/>
      <c r="W16" s="342"/>
    </row>
    <row r="17" spans="1:23" ht="12" customHeight="1" x14ac:dyDescent="0.2">
      <c r="A17" s="660" t="s">
        <v>1703</v>
      </c>
      <c r="B17" s="661" t="s">
        <v>1704</v>
      </c>
      <c r="C17" s="621" t="s">
        <v>1683</v>
      </c>
      <c r="D17" s="658">
        <v>306067.46000000002</v>
      </c>
      <c r="E17" s="658">
        <v>0</v>
      </c>
      <c r="F17" s="622">
        <v>459101.18</v>
      </c>
      <c r="G17" s="603" t="s">
        <v>1705</v>
      </c>
      <c r="H17" s="659" t="s">
        <v>1685</v>
      </c>
      <c r="I17" s="342"/>
      <c r="J17" s="342"/>
      <c r="K17" s="342"/>
      <c r="L17" s="342"/>
      <c r="M17" s="342"/>
      <c r="N17" s="342"/>
      <c r="O17" s="342"/>
      <c r="P17" s="342"/>
      <c r="Q17" s="342"/>
      <c r="R17" s="342"/>
      <c r="S17" s="342"/>
      <c r="T17" s="342"/>
      <c r="U17" s="342"/>
      <c r="V17" s="342"/>
      <c r="W17" s="342"/>
    </row>
    <row r="18" spans="1:23" ht="12" customHeight="1" x14ac:dyDescent="0.2">
      <c r="A18" s="660" t="s">
        <v>1706</v>
      </c>
      <c r="B18" s="661" t="s">
        <v>1704</v>
      </c>
      <c r="C18" s="621" t="s">
        <v>1683</v>
      </c>
      <c r="D18" s="658">
        <v>285012.47999999998</v>
      </c>
      <c r="E18" s="658">
        <v>0</v>
      </c>
      <c r="F18" s="622">
        <v>285012.47999999998</v>
      </c>
      <c r="G18" s="603" t="s">
        <v>1705</v>
      </c>
      <c r="H18" s="659" t="s">
        <v>1685</v>
      </c>
      <c r="I18" s="342"/>
      <c r="J18" s="342"/>
      <c r="K18" s="342"/>
      <c r="L18" s="342"/>
      <c r="M18" s="342"/>
      <c r="N18" s="342"/>
      <c r="O18" s="342"/>
      <c r="P18" s="342"/>
      <c r="Q18" s="342"/>
      <c r="R18" s="342"/>
      <c r="S18" s="342"/>
      <c r="T18" s="342"/>
      <c r="U18" s="342"/>
      <c r="V18" s="342"/>
      <c r="W18" s="342"/>
    </row>
    <row r="19" spans="1:23" ht="12" customHeight="1" x14ac:dyDescent="0.2">
      <c r="A19" s="600" t="s">
        <v>1707</v>
      </c>
      <c r="B19" s="601" t="s">
        <v>1708</v>
      </c>
      <c r="C19" s="621" t="s">
        <v>1683</v>
      </c>
      <c r="D19" s="658">
        <v>112337.88</v>
      </c>
      <c r="E19" s="658">
        <v>0</v>
      </c>
      <c r="F19" s="622">
        <v>168506.84</v>
      </c>
      <c r="G19" s="603" t="s">
        <v>1709</v>
      </c>
      <c r="H19" s="659" t="s">
        <v>1685</v>
      </c>
      <c r="I19" s="342"/>
      <c r="J19" s="342"/>
      <c r="K19" s="342"/>
      <c r="L19" s="342"/>
      <c r="M19" s="342"/>
      <c r="N19" s="342"/>
      <c r="O19" s="342"/>
      <c r="P19" s="342"/>
      <c r="Q19" s="342"/>
      <c r="R19" s="342"/>
      <c r="S19" s="342"/>
      <c r="T19" s="342"/>
      <c r="U19" s="342"/>
      <c r="V19" s="342"/>
      <c r="W19" s="342"/>
    </row>
    <row r="20" spans="1:23" ht="12" customHeight="1" x14ac:dyDescent="0.2">
      <c r="A20" s="600" t="s">
        <v>1710</v>
      </c>
      <c r="B20" s="601" t="s">
        <v>1711</v>
      </c>
      <c r="C20" s="621" t="s">
        <v>1683</v>
      </c>
      <c r="D20" s="658">
        <v>0</v>
      </c>
      <c r="E20" s="658">
        <v>0</v>
      </c>
      <c r="F20" s="622">
        <v>161175.78</v>
      </c>
      <c r="G20" s="603" t="s">
        <v>1712</v>
      </c>
      <c r="H20" s="659" t="s">
        <v>1685</v>
      </c>
      <c r="I20" s="342"/>
      <c r="J20" s="342"/>
      <c r="K20" s="342"/>
      <c r="L20" s="342"/>
      <c r="M20" s="342"/>
      <c r="N20" s="342"/>
      <c r="O20" s="342"/>
      <c r="P20" s="342"/>
      <c r="Q20" s="342"/>
      <c r="R20" s="342"/>
      <c r="S20" s="342"/>
      <c r="T20" s="342"/>
      <c r="U20" s="342"/>
      <c r="V20" s="342"/>
      <c r="W20" s="342"/>
    </row>
    <row r="21" spans="1:23" ht="12" customHeight="1" x14ac:dyDescent="0.2">
      <c r="A21" s="600" t="s">
        <v>1713</v>
      </c>
      <c r="B21" s="601" t="s">
        <v>1714</v>
      </c>
      <c r="C21" s="621" t="s">
        <v>1683</v>
      </c>
      <c r="D21" s="658">
        <v>10740</v>
      </c>
      <c r="E21" s="658">
        <v>11635</v>
      </c>
      <c r="F21" s="622">
        <v>67125</v>
      </c>
      <c r="G21" s="603" t="s">
        <v>1715</v>
      </c>
      <c r="H21" s="659" t="s">
        <v>1685</v>
      </c>
      <c r="I21" s="342"/>
      <c r="J21" s="342"/>
      <c r="K21" s="342"/>
      <c r="L21" s="342"/>
      <c r="M21" s="342"/>
      <c r="N21" s="342"/>
      <c r="O21" s="342"/>
      <c r="P21" s="342"/>
      <c r="Q21" s="342"/>
      <c r="R21" s="342"/>
      <c r="S21" s="342"/>
      <c r="T21" s="342"/>
      <c r="U21" s="342"/>
      <c r="V21" s="342"/>
      <c r="W21" s="342"/>
    </row>
    <row r="22" spans="1:23" ht="12" customHeight="1" x14ac:dyDescent="0.2">
      <c r="A22" s="606" t="s">
        <v>1716</v>
      </c>
      <c r="B22" s="607" t="s">
        <v>1683</v>
      </c>
      <c r="C22" s="617" t="s">
        <v>1717</v>
      </c>
      <c r="D22" s="662">
        <v>24000</v>
      </c>
      <c r="E22" s="658">
        <v>0</v>
      </c>
      <c r="F22" s="622">
        <v>0</v>
      </c>
      <c r="G22" s="612" t="s">
        <v>1718</v>
      </c>
      <c r="H22" s="663" t="s">
        <v>1719</v>
      </c>
      <c r="I22" s="342"/>
      <c r="J22" s="342"/>
      <c r="K22" s="342"/>
      <c r="L22" s="342"/>
      <c r="M22" s="342"/>
      <c r="N22" s="342"/>
      <c r="O22" s="342"/>
      <c r="P22" s="342"/>
      <c r="Q22" s="342"/>
      <c r="R22" s="342"/>
      <c r="S22" s="342"/>
      <c r="T22" s="342"/>
      <c r="U22" s="342"/>
      <c r="V22" s="342"/>
      <c r="W22" s="342"/>
    </row>
    <row r="23" spans="1:23" ht="12" customHeight="1" x14ac:dyDescent="0.2">
      <c r="A23" s="606" t="s">
        <v>1716</v>
      </c>
      <c r="B23" s="607" t="s">
        <v>1683</v>
      </c>
      <c r="C23" s="617" t="s">
        <v>1720</v>
      </c>
      <c r="D23" s="662">
        <v>12000</v>
      </c>
      <c r="E23" s="658">
        <v>0</v>
      </c>
      <c r="F23" s="622">
        <v>0</v>
      </c>
      <c r="G23" s="612" t="s">
        <v>1718</v>
      </c>
      <c r="H23" s="663" t="s">
        <v>1719</v>
      </c>
      <c r="I23" s="342"/>
      <c r="J23" s="342"/>
      <c r="K23" s="342"/>
      <c r="L23" s="342"/>
      <c r="M23" s="342"/>
      <c r="N23" s="342"/>
      <c r="O23" s="342"/>
      <c r="P23" s="342"/>
      <c r="Q23" s="342"/>
      <c r="R23" s="342"/>
      <c r="S23" s="342"/>
      <c r="T23" s="342"/>
      <c r="U23" s="342"/>
      <c r="V23" s="342"/>
      <c r="W23" s="342"/>
    </row>
    <row r="24" spans="1:23" ht="12" customHeight="1" x14ac:dyDescent="0.2">
      <c r="A24" s="606" t="s">
        <v>1721</v>
      </c>
      <c r="B24" s="607" t="s">
        <v>1683</v>
      </c>
      <c r="C24" s="617" t="s">
        <v>1722</v>
      </c>
      <c r="D24" s="662">
        <v>11000</v>
      </c>
      <c r="E24" s="658">
        <v>0</v>
      </c>
      <c r="F24" s="622">
        <v>0</v>
      </c>
      <c r="G24" s="612" t="s">
        <v>1723</v>
      </c>
      <c r="H24" s="663" t="s">
        <v>1719</v>
      </c>
      <c r="I24" s="342"/>
      <c r="J24" s="342"/>
      <c r="K24" s="342"/>
      <c r="L24" s="342"/>
      <c r="M24" s="342"/>
      <c r="N24" s="342"/>
      <c r="O24" s="342"/>
      <c r="P24" s="342"/>
      <c r="Q24" s="342"/>
      <c r="R24" s="342"/>
      <c r="S24" s="342"/>
      <c r="T24" s="342"/>
      <c r="U24" s="342"/>
      <c r="V24" s="342"/>
      <c r="W24" s="342"/>
    </row>
    <row r="25" spans="1:23" ht="12" customHeight="1" x14ac:dyDescent="0.2">
      <c r="A25" s="606" t="s">
        <v>1724</v>
      </c>
      <c r="B25" s="607" t="s">
        <v>1683</v>
      </c>
      <c r="C25" s="617" t="s">
        <v>1725</v>
      </c>
      <c r="D25" s="662">
        <v>30000</v>
      </c>
      <c r="E25" s="658">
        <v>0</v>
      </c>
      <c r="F25" s="622">
        <v>0</v>
      </c>
      <c r="G25" s="612" t="s">
        <v>1726</v>
      </c>
      <c r="H25" s="663" t="s">
        <v>1719</v>
      </c>
      <c r="I25" s="342"/>
      <c r="J25" s="342"/>
      <c r="K25" s="342"/>
      <c r="L25" s="342"/>
      <c r="M25" s="342"/>
      <c r="N25" s="342"/>
      <c r="O25" s="342"/>
      <c r="P25" s="342"/>
      <c r="Q25" s="342"/>
      <c r="R25" s="342"/>
      <c r="S25" s="342"/>
      <c r="T25" s="342"/>
      <c r="U25" s="342"/>
      <c r="V25" s="342"/>
      <c r="W25" s="342"/>
    </row>
    <row r="26" spans="1:23" ht="12" customHeight="1" x14ac:dyDescent="0.2">
      <c r="A26" s="606" t="s">
        <v>1727</v>
      </c>
      <c r="B26" s="607" t="s">
        <v>1683</v>
      </c>
      <c r="C26" s="617" t="s">
        <v>1728</v>
      </c>
      <c r="D26" s="662">
        <v>29850</v>
      </c>
      <c r="E26" s="658">
        <v>0</v>
      </c>
      <c r="F26" s="622">
        <v>0</v>
      </c>
      <c r="G26" s="612" t="s">
        <v>1729</v>
      </c>
      <c r="H26" s="663" t="s">
        <v>1719</v>
      </c>
      <c r="I26" s="342"/>
      <c r="J26" s="342"/>
      <c r="K26" s="342"/>
      <c r="L26" s="342"/>
      <c r="M26" s="342"/>
      <c r="N26" s="342"/>
      <c r="O26" s="342"/>
      <c r="P26" s="342"/>
      <c r="Q26" s="342"/>
      <c r="R26" s="342"/>
      <c r="S26" s="342"/>
      <c r="T26" s="342"/>
      <c r="U26" s="342"/>
      <c r="V26" s="342"/>
      <c r="W26" s="342"/>
    </row>
    <row r="27" spans="1:23" ht="12" customHeight="1" x14ac:dyDescent="0.2">
      <c r="A27" s="606" t="s">
        <v>1730</v>
      </c>
      <c r="B27" s="607" t="s">
        <v>1683</v>
      </c>
      <c r="C27" s="617" t="s">
        <v>1731</v>
      </c>
      <c r="D27" s="662">
        <v>12000</v>
      </c>
      <c r="E27" s="658">
        <v>0</v>
      </c>
      <c r="F27" s="622">
        <v>0</v>
      </c>
      <c r="G27" s="612" t="s">
        <v>1732</v>
      </c>
      <c r="H27" s="663" t="s">
        <v>1719</v>
      </c>
      <c r="I27" s="342"/>
      <c r="J27" s="342"/>
      <c r="K27" s="342"/>
      <c r="L27" s="342"/>
      <c r="M27" s="342"/>
      <c r="N27" s="342"/>
      <c r="O27" s="342"/>
      <c r="P27" s="342"/>
      <c r="Q27" s="342"/>
      <c r="R27" s="342"/>
      <c r="S27" s="342"/>
      <c r="T27" s="342"/>
      <c r="U27" s="342"/>
      <c r="V27" s="342"/>
      <c r="W27" s="342"/>
    </row>
    <row r="28" spans="1:23" ht="12" customHeight="1" x14ac:dyDescent="0.2">
      <c r="A28" s="606" t="s">
        <v>1733</v>
      </c>
      <c r="B28" s="607" t="s">
        <v>1683</v>
      </c>
      <c r="C28" s="617" t="s">
        <v>1734</v>
      </c>
      <c r="D28" s="662">
        <v>30000</v>
      </c>
      <c r="E28" s="658">
        <v>0</v>
      </c>
      <c r="F28" s="622">
        <v>0</v>
      </c>
      <c r="G28" s="612" t="s">
        <v>1735</v>
      </c>
      <c r="H28" s="663" t="s">
        <v>1719</v>
      </c>
      <c r="I28" s="342"/>
      <c r="J28" s="342"/>
      <c r="K28" s="342"/>
      <c r="L28" s="342"/>
      <c r="M28" s="342"/>
      <c r="N28" s="342"/>
      <c r="O28" s="342"/>
      <c r="P28" s="342"/>
      <c r="Q28" s="342"/>
      <c r="R28" s="342"/>
      <c r="S28" s="342"/>
      <c r="T28" s="342"/>
      <c r="U28" s="342"/>
      <c r="V28" s="342"/>
      <c r="W28" s="342"/>
    </row>
    <row r="29" spans="1:23" ht="12" customHeight="1" x14ac:dyDescent="0.2">
      <c r="A29" s="606" t="s">
        <v>1736</v>
      </c>
      <c r="B29" s="607" t="s">
        <v>1683</v>
      </c>
      <c r="C29" s="617" t="s">
        <v>1737</v>
      </c>
      <c r="D29" s="662">
        <v>27000</v>
      </c>
      <c r="E29" s="658">
        <v>0</v>
      </c>
      <c r="F29" s="622">
        <v>0</v>
      </c>
      <c r="G29" s="612" t="s">
        <v>1738</v>
      </c>
      <c r="H29" s="663" t="s">
        <v>1719</v>
      </c>
      <c r="I29" s="342"/>
      <c r="J29" s="342"/>
      <c r="K29" s="342"/>
      <c r="L29" s="342"/>
      <c r="M29" s="342"/>
      <c r="N29" s="342"/>
      <c r="O29" s="342"/>
      <c r="P29" s="342"/>
      <c r="Q29" s="342"/>
      <c r="R29" s="342"/>
      <c r="S29" s="342"/>
      <c r="T29" s="342"/>
      <c r="U29" s="342"/>
      <c r="V29" s="342"/>
      <c r="W29" s="342"/>
    </row>
    <row r="30" spans="1:23" ht="12" customHeight="1" x14ac:dyDescent="0.2">
      <c r="A30" s="606" t="s">
        <v>1739</v>
      </c>
      <c r="B30" s="607" t="s">
        <v>1683</v>
      </c>
      <c r="C30" s="617" t="s">
        <v>1740</v>
      </c>
      <c r="D30" s="662">
        <v>22000</v>
      </c>
      <c r="E30" s="658">
        <v>0</v>
      </c>
      <c r="F30" s="622">
        <v>0</v>
      </c>
      <c r="G30" s="612" t="s">
        <v>1741</v>
      </c>
      <c r="H30" s="663" t="s">
        <v>1719</v>
      </c>
      <c r="I30" s="342"/>
      <c r="J30" s="342"/>
      <c r="K30" s="342"/>
      <c r="L30" s="342"/>
      <c r="M30" s="342"/>
      <c r="N30" s="342"/>
      <c r="O30" s="342"/>
      <c r="P30" s="342"/>
      <c r="Q30" s="342"/>
      <c r="R30" s="342"/>
      <c r="S30" s="342"/>
      <c r="T30" s="342"/>
      <c r="U30" s="342"/>
      <c r="V30" s="342"/>
      <c r="W30" s="342"/>
    </row>
    <row r="31" spans="1:23" ht="12" customHeight="1" x14ac:dyDescent="0.2">
      <c r="A31" s="606" t="s">
        <v>1733</v>
      </c>
      <c r="B31" s="607" t="s">
        <v>1683</v>
      </c>
      <c r="C31" s="617" t="s">
        <v>1742</v>
      </c>
      <c r="D31" s="662">
        <v>17000</v>
      </c>
      <c r="E31" s="658">
        <v>0</v>
      </c>
      <c r="F31" s="622">
        <v>0</v>
      </c>
      <c r="G31" s="612" t="s">
        <v>1735</v>
      </c>
      <c r="H31" s="663" t="s">
        <v>1719</v>
      </c>
      <c r="I31" s="342"/>
      <c r="J31" s="342"/>
      <c r="K31" s="342"/>
      <c r="L31" s="342"/>
      <c r="M31" s="342"/>
      <c r="N31" s="342"/>
      <c r="O31" s="342"/>
      <c r="P31" s="342"/>
      <c r="Q31" s="342"/>
      <c r="R31" s="342"/>
      <c r="S31" s="342"/>
      <c r="T31" s="342"/>
      <c r="U31" s="342"/>
      <c r="V31" s="342"/>
      <c r="W31" s="342"/>
    </row>
    <row r="32" spans="1:23" ht="12" customHeight="1" x14ac:dyDescent="0.2">
      <c r="A32" s="606" t="s">
        <v>1743</v>
      </c>
      <c r="B32" s="607" t="s">
        <v>1683</v>
      </c>
      <c r="C32" s="617" t="s">
        <v>1744</v>
      </c>
      <c r="D32" s="662">
        <v>33500</v>
      </c>
      <c r="E32" s="658">
        <v>0</v>
      </c>
      <c r="F32" s="622">
        <v>0</v>
      </c>
      <c r="G32" s="612" t="s">
        <v>1745</v>
      </c>
      <c r="H32" s="663" t="s">
        <v>1719</v>
      </c>
      <c r="I32" s="342"/>
      <c r="J32" s="342"/>
      <c r="K32" s="342"/>
      <c r="L32" s="342"/>
      <c r="M32" s="342"/>
      <c r="N32" s="342"/>
      <c r="O32" s="342"/>
      <c r="P32" s="342"/>
      <c r="Q32" s="342"/>
      <c r="R32" s="342"/>
      <c r="S32" s="342"/>
      <c r="T32" s="342"/>
      <c r="U32" s="342"/>
      <c r="V32" s="342"/>
      <c r="W32" s="342"/>
    </row>
    <row r="33" spans="1:23" ht="12" customHeight="1" x14ac:dyDescent="0.2">
      <c r="A33" s="606" t="s">
        <v>1746</v>
      </c>
      <c r="B33" s="607" t="s">
        <v>1683</v>
      </c>
      <c r="C33" s="617" t="s">
        <v>1747</v>
      </c>
      <c r="D33" s="662">
        <v>18800</v>
      </c>
      <c r="E33" s="658">
        <v>0</v>
      </c>
      <c r="F33" s="622">
        <v>0</v>
      </c>
      <c r="G33" s="612" t="s">
        <v>1748</v>
      </c>
      <c r="H33" s="663" t="s">
        <v>1719</v>
      </c>
      <c r="I33" s="342"/>
      <c r="J33" s="342"/>
      <c r="K33" s="342"/>
      <c r="L33" s="342"/>
      <c r="M33" s="342"/>
      <c r="N33" s="342"/>
      <c r="O33" s="342"/>
      <c r="P33" s="342"/>
      <c r="Q33" s="342"/>
      <c r="R33" s="342"/>
      <c r="S33" s="342"/>
      <c r="T33" s="342"/>
      <c r="U33" s="342"/>
      <c r="V33" s="342"/>
      <c r="W33" s="342"/>
    </row>
    <row r="34" spans="1:23" ht="12" customHeight="1" x14ac:dyDescent="0.2">
      <c r="A34" s="606" t="s">
        <v>1716</v>
      </c>
      <c r="B34" s="607" t="s">
        <v>1683</v>
      </c>
      <c r="C34" s="617" t="s">
        <v>1720</v>
      </c>
      <c r="D34" s="662">
        <v>12000</v>
      </c>
      <c r="E34" s="658">
        <v>0</v>
      </c>
      <c r="F34" s="622">
        <v>0</v>
      </c>
      <c r="G34" s="612" t="s">
        <v>1718</v>
      </c>
      <c r="H34" s="663" t="s">
        <v>1719</v>
      </c>
      <c r="I34" s="342"/>
      <c r="J34" s="342"/>
      <c r="K34" s="342"/>
      <c r="L34" s="342"/>
      <c r="M34" s="342"/>
      <c r="N34" s="342"/>
      <c r="O34" s="342"/>
      <c r="P34" s="342"/>
      <c r="Q34" s="342"/>
      <c r="R34" s="342"/>
      <c r="S34" s="342"/>
      <c r="T34" s="342"/>
      <c r="U34" s="342"/>
      <c r="V34" s="342"/>
      <c r="W34" s="342"/>
    </row>
    <row r="35" spans="1:23" ht="12" customHeight="1" x14ac:dyDescent="0.2">
      <c r="A35" s="606" t="s">
        <v>1749</v>
      </c>
      <c r="B35" s="607" t="s">
        <v>1683</v>
      </c>
      <c r="C35" s="617" t="s">
        <v>1750</v>
      </c>
      <c r="D35" s="662">
        <v>21000</v>
      </c>
      <c r="E35" s="658">
        <v>0</v>
      </c>
      <c r="F35" s="622">
        <v>0</v>
      </c>
      <c r="G35" s="612" t="s">
        <v>1751</v>
      </c>
      <c r="H35" s="663" t="s">
        <v>1719</v>
      </c>
      <c r="I35" s="342"/>
      <c r="J35" s="342"/>
      <c r="K35" s="342"/>
      <c r="L35" s="342"/>
      <c r="M35" s="342"/>
      <c r="N35" s="342"/>
      <c r="O35" s="342"/>
      <c r="P35" s="342"/>
      <c r="Q35" s="342"/>
      <c r="R35" s="342"/>
      <c r="S35" s="342"/>
      <c r="T35" s="342"/>
      <c r="U35" s="342"/>
      <c r="V35" s="342"/>
      <c r="W35" s="342"/>
    </row>
    <row r="36" spans="1:23" ht="12" customHeight="1" x14ac:dyDescent="0.2">
      <c r="A36" s="606" t="s">
        <v>1752</v>
      </c>
      <c r="B36" s="607" t="s">
        <v>1683</v>
      </c>
      <c r="C36" s="617" t="s">
        <v>1753</v>
      </c>
      <c r="D36" s="662">
        <v>7000</v>
      </c>
      <c r="E36" s="658">
        <v>0</v>
      </c>
      <c r="F36" s="622">
        <v>0</v>
      </c>
      <c r="G36" s="612" t="s">
        <v>1754</v>
      </c>
      <c r="H36" s="663" t="s">
        <v>1719</v>
      </c>
      <c r="I36" s="342"/>
      <c r="J36" s="342"/>
      <c r="K36" s="342"/>
      <c r="L36" s="342"/>
      <c r="M36" s="342"/>
      <c r="N36" s="342"/>
      <c r="O36" s="342"/>
      <c r="P36" s="342"/>
      <c r="Q36" s="342"/>
      <c r="R36" s="342"/>
      <c r="S36" s="342"/>
      <c r="T36" s="342"/>
      <c r="U36" s="342"/>
      <c r="V36" s="342"/>
      <c r="W36" s="342"/>
    </row>
    <row r="37" spans="1:23" ht="12" customHeight="1" x14ac:dyDescent="0.2">
      <c r="A37" s="606" t="s">
        <v>1755</v>
      </c>
      <c r="B37" s="607" t="s">
        <v>1683</v>
      </c>
      <c r="C37" s="617" t="s">
        <v>1756</v>
      </c>
      <c r="D37" s="662">
        <v>8000</v>
      </c>
      <c r="E37" s="658">
        <v>0</v>
      </c>
      <c r="F37" s="622">
        <v>0</v>
      </c>
      <c r="G37" s="612" t="s">
        <v>1757</v>
      </c>
      <c r="H37" s="663" t="s">
        <v>1719</v>
      </c>
      <c r="I37" s="342"/>
      <c r="J37" s="342"/>
      <c r="K37" s="342"/>
      <c r="L37" s="342"/>
      <c r="M37" s="342"/>
      <c r="N37" s="342"/>
      <c r="O37" s="342"/>
      <c r="P37" s="342"/>
      <c r="Q37" s="342"/>
      <c r="R37" s="342"/>
      <c r="S37" s="342"/>
      <c r="T37" s="342"/>
      <c r="U37" s="342"/>
      <c r="V37" s="342"/>
      <c r="W37" s="342"/>
    </row>
    <row r="38" spans="1:23" ht="12" customHeight="1" x14ac:dyDescent="0.2">
      <c r="A38" s="606" t="s">
        <v>1758</v>
      </c>
      <c r="B38" s="607" t="s">
        <v>1683</v>
      </c>
      <c r="C38" s="617" t="s">
        <v>1759</v>
      </c>
      <c r="D38" s="662">
        <v>18000</v>
      </c>
      <c r="E38" s="658">
        <v>0</v>
      </c>
      <c r="F38" s="622">
        <v>0</v>
      </c>
      <c r="G38" s="612" t="s">
        <v>1760</v>
      </c>
      <c r="H38" s="663" t="s">
        <v>1719</v>
      </c>
      <c r="I38" s="342"/>
      <c r="J38" s="342"/>
      <c r="K38" s="342"/>
      <c r="L38" s="342"/>
      <c r="M38" s="342"/>
      <c r="N38" s="342"/>
      <c r="O38" s="342"/>
      <c r="P38" s="342"/>
      <c r="Q38" s="342"/>
      <c r="R38" s="342"/>
      <c r="S38" s="342"/>
      <c r="T38" s="342"/>
      <c r="U38" s="342"/>
      <c r="V38" s="342"/>
      <c r="W38" s="342"/>
    </row>
    <row r="39" spans="1:23" ht="12" customHeight="1" x14ac:dyDescent="0.2">
      <c r="A39" s="606" t="s">
        <v>1761</v>
      </c>
      <c r="B39" s="607" t="s">
        <v>1683</v>
      </c>
      <c r="C39" s="617" t="s">
        <v>1762</v>
      </c>
      <c r="D39" s="662">
        <v>18000</v>
      </c>
      <c r="E39" s="658">
        <v>0</v>
      </c>
      <c r="F39" s="622">
        <v>0</v>
      </c>
      <c r="G39" s="612" t="s">
        <v>1763</v>
      </c>
      <c r="H39" s="663" t="s">
        <v>1719</v>
      </c>
      <c r="I39" s="342"/>
      <c r="J39" s="342"/>
      <c r="K39" s="342"/>
      <c r="L39" s="342"/>
      <c r="M39" s="342"/>
      <c r="N39" s="342"/>
      <c r="O39" s="342"/>
      <c r="P39" s="342"/>
      <c r="Q39" s="342"/>
      <c r="R39" s="342"/>
      <c r="S39" s="342"/>
      <c r="T39" s="342"/>
      <c r="U39" s="342"/>
      <c r="V39" s="342"/>
      <c r="W39" s="342"/>
    </row>
    <row r="40" spans="1:23" ht="12" customHeight="1" x14ac:dyDescent="0.2">
      <c r="A40" s="606" t="s">
        <v>1764</v>
      </c>
      <c r="B40" s="607" t="s">
        <v>1683</v>
      </c>
      <c r="C40" s="617" t="s">
        <v>1765</v>
      </c>
      <c r="D40" s="662">
        <v>6000</v>
      </c>
      <c r="E40" s="658">
        <v>0</v>
      </c>
      <c r="F40" s="622">
        <v>0</v>
      </c>
      <c r="G40" s="612" t="s">
        <v>1766</v>
      </c>
      <c r="H40" s="663" t="s">
        <v>1719</v>
      </c>
      <c r="I40" s="342"/>
      <c r="J40" s="342"/>
      <c r="K40" s="342"/>
      <c r="L40" s="342"/>
      <c r="M40" s="342"/>
      <c r="N40" s="342"/>
      <c r="O40" s="342"/>
      <c r="P40" s="342"/>
      <c r="Q40" s="342"/>
      <c r="R40" s="342"/>
      <c r="S40" s="342"/>
      <c r="T40" s="342"/>
      <c r="U40" s="342"/>
      <c r="V40" s="342"/>
      <c r="W40" s="342"/>
    </row>
    <row r="41" spans="1:23" ht="12" customHeight="1" x14ac:dyDescent="0.2">
      <c r="A41" s="606" t="s">
        <v>1767</v>
      </c>
      <c r="B41" s="607" t="s">
        <v>1683</v>
      </c>
      <c r="C41" s="617" t="s">
        <v>1768</v>
      </c>
      <c r="D41" s="662">
        <v>7000</v>
      </c>
      <c r="E41" s="658">
        <v>0</v>
      </c>
      <c r="F41" s="622">
        <v>0</v>
      </c>
      <c r="G41" s="612" t="s">
        <v>1769</v>
      </c>
      <c r="H41" s="663" t="s">
        <v>1719</v>
      </c>
      <c r="I41" s="342"/>
      <c r="J41" s="342"/>
      <c r="K41" s="342"/>
      <c r="L41" s="342"/>
      <c r="M41" s="342"/>
      <c r="N41" s="342"/>
      <c r="O41" s="342"/>
      <c r="P41" s="342"/>
      <c r="Q41" s="342"/>
      <c r="R41" s="342"/>
      <c r="S41" s="342"/>
      <c r="T41" s="342"/>
      <c r="U41" s="342"/>
      <c r="V41" s="342"/>
      <c r="W41" s="342"/>
    </row>
    <row r="42" spans="1:23" ht="12" customHeight="1" x14ac:dyDescent="0.2">
      <c r="A42" s="606" t="s">
        <v>1770</v>
      </c>
      <c r="B42" s="607" t="s">
        <v>1683</v>
      </c>
      <c r="C42" s="617" t="s">
        <v>1771</v>
      </c>
      <c r="D42" s="662">
        <v>21000</v>
      </c>
      <c r="E42" s="658">
        <v>0</v>
      </c>
      <c r="F42" s="622">
        <v>0</v>
      </c>
      <c r="G42" s="612" t="s">
        <v>1772</v>
      </c>
      <c r="H42" s="663" t="s">
        <v>1719</v>
      </c>
      <c r="I42" s="342"/>
      <c r="J42" s="342"/>
      <c r="K42" s="342"/>
      <c r="L42" s="342"/>
      <c r="M42" s="342"/>
      <c r="N42" s="342"/>
      <c r="O42" s="342"/>
      <c r="P42" s="342"/>
      <c r="Q42" s="342"/>
      <c r="R42" s="342"/>
      <c r="S42" s="342"/>
      <c r="T42" s="342"/>
      <c r="U42" s="342"/>
      <c r="V42" s="342"/>
      <c r="W42" s="342"/>
    </row>
    <row r="43" spans="1:23" ht="12" customHeight="1" x14ac:dyDescent="0.2">
      <c r="A43" s="606" t="s">
        <v>1773</v>
      </c>
      <c r="B43" s="607" t="s">
        <v>1683</v>
      </c>
      <c r="C43" s="617" t="s">
        <v>1774</v>
      </c>
      <c r="D43" s="662">
        <v>7000</v>
      </c>
      <c r="E43" s="658">
        <v>0</v>
      </c>
      <c r="F43" s="622">
        <v>0</v>
      </c>
      <c r="G43" s="612" t="s">
        <v>1775</v>
      </c>
      <c r="H43" s="663" t="s">
        <v>1719</v>
      </c>
      <c r="I43" s="342"/>
      <c r="J43" s="342"/>
      <c r="K43" s="342"/>
      <c r="L43" s="342"/>
      <c r="M43" s="342"/>
      <c r="N43" s="342"/>
      <c r="O43" s="342"/>
      <c r="P43" s="342"/>
      <c r="Q43" s="342"/>
      <c r="R43" s="342"/>
      <c r="S43" s="342"/>
      <c r="T43" s="342"/>
      <c r="U43" s="342"/>
      <c r="V43" s="342"/>
      <c r="W43" s="342"/>
    </row>
    <row r="44" spans="1:23" ht="12" customHeight="1" x14ac:dyDescent="0.2">
      <c r="A44" s="606" t="s">
        <v>1776</v>
      </c>
      <c r="B44" s="607" t="s">
        <v>1683</v>
      </c>
      <c r="C44" s="617" t="s">
        <v>1777</v>
      </c>
      <c r="D44" s="662">
        <v>5200</v>
      </c>
      <c r="E44" s="658">
        <v>0</v>
      </c>
      <c r="F44" s="622">
        <v>0</v>
      </c>
      <c r="G44" s="612" t="s">
        <v>1778</v>
      </c>
      <c r="H44" s="663" t="s">
        <v>1719</v>
      </c>
      <c r="I44" s="342"/>
      <c r="J44" s="342"/>
      <c r="K44" s="342"/>
      <c r="L44" s="342"/>
      <c r="M44" s="342"/>
      <c r="N44" s="342"/>
      <c r="O44" s="342"/>
      <c r="P44" s="342"/>
      <c r="Q44" s="342"/>
      <c r="R44" s="342"/>
      <c r="S44" s="342"/>
      <c r="T44" s="342"/>
      <c r="U44" s="342"/>
      <c r="V44" s="342"/>
      <c r="W44" s="342"/>
    </row>
    <row r="45" spans="1:23" ht="12" customHeight="1" x14ac:dyDescent="0.2">
      <c r="A45" s="606" t="s">
        <v>1730</v>
      </c>
      <c r="B45" s="607" t="s">
        <v>1683</v>
      </c>
      <c r="C45" s="617" t="s">
        <v>1731</v>
      </c>
      <c r="D45" s="662">
        <v>11000</v>
      </c>
      <c r="E45" s="658">
        <v>0</v>
      </c>
      <c r="F45" s="622">
        <v>0</v>
      </c>
      <c r="G45" s="612" t="s">
        <v>1732</v>
      </c>
      <c r="H45" s="663" t="s">
        <v>1719</v>
      </c>
      <c r="I45" s="342"/>
      <c r="J45" s="342"/>
      <c r="K45" s="342"/>
      <c r="L45" s="342"/>
      <c r="M45" s="342"/>
      <c r="N45" s="342"/>
      <c r="O45" s="342"/>
      <c r="P45" s="342"/>
      <c r="Q45" s="342"/>
      <c r="R45" s="342"/>
      <c r="S45" s="342"/>
      <c r="T45" s="342"/>
      <c r="U45" s="342"/>
      <c r="V45" s="342"/>
      <c r="W45" s="342"/>
    </row>
    <row r="46" spans="1:23" ht="12" customHeight="1" x14ac:dyDescent="0.2">
      <c r="A46" s="606" t="s">
        <v>1779</v>
      </c>
      <c r="B46" s="607" t="s">
        <v>1683</v>
      </c>
      <c r="C46" s="617" t="s">
        <v>1780</v>
      </c>
      <c r="D46" s="662">
        <v>9000</v>
      </c>
      <c r="E46" s="658">
        <v>0</v>
      </c>
      <c r="F46" s="622">
        <v>0</v>
      </c>
      <c r="G46" s="612" t="s">
        <v>1781</v>
      </c>
      <c r="H46" s="663" t="s">
        <v>1719</v>
      </c>
      <c r="I46" s="342"/>
      <c r="J46" s="342"/>
      <c r="K46" s="342"/>
      <c r="L46" s="342"/>
      <c r="M46" s="342"/>
      <c r="N46" s="342"/>
      <c r="O46" s="342"/>
      <c r="P46" s="342"/>
      <c r="Q46" s="342"/>
      <c r="R46" s="342"/>
      <c r="S46" s="342"/>
      <c r="T46" s="342"/>
      <c r="U46" s="342"/>
      <c r="V46" s="342"/>
      <c r="W46" s="342"/>
    </row>
    <row r="47" spans="1:23" ht="12" customHeight="1" x14ac:dyDescent="0.2">
      <c r="A47" s="606" t="s">
        <v>1782</v>
      </c>
      <c r="B47" s="607" t="s">
        <v>1683</v>
      </c>
      <c r="C47" s="617" t="s">
        <v>1783</v>
      </c>
      <c r="D47" s="662">
        <v>30000</v>
      </c>
      <c r="E47" s="658">
        <v>0</v>
      </c>
      <c r="F47" s="622">
        <v>0</v>
      </c>
      <c r="G47" s="612" t="s">
        <v>1784</v>
      </c>
      <c r="H47" s="663" t="s">
        <v>1719</v>
      </c>
      <c r="I47" s="342"/>
      <c r="J47" s="342"/>
      <c r="K47" s="342"/>
      <c r="L47" s="342"/>
      <c r="M47" s="342"/>
      <c r="N47" s="342"/>
      <c r="O47" s="342"/>
      <c r="P47" s="342"/>
      <c r="Q47" s="342"/>
      <c r="R47" s="342"/>
      <c r="S47" s="342"/>
      <c r="T47" s="342"/>
      <c r="U47" s="342"/>
      <c r="V47" s="342"/>
      <c r="W47" s="342"/>
    </row>
    <row r="48" spans="1:23" ht="12" customHeight="1" x14ac:dyDescent="0.2">
      <c r="A48" s="606" t="s">
        <v>1785</v>
      </c>
      <c r="B48" s="607" t="s">
        <v>1683</v>
      </c>
      <c r="C48" s="617" t="s">
        <v>1786</v>
      </c>
      <c r="D48" s="662">
        <v>25000</v>
      </c>
      <c r="E48" s="658">
        <v>0</v>
      </c>
      <c r="F48" s="622">
        <v>0</v>
      </c>
      <c r="G48" s="612" t="s">
        <v>1787</v>
      </c>
      <c r="H48" s="663" t="s">
        <v>1719</v>
      </c>
      <c r="I48" s="342"/>
      <c r="J48" s="342"/>
      <c r="K48" s="342"/>
      <c r="L48" s="342"/>
      <c r="M48" s="342"/>
      <c r="N48" s="342"/>
      <c r="O48" s="342"/>
      <c r="P48" s="342"/>
      <c r="Q48" s="342"/>
      <c r="R48" s="342"/>
      <c r="S48" s="342"/>
      <c r="T48" s="342"/>
      <c r="U48" s="342"/>
      <c r="V48" s="342"/>
      <c r="W48" s="342"/>
    </row>
    <row r="49" spans="1:23" ht="12" customHeight="1" x14ac:dyDescent="0.2">
      <c r="A49" s="606" t="s">
        <v>1788</v>
      </c>
      <c r="B49" s="607" t="s">
        <v>1683</v>
      </c>
      <c r="C49" s="617" t="s">
        <v>1742</v>
      </c>
      <c r="D49" s="662">
        <v>8500</v>
      </c>
      <c r="E49" s="658">
        <v>0</v>
      </c>
      <c r="F49" s="622">
        <v>0</v>
      </c>
      <c r="G49" s="612" t="s">
        <v>1789</v>
      </c>
      <c r="H49" s="663" t="s">
        <v>1719</v>
      </c>
      <c r="I49" s="342"/>
      <c r="J49" s="342"/>
      <c r="K49" s="342"/>
      <c r="L49" s="342"/>
      <c r="M49" s="342"/>
      <c r="N49" s="342"/>
      <c r="O49" s="342"/>
      <c r="P49" s="342"/>
      <c r="Q49" s="342"/>
      <c r="R49" s="342"/>
      <c r="S49" s="342"/>
      <c r="T49" s="342"/>
      <c r="U49" s="342"/>
      <c r="V49" s="342"/>
      <c r="W49" s="342"/>
    </row>
    <row r="50" spans="1:23" ht="12" customHeight="1" x14ac:dyDescent="0.2">
      <c r="A50" s="606" t="s">
        <v>1790</v>
      </c>
      <c r="B50" s="607" t="s">
        <v>1683</v>
      </c>
      <c r="C50" s="617" t="s">
        <v>1791</v>
      </c>
      <c r="D50" s="662">
        <v>30000</v>
      </c>
      <c r="E50" s="658">
        <v>0</v>
      </c>
      <c r="F50" s="622">
        <v>0</v>
      </c>
      <c r="G50" s="612" t="s">
        <v>1792</v>
      </c>
      <c r="H50" s="663" t="s">
        <v>1719</v>
      </c>
      <c r="I50" s="342"/>
      <c r="J50" s="342"/>
      <c r="K50" s="342"/>
      <c r="L50" s="342"/>
      <c r="M50" s="342"/>
      <c r="N50" s="342"/>
      <c r="O50" s="342"/>
      <c r="P50" s="342"/>
      <c r="Q50" s="342"/>
      <c r="R50" s="342"/>
      <c r="S50" s="342"/>
      <c r="T50" s="342"/>
      <c r="U50" s="342"/>
      <c r="V50" s="342"/>
      <c r="W50" s="342"/>
    </row>
    <row r="51" spans="1:23" ht="12" customHeight="1" x14ac:dyDescent="0.2">
      <c r="A51" s="606" t="s">
        <v>1793</v>
      </c>
      <c r="B51" s="607" t="s">
        <v>1683</v>
      </c>
      <c r="C51" s="617" t="s">
        <v>1794</v>
      </c>
      <c r="D51" s="662">
        <v>30000</v>
      </c>
      <c r="E51" s="658">
        <v>0</v>
      </c>
      <c r="F51" s="622">
        <v>0</v>
      </c>
      <c r="G51" s="612" t="s">
        <v>1795</v>
      </c>
      <c r="H51" s="663" t="s">
        <v>1719</v>
      </c>
      <c r="I51" s="342"/>
      <c r="J51" s="342"/>
      <c r="K51" s="342"/>
      <c r="L51" s="342"/>
      <c r="M51" s="342"/>
      <c r="N51" s="342"/>
      <c r="O51" s="342"/>
      <c r="P51" s="342"/>
      <c r="Q51" s="342"/>
      <c r="R51" s="342"/>
      <c r="S51" s="342"/>
      <c r="T51" s="342"/>
      <c r="U51" s="342"/>
      <c r="V51" s="342"/>
      <c r="W51" s="342"/>
    </row>
    <row r="52" spans="1:23" ht="12" customHeight="1" x14ac:dyDescent="0.2">
      <c r="A52" s="606" t="s">
        <v>1796</v>
      </c>
      <c r="B52" s="607" t="s">
        <v>1683</v>
      </c>
      <c r="C52" s="617" t="s">
        <v>1768</v>
      </c>
      <c r="D52" s="662">
        <v>10000</v>
      </c>
      <c r="E52" s="658">
        <v>0</v>
      </c>
      <c r="F52" s="622">
        <v>0</v>
      </c>
      <c r="G52" s="612" t="s">
        <v>1797</v>
      </c>
      <c r="H52" s="663" t="s">
        <v>1719</v>
      </c>
      <c r="I52" s="342"/>
      <c r="J52" s="342"/>
      <c r="K52" s="342"/>
      <c r="L52" s="342"/>
      <c r="M52" s="342"/>
      <c r="N52" s="342"/>
      <c r="O52" s="342"/>
      <c r="P52" s="342"/>
      <c r="Q52" s="342"/>
      <c r="R52" s="342"/>
      <c r="S52" s="342"/>
      <c r="T52" s="342"/>
      <c r="U52" s="342"/>
      <c r="V52" s="342"/>
      <c r="W52" s="342"/>
    </row>
    <row r="53" spans="1:23" ht="12" customHeight="1" x14ac:dyDescent="0.2">
      <c r="A53" s="606" t="s">
        <v>1798</v>
      </c>
      <c r="B53" s="607" t="s">
        <v>1683</v>
      </c>
      <c r="C53" s="617" t="s">
        <v>1786</v>
      </c>
      <c r="D53" s="662">
        <v>25000</v>
      </c>
      <c r="E53" s="658">
        <v>0</v>
      </c>
      <c r="F53" s="622">
        <v>0</v>
      </c>
      <c r="G53" s="612" t="s">
        <v>1799</v>
      </c>
      <c r="H53" s="663" t="s">
        <v>1719</v>
      </c>
      <c r="I53" s="342"/>
      <c r="J53" s="342"/>
      <c r="K53" s="342"/>
      <c r="L53" s="342"/>
      <c r="M53" s="342"/>
      <c r="N53" s="342"/>
      <c r="O53" s="342"/>
      <c r="P53" s="342"/>
      <c r="Q53" s="342"/>
      <c r="R53" s="342"/>
      <c r="S53" s="342"/>
      <c r="T53" s="342"/>
      <c r="U53" s="342"/>
      <c r="V53" s="342"/>
      <c r="W53" s="342"/>
    </row>
    <row r="54" spans="1:23" ht="12" customHeight="1" x14ac:dyDescent="0.2">
      <c r="A54" s="606" t="s">
        <v>1800</v>
      </c>
      <c r="B54" s="607" t="s">
        <v>1683</v>
      </c>
      <c r="C54" s="617" t="s">
        <v>1801</v>
      </c>
      <c r="D54" s="662">
        <v>18000</v>
      </c>
      <c r="E54" s="658">
        <v>0</v>
      </c>
      <c r="F54" s="622">
        <v>0</v>
      </c>
      <c r="G54" s="612" t="s">
        <v>1802</v>
      </c>
      <c r="H54" s="663" t="s">
        <v>1719</v>
      </c>
      <c r="I54" s="342"/>
      <c r="J54" s="342"/>
      <c r="K54" s="342"/>
      <c r="L54" s="342"/>
      <c r="M54" s="342"/>
      <c r="N54" s="342"/>
      <c r="O54" s="342"/>
      <c r="P54" s="342"/>
      <c r="Q54" s="342"/>
      <c r="R54" s="342"/>
      <c r="S54" s="342"/>
      <c r="T54" s="342"/>
      <c r="U54" s="342"/>
      <c r="V54" s="342"/>
      <c r="W54" s="342"/>
    </row>
    <row r="55" spans="1:23" ht="12" customHeight="1" x14ac:dyDescent="0.2">
      <c r="A55" s="606" t="s">
        <v>1803</v>
      </c>
      <c r="B55" s="607" t="s">
        <v>1683</v>
      </c>
      <c r="C55" s="617" t="s">
        <v>1768</v>
      </c>
      <c r="D55" s="662">
        <v>10000</v>
      </c>
      <c r="E55" s="658">
        <v>0</v>
      </c>
      <c r="F55" s="622">
        <v>0</v>
      </c>
      <c r="G55" s="612" t="s">
        <v>1804</v>
      </c>
      <c r="H55" s="663" t="s">
        <v>1719</v>
      </c>
      <c r="I55" s="342"/>
      <c r="J55" s="342"/>
      <c r="K55" s="342"/>
      <c r="L55" s="342"/>
      <c r="M55" s="342"/>
      <c r="N55" s="342"/>
      <c r="O55" s="342"/>
      <c r="P55" s="342"/>
      <c r="Q55" s="342"/>
      <c r="R55" s="342"/>
      <c r="S55" s="342"/>
      <c r="T55" s="342"/>
      <c r="U55" s="342"/>
      <c r="V55" s="342"/>
      <c r="W55" s="342"/>
    </row>
    <row r="56" spans="1:23" ht="12" customHeight="1" x14ac:dyDescent="0.2">
      <c r="A56" s="606" t="s">
        <v>1805</v>
      </c>
      <c r="B56" s="618" t="s">
        <v>1806</v>
      </c>
      <c r="C56" s="621" t="s">
        <v>1683</v>
      </c>
      <c r="D56" s="664">
        <v>160026</v>
      </c>
      <c r="E56" s="658">
        <v>0</v>
      </c>
      <c r="F56" s="622">
        <v>0</v>
      </c>
      <c r="G56" s="612" t="s">
        <v>1807</v>
      </c>
      <c r="H56" s="663" t="s">
        <v>1808</v>
      </c>
      <c r="I56" s="342"/>
      <c r="J56" s="342"/>
      <c r="K56" s="342"/>
      <c r="L56" s="342"/>
      <c r="M56" s="342"/>
      <c r="N56" s="342"/>
      <c r="O56" s="342"/>
      <c r="P56" s="342"/>
      <c r="Q56" s="342"/>
      <c r="R56" s="342"/>
      <c r="S56" s="342"/>
      <c r="T56" s="342"/>
      <c r="U56" s="342"/>
      <c r="V56" s="342"/>
      <c r="W56" s="342"/>
    </row>
    <row r="57" spans="1:23" ht="12" customHeight="1" x14ac:dyDescent="0.2">
      <c r="A57" s="606" t="s">
        <v>1809</v>
      </c>
      <c r="B57" s="607" t="s">
        <v>1810</v>
      </c>
      <c r="C57" s="621" t="s">
        <v>1683</v>
      </c>
      <c r="D57" s="664">
        <v>52417.49</v>
      </c>
      <c r="E57" s="658">
        <v>0</v>
      </c>
      <c r="F57" s="622">
        <v>0</v>
      </c>
      <c r="G57" s="612" t="s">
        <v>1811</v>
      </c>
      <c r="H57" s="663" t="s">
        <v>1808</v>
      </c>
      <c r="I57" s="342"/>
      <c r="J57" s="342"/>
      <c r="K57" s="342"/>
      <c r="L57" s="342"/>
      <c r="M57" s="342"/>
      <c r="N57" s="342"/>
      <c r="O57" s="342"/>
      <c r="P57" s="342"/>
      <c r="Q57" s="342"/>
      <c r="R57" s="342"/>
      <c r="S57" s="342"/>
      <c r="T57" s="342"/>
      <c r="U57" s="342"/>
      <c r="V57" s="342"/>
      <c r="W57" s="342"/>
    </row>
    <row r="58" spans="1:23" ht="12" customHeight="1" x14ac:dyDescent="0.2">
      <c r="A58" s="665" t="s">
        <v>1812</v>
      </c>
      <c r="B58" s="607" t="s">
        <v>1813</v>
      </c>
      <c r="C58" s="621" t="s">
        <v>1683</v>
      </c>
      <c r="D58" s="658">
        <v>87168.6</v>
      </c>
      <c r="E58" s="658">
        <v>0</v>
      </c>
      <c r="F58" s="622">
        <v>0</v>
      </c>
      <c r="G58" s="603" t="s">
        <v>1814</v>
      </c>
      <c r="H58" s="663" t="s">
        <v>1815</v>
      </c>
      <c r="I58" s="342"/>
      <c r="J58" s="342"/>
      <c r="K58" s="342"/>
      <c r="L58" s="342"/>
      <c r="M58" s="342"/>
      <c r="N58" s="342"/>
      <c r="O58" s="342"/>
      <c r="P58" s="342"/>
      <c r="Q58" s="342"/>
      <c r="R58" s="342"/>
      <c r="S58" s="342"/>
      <c r="T58" s="342"/>
      <c r="U58" s="342"/>
      <c r="V58" s="342"/>
      <c r="W58" s="342"/>
    </row>
    <row r="59" spans="1:23" ht="12" customHeight="1" x14ac:dyDescent="0.2">
      <c r="A59" s="666" t="s">
        <v>1816</v>
      </c>
      <c r="B59" s="607" t="s">
        <v>1683</v>
      </c>
      <c r="C59" s="667" t="s">
        <v>1817</v>
      </c>
      <c r="D59" s="658">
        <v>23140</v>
      </c>
      <c r="E59" s="658">
        <v>0</v>
      </c>
      <c r="F59" s="622">
        <v>0</v>
      </c>
      <c r="G59" s="603" t="s">
        <v>1818</v>
      </c>
      <c r="H59" s="663" t="s">
        <v>1815</v>
      </c>
      <c r="I59" s="342"/>
      <c r="J59" s="342"/>
      <c r="K59" s="342"/>
      <c r="L59" s="342"/>
      <c r="M59" s="342"/>
      <c r="N59" s="342"/>
      <c r="O59" s="342"/>
      <c r="P59" s="342"/>
      <c r="Q59" s="342"/>
      <c r="R59" s="342"/>
      <c r="S59" s="342"/>
      <c r="T59" s="342"/>
      <c r="U59" s="342"/>
      <c r="V59" s="342"/>
      <c r="W59" s="342"/>
    </row>
    <row r="60" spans="1:23" ht="12" customHeight="1" x14ac:dyDescent="0.2">
      <c r="A60" s="666" t="s">
        <v>1819</v>
      </c>
      <c r="B60" s="607" t="s">
        <v>1683</v>
      </c>
      <c r="C60" s="667" t="s">
        <v>1820</v>
      </c>
      <c r="D60" s="658">
        <v>6140</v>
      </c>
      <c r="E60" s="658">
        <v>0</v>
      </c>
      <c r="F60" s="622">
        <v>0</v>
      </c>
      <c r="G60" s="603" t="s">
        <v>1821</v>
      </c>
      <c r="H60" s="663" t="s">
        <v>1815</v>
      </c>
      <c r="I60" s="342"/>
      <c r="J60" s="342"/>
      <c r="K60" s="342"/>
      <c r="L60" s="342"/>
      <c r="M60" s="342"/>
      <c r="N60" s="342"/>
      <c r="O60" s="342"/>
      <c r="P60" s="342"/>
      <c r="Q60" s="342"/>
      <c r="R60" s="342"/>
      <c r="S60" s="342"/>
      <c r="T60" s="342"/>
      <c r="U60" s="342"/>
      <c r="V60" s="342"/>
      <c r="W60" s="342"/>
    </row>
    <row r="61" spans="1:23" ht="12" customHeight="1" x14ac:dyDescent="0.2">
      <c r="A61" s="666" t="s">
        <v>1822</v>
      </c>
      <c r="B61" s="601" t="s">
        <v>1823</v>
      </c>
      <c r="C61" s="621" t="s">
        <v>1683</v>
      </c>
      <c r="D61" s="658">
        <v>8526.76</v>
      </c>
      <c r="E61" s="658">
        <v>0</v>
      </c>
      <c r="F61" s="622">
        <v>0</v>
      </c>
      <c r="G61" s="603" t="s">
        <v>1822</v>
      </c>
      <c r="H61" s="663" t="s">
        <v>1815</v>
      </c>
      <c r="I61" s="342"/>
      <c r="J61" s="342"/>
      <c r="K61" s="342"/>
      <c r="L61" s="342"/>
      <c r="M61" s="342"/>
      <c r="N61" s="342"/>
      <c r="O61" s="342"/>
      <c r="P61" s="342"/>
      <c r="Q61" s="342"/>
      <c r="R61" s="342"/>
      <c r="S61" s="342"/>
      <c r="T61" s="342"/>
      <c r="U61" s="342"/>
      <c r="V61" s="342"/>
      <c r="W61" s="342"/>
    </row>
    <row r="62" spans="1:23" ht="12" customHeight="1" x14ac:dyDescent="0.2">
      <c r="A62" s="600" t="s">
        <v>1824</v>
      </c>
      <c r="B62" s="607" t="s">
        <v>1683</v>
      </c>
      <c r="C62" s="601" t="s">
        <v>1825</v>
      </c>
      <c r="D62" s="658">
        <v>15000</v>
      </c>
      <c r="E62" s="658">
        <v>0</v>
      </c>
      <c r="F62" s="622">
        <v>0</v>
      </c>
      <c r="G62" s="612" t="s">
        <v>1826</v>
      </c>
      <c r="H62" s="663" t="s">
        <v>1815</v>
      </c>
      <c r="I62" s="342"/>
      <c r="J62" s="342"/>
      <c r="K62" s="342"/>
      <c r="L62" s="342"/>
      <c r="M62" s="342"/>
      <c r="N62" s="342"/>
      <c r="O62" s="342"/>
      <c r="P62" s="342"/>
      <c r="Q62" s="342"/>
      <c r="R62" s="342"/>
      <c r="S62" s="342"/>
      <c r="T62" s="342"/>
      <c r="U62" s="342"/>
      <c r="V62" s="342"/>
      <c r="W62" s="342"/>
    </row>
    <row r="63" spans="1:23" ht="12" customHeight="1" x14ac:dyDescent="0.2">
      <c r="A63" s="666" t="s">
        <v>1827</v>
      </c>
      <c r="B63" s="601" t="s">
        <v>1828</v>
      </c>
      <c r="C63" s="621" t="s">
        <v>1683</v>
      </c>
      <c r="D63" s="658">
        <v>30000</v>
      </c>
      <c r="E63" s="658">
        <v>0</v>
      </c>
      <c r="F63" s="622">
        <v>0</v>
      </c>
      <c r="G63" s="612" t="s">
        <v>1829</v>
      </c>
      <c r="H63" s="663" t="s">
        <v>1815</v>
      </c>
      <c r="I63" s="342"/>
      <c r="J63" s="342"/>
      <c r="K63" s="342"/>
      <c r="L63" s="342"/>
      <c r="M63" s="342"/>
      <c r="N63" s="342"/>
      <c r="O63" s="342"/>
      <c r="P63" s="342"/>
      <c r="Q63" s="342"/>
      <c r="R63" s="342"/>
      <c r="S63" s="342"/>
      <c r="T63" s="342"/>
      <c r="U63" s="342"/>
      <c r="V63" s="342"/>
      <c r="W63" s="342"/>
    </row>
    <row r="64" spans="1:23" ht="12" customHeight="1" x14ac:dyDescent="0.2">
      <c r="A64" s="666" t="s">
        <v>1830</v>
      </c>
      <c r="B64" s="607" t="s">
        <v>1683</v>
      </c>
      <c r="C64" s="667" t="s">
        <v>1831</v>
      </c>
      <c r="D64" s="658">
        <v>10000</v>
      </c>
      <c r="E64" s="658">
        <v>0</v>
      </c>
      <c r="F64" s="622">
        <v>0</v>
      </c>
      <c r="G64" s="612" t="s">
        <v>1832</v>
      </c>
      <c r="H64" s="663" t="s">
        <v>1833</v>
      </c>
      <c r="I64" s="342"/>
      <c r="J64" s="342"/>
      <c r="K64" s="342"/>
      <c r="L64" s="342"/>
      <c r="M64" s="342"/>
      <c r="N64" s="342"/>
      <c r="O64" s="342"/>
      <c r="P64" s="342"/>
      <c r="Q64" s="342"/>
      <c r="R64" s="342"/>
      <c r="S64" s="342"/>
      <c r="T64" s="342"/>
      <c r="U64" s="342"/>
      <c r="V64" s="342"/>
      <c r="W64" s="342"/>
    </row>
    <row r="65" spans="1:23" ht="12" customHeight="1" x14ac:dyDescent="0.2">
      <c r="A65" s="666" t="s">
        <v>1834</v>
      </c>
      <c r="B65" s="601" t="s">
        <v>1835</v>
      </c>
      <c r="C65" s="621" t="s">
        <v>1683</v>
      </c>
      <c r="D65" s="658">
        <v>9742.16</v>
      </c>
      <c r="E65" s="658">
        <v>0</v>
      </c>
      <c r="F65" s="622">
        <v>0</v>
      </c>
      <c r="G65" s="603" t="s">
        <v>1836</v>
      </c>
      <c r="H65" s="663" t="s">
        <v>1815</v>
      </c>
      <c r="I65" s="342"/>
      <c r="J65" s="342"/>
      <c r="K65" s="342"/>
      <c r="L65" s="342"/>
      <c r="M65" s="342"/>
      <c r="N65" s="342"/>
      <c r="O65" s="342"/>
      <c r="P65" s="342"/>
      <c r="Q65" s="342"/>
      <c r="R65" s="342"/>
      <c r="S65" s="342"/>
      <c r="T65" s="342"/>
      <c r="U65" s="342"/>
      <c r="V65" s="342"/>
      <c r="W65" s="342"/>
    </row>
    <row r="66" spans="1:23" ht="12" customHeight="1" x14ac:dyDescent="0.2">
      <c r="A66" s="666" t="s">
        <v>1837</v>
      </c>
      <c r="B66" s="607" t="s">
        <v>1683</v>
      </c>
      <c r="C66" s="667" t="s">
        <v>1838</v>
      </c>
      <c r="D66" s="658">
        <v>15000</v>
      </c>
      <c r="E66" s="658">
        <v>0</v>
      </c>
      <c r="F66" s="622">
        <v>0</v>
      </c>
      <c r="G66" s="603" t="s">
        <v>1839</v>
      </c>
      <c r="H66" s="663" t="s">
        <v>1815</v>
      </c>
      <c r="I66" s="342"/>
      <c r="J66" s="342"/>
      <c r="K66" s="342"/>
      <c r="L66" s="342"/>
      <c r="M66" s="342"/>
      <c r="N66" s="342"/>
      <c r="O66" s="342"/>
      <c r="P66" s="342"/>
      <c r="Q66" s="342"/>
      <c r="R66" s="342"/>
      <c r="S66" s="342"/>
      <c r="T66" s="342"/>
      <c r="U66" s="342"/>
      <c r="V66" s="342"/>
      <c r="W66" s="342"/>
    </row>
    <row r="67" spans="1:23" ht="12" customHeight="1" x14ac:dyDescent="0.2">
      <c r="A67" s="666" t="s">
        <v>1840</v>
      </c>
      <c r="B67" s="607" t="s">
        <v>1683</v>
      </c>
      <c r="C67" s="667" t="s">
        <v>1841</v>
      </c>
      <c r="D67" s="658">
        <v>33000</v>
      </c>
      <c r="E67" s="658">
        <v>0</v>
      </c>
      <c r="F67" s="622">
        <v>0</v>
      </c>
      <c r="G67" s="612" t="s">
        <v>1842</v>
      </c>
      <c r="H67" s="663" t="s">
        <v>1815</v>
      </c>
      <c r="I67" s="342"/>
      <c r="J67" s="342"/>
      <c r="K67" s="342"/>
      <c r="L67" s="342"/>
      <c r="M67" s="342"/>
      <c r="N67" s="342"/>
      <c r="O67" s="342"/>
      <c r="P67" s="342"/>
      <c r="Q67" s="342"/>
      <c r="R67" s="342"/>
      <c r="S67" s="342"/>
      <c r="T67" s="342"/>
      <c r="U67" s="342"/>
      <c r="V67" s="342"/>
      <c r="W67" s="342"/>
    </row>
    <row r="68" spans="1:23" ht="12" customHeight="1" x14ac:dyDescent="0.2">
      <c r="A68" s="666" t="s">
        <v>1843</v>
      </c>
      <c r="B68" s="607" t="s">
        <v>1683</v>
      </c>
      <c r="C68" s="667" t="s">
        <v>1844</v>
      </c>
      <c r="D68" s="658">
        <v>12980</v>
      </c>
      <c r="E68" s="658">
        <v>0</v>
      </c>
      <c r="F68" s="622">
        <v>0</v>
      </c>
      <c r="G68" s="603" t="s">
        <v>1845</v>
      </c>
      <c r="H68" s="663" t="s">
        <v>1815</v>
      </c>
      <c r="I68" s="342"/>
      <c r="J68" s="342"/>
      <c r="K68" s="342"/>
      <c r="L68" s="342"/>
      <c r="M68" s="342"/>
      <c r="N68" s="342"/>
      <c r="O68" s="342"/>
      <c r="P68" s="342"/>
      <c r="Q68" s="342"/>
      <c r="R68" s="342"/>
      <c r="S68" s="342"/>
      <c r="T68" s="342"/>
      <c r="U68" s="342"/>
      <c r="V68" s="342"/>
      <c r="W68" s="342"/>
    </row>
    <row r="69" spans="1:23" ht="12" customHeight="1" x14ac:dyDescent="0.2">
      <c r="A69" s="666" t="s">
        <v>1846</v>
      </c>
      <c r="B69" s="607" t="s">
        <v>1683</v>
      </c>
      <c r="C69" s="667" t="s">
        <v>1847</v>
      </c>
      <c r="D69" s="658">
        <v>12000</v>
      </c>
      <c r="E69" s="658">
        <v>0</v>
      </c>
      <c r="F69" s="622">
        <v>0</v>
      </c>
      <c r="G69" s="603" t="s">
        <v>1848</v>
      </c>
      <c r="H69" s="663" t="s">
        <v>1815</v>
      </c>
      <c r="I69" s="342"/>
      <c r="J69" s="342"/>
      <c r="K69" s="342"/>
      <c r="L69" s="342"/>
      <c r="M69" s="342"/>
      <c r="N69" s="342"/>
      <c r="O69" s="342"/>
      <c r="P69" s="342"/>
      <c r="Q69" s="342"/>
      <c r="R69" s="342"/>
      <c r="S69" s="342"/>
      <c r="T69" s="342"/>
      <c r="U69" s="342"/>
      <c r="V69" s="342"/>
      <c r="W69" s="342"/>
    </row>
    <row r="70" spans="1:23" ht="12" customHeight="1" x14ac:dyDescent="0.2">
      <c r="A70" s="666" t="s">
        <v>1849</v>
      </c>
      <c r="B70" s="607" t="s">
        <v>1683</v>
      </c>
      <c r="C70" s="667" t="s">
        <v>1850</v>
      </c>
      <c r="D70" s="658">
        <v>17000</v>
      </c>
      <c r="E70" s="658">
        <v>0</v>
      </c>
      <c r="F70" s="622">
        <v>0</v>
      </c>
      <c r="G70" s="603" t="s">
        <v>1851</v>
      </c>
      <c r="H70" s="663" t="s">
        <v>1815</v>
      </c>
      <c r="I70" s="342"/>
      <c r="J70" s="342"/>
      <c r="K70" s="342"/>
      <c r="L70" s="342"/>
      <c r="M70" s="342"/>
      <c r="N70" s="342"/>
      <c r="O70" s="342"/>
      <c r="P70" s="342"/>
      <c r="Q70" s="342"/>
      <c r="R70" s="342"/>
      <c r="S70" s="342"/>
      <c r="T70" s="342"/>
      <c r="U70" s="342"/>
      <c r="V70" s="342"/>
      <c r="W70" s="342"/>
    </row>
    <row r="71" spans="1:23" ht="12" customHeight="1" x14ac:dyDescent="0.2">
      <c r="A71" s="666" t="s">
        <v>1852</v>
      </c>
      <c r="B71" s="607" t="s">
        <v>1683</v>
      </c>
      <c r="C71" s="667" t="s">
        <v>1853</v>
      </c>
      <c r="D71" s="658">
        <v>29975</v>
      </c>
      <c r="E71" s="658">
        <v>0</v>
      </c>
      <c r="F71" s="622">
        <v>0</v>
      </c>
      <c r="G71" s="603" t="s">
        <v>1854</v>
      </c>
      <c r="H71" s="663" t="s">
        <v>1815</v>
      </c>
      <c r="I71" s="342"/>
      <c r="J71" s="342"/>
      <c r="K71" s="342"/>
      <c r="L71" s="342"/>
      <c r="M71" s="342"/>
      <c r="N71" s="342"/>
      <c r="O71" s="342"/>
      <c r="P71" s="342"/>
      <c r="Q71" s="342"/>
      <c r="R71" s="342"/>
      <c r="S71" s="342"/>
      <c r="T71" s="342"/>
      <c r="U71" s="342"/>
      <c r="V71" s="342"/>
      <c r="W71" s="342"/>
    </row>
    <row r="72" spans="1:23" ht="12" customHeight="1" x14ac:dyDescent="0.2">
      <c r="A72" s="666" t="s">
        <v>1855</v>
      </c>
      <c r="B72" s="607" t="s">
        <v>1683</v>
      </c>
      <c r="C72" s="667" t="s">
        <v>1856</v>
      </c>
      <c r="D72" s="658">
        <v>15000</v>
      </c>
      <c r="E72" s="658">
        <v>0</v>
      </c>
      <c r="F72" s="622">
        <v>0</v>
      </c>
      <c r="G72" s="603" t="s">
        <v>1857</v>
      </c>
      <c r="H72" s="663" t="s">
        <v>1815</v>
      </c>
      <c r="I72" s="342"/>
      <c r="J72" s="342"/>
      <c r="K72" s="342"/>
      <c r="L72" s="342"/>
      <c r="M72" s="342"/>
      <c r="N72" s="342"/>
      <c r="O72" s="342"/>
      <c r="P72" s="342"/>
      <c r="Q72" s="342"/>
      <c r="R72" s="342"/>
      <c r="S72" s="342"/>
      <c r="T72" s="342"/>
      <c r="U72" s="342"/>
      <c r="V72" s="342"/>
      <c r="W72" s="342"/>
    </row>
    <row r="73" spans="1:23" ht="12" customHeight="1" x14ac:dyDescent="0.2">
      <c r="A73" s="666" t="s">
        <v>1858</v>
      </c>
      <c r="B73" s="607" t="s">
        <v>1683</v>
      </c>
      <c r="C73" s="667" t="s">
        <v>1859</v>
      </c>
      <c r="D73" s="658">
        <v>18360</v>
      </c>
      <c r="E73" s="658">
        <v>0</v>
      </c>
      <c r="F73" s="622">
        <v>0</v>
      </c>
      <c r="G73" s="603" t="s">
        <v>1860</v>
      </c>
      <c r="H73" s="663" t="s">
        <v>1815</v>
      </c>
      <c r="I73" s="342"/>
      <c r="J73" s="342"/>
      <c r="K73" s="342"/>
      <c r="L73" s="342"/>
      <c r="M73" s="342"/>
      <c r="N73" s="342"/>
      <c r="O73" s="342"/>
      <c r="P73" s="342"/>
      <c r="Q73" s="342"/>
      <c r="R73" s="342"/>
      <c r="S73" s="342"/>
      <c r="T73" s="342"/>
      <c r="U73" s="342"/>
      <c r="V73" s="342"/>
      <c r="W73" s="342"/>
    </row>
    <row r="74" spans="1:23" ht="12" customHeight="1" x14ac:dyDescent="0.2">
      <c r="A74" s="666" t="s">
        <v>1861</v>
      </c>
      <c r="B74" s="607" t="s">
        <v>1683</v>
      </c>
      <c r="C74" s="667" t="s">
        <v>1862</v>
      </c>
      <c r="D74" s="658">
        <v>15000</v>
      </c>
      <c r="E74" s="658">
        <v>0</v>
      </c>
      <c r="F74" s="622">
        <v>0</v>
      </c>
      <c r="G74" s="603" t="s">
        <v>1863</v>
      </c>
      <c r="H74" s="663" t="s">
        <v>1815</v>
      </c>
      <c r="I74" s="342"/>
      <c r="J74" s="342"/>
      <c r="K74" s="342"/>
      <c r="L74" s="342"/>
      <c r="M74" s="342"/>
      <c r="N74" s="342"/>
      <c r="O74" s="342"/>
      <c r="P74" s="342"/>
      <c r="Q74" s="342"/>
      <c r="R74" s="342"/>
      <c r="S74" s="342"/>
      <c r="T74" s="342"/>
      <c r="U74" s="342"/>
      <c r="V74" s="342"/>
      <c r="W74" s="342"/>
    </row>
    <row r="75" spans="1:23" ht="12" customHeight="1" x14ac:dyDescent="0.2">
      <c r="A75" s="666" t="s">
        <v>1864</v>
      </c>
      <c r="B75" s="607" t="s">
        <v>1683</v>
      </c>
      <c r="C75" s="667" t="s">
        <v>1865</v>
      </c>
      <c r="D75" s="658">
        <v>32500</v>
      </c>
      <c r="E75" s="658">
        <v>0</v>
      </c>
      <c r="F75" s="622">
        <v>0</v>
      </c>
      <c r="G75" s="603" t="s">
        <v>1866</v>
      </c>
      <c r="H75" s="663" t="s">
        <v>1815</v>
      </c>
      <c r="I75" s="342"/>
      <c r="J75" s="342"/>
      <c r="K75" s="342"/>
      <c r="L75" s="342"/>
      <c r="M75" s="342"/>
      <c r="N75" s="342"/>
      <c r="O75" s="342"/>
      <c r="P75" s="342"/>
      <c r="Q75" s="342"/>
      <c r="R75" s="342"/>
      <c r="S75" s="342"/>
      <c r="T75" s="342"/>
      <c r="U75" s="342"/>
      <c r="V75" s="342"/>
      <c r="W75" s="342"/>
    </row>
    <row r="76" spans="1:23" ht="12" customHeight="1" x14ac:dyDescent="0.2">
      <c r="A76" s="666" t="s">
        <v>1867</v>
      </c>
      <c r="B76" s="607" t="s">
        <v>1683</v>
      </c>
      <c r="C76" s="667" t="s">
        <v>1868</v>
      </c>
      <c r="D76" s="658">
        <v>6000</v>
      </c>
      <c r="E76" s="658">
        <v>0</v>
      </c>
      <c r="F76" s="622">
        <v>0</v>
      </c>
      <c r="G76" s="612" t="s">
        <v>1869</v>
      </c>
      <c r="H76" s="663" t="s">
        <v>1815</v>
      </c>
      <c r="I76" s="342"/>
      <c r="J76" s="342"/>
      <c r="K76" s="342"/>
      <c r="L76" s="342"/>
      <c r="M76" s="342"/>
      <c r="N76" s="342"/>
      <c r="O76" s="342"/>
      <c r="P76" s="342"/>
      <c r="Q76" s="342"/>
      <c r="R76" s="342"/>
      <c r="S76" s="342"/>
      <c r="T76" s="342"/>
      <c r="U76" s="342"/>
      <c r="V76" s="342"/>
      <c r="W76" s="342"/>
    </row>
    <row r="77" spans="1:23" ht="12" customHeight="1" x14ac:dyDescent="0.2">
      <c r="A77" s="666" t="s">
        <v>1870</v>
      </c>
      <c r="B77" s="601" t="s">
        <v>1871</v>
      </c>
      <c r="C77" s="621" t="s">
        <v>1683</v>
      </c>
      <c r="D77" s="658">
        <v>20000</v>
      </c>
      <c r="E77" s="658">
        <v>0</v>
      </c>
      <c r="F77" s="622">
        <v>0</v>
      </c>
      <c r="G77" s="612" t="s">
        <v>1872</v>
      </c>
      <c r="H77" s="663" t="s">
        <v>1815</v>
      </c>
      <c r="I77" s="342"/>
      <c r="J77" s="342"/>
      <c r="K77" s="342"/>
      <c r="L77" s="342"/>
      <c r="M77" s="342"/>
      <c r="N77" s="342"/>
      <c r="O77" s="342"/>
      <c r="P77" s="342"/>
      <c r="Q77" s="342"/>
      <c r="R77" s="342"/>
      <c r="S77" s="342"/>
      <c r="T77" s="342"/>
      <c r="U77" s="342"/>
      <c r="V77" s="342"/>
      <c r="W77" s="342"/>
    </row>
    <row r="78" spans="1:23" ht="12" customHeight="1" x14ac:dyDescent="0.2">
      <c r="A78" s="666" t="s">
        <v>1873</v>
      </c>
      <c r="B78" s="607" t="s">
        <v>1683</v>
      </c>
      <c r="C78" s="667" t="s">
        <v>1874</v>
      </c>
      <c r="D78" s="658">
        <v>9250</v>
      </c>
      <c r="E78" s="658">
        <v>0</v>
      </c>
      <c r="F78" s="622">
        <v>0</v>
      </c>
      <c r="G78" s="612" t="s">
        <v>1875</v>
      </c>
      <c r="H78" s="663" t="s">
        <v>1815</v>
      </c>
      <c r="I78" s="342"/>
      <c r="J78" s="342"/>
      <c r="K78" s="342"/>
      <c r="L78" s="342"/>
      <c r="M78" s="342"/>
      <c r="N78" s="342"/>
      <c r="O78" s="342"/>
      <c r="P78" s="342"/>
      <c r="Q78" s="342"/>
      <c r="R78" s="342"/>
      <c r="S78" s="342"/>
      <c r="T78" s="342"/>
      <c r="U78" s="342"/>
      <c r="V78" s="342"/>
      <c r="W78" s="342"/>
    </row>
    <row r="79" spans="1:23" ht="12" customHeight="1" x14ac:dyDescent="0.2">
      <c r="A79" s="666" t="s">
        <v>1876</v>
      </c>
      <c r="B79" s="607" t="s">
        <v>1683</v>
      </c>
      <c r="C79" s="667" t="s">
        <v>1877</v>
      </c>
      <c r="D79" s="658">
        <v>13500</v>
      </c>
      <c r="E79" s="658">
        <v>0</v>
      </c>
      <c r="F79" s="622">
        <v>0</v>
      </c>
      <c r="G79" s="603" t="s">
        <v>1878</v>
      </c>
      <c r="H79" s="663" t="s">
        <v>1815</v>
      </c>
      <c r="I79" s="342"/>
      <c r="J79" s="342"/>
      <c r="K79" s="342"/>
      <c r="L79" s="342"/>
      <c r="M79" s="342"/>
      <c r="N79" s="342"/>
      <c r="O79" s="342"/>
      <c r="P79" s="342"/>
      <c r="Q79" s="342"/>
      <c r="R79" s="342"/>
      <c r="S79" s="342"/>
      <c r="T79" s="342"/>
      <c r="U79" s="342"/>
      <c r="V79" s="342"/>
      <c r="W79" s="342"/>
    </row>
    <row r="80" spans="1:23" ht="12" customHeight="1" x14ac:dyDescent="0.2">
      <c r="A80" s="666" t="s">
        <v>1879</v>
      </c>
      <c r="B80" s="601" t="s">
        <v>1880</v>
      </c>
      <c r="C80" s="621" t="s">
        <v>1683</v>
      </c>
      <c r="D80" s="658">
        <v>29500</v>
      </c>
      <c r="E80" s="658">
        <v>0</v>
      </c>
      <c r="F80" s="622">
        <v>0</v>
      </c>
      <c r="G80" s="603" t="s">
        <v>1881</v>
      </c>
      <c r="H80" s="663" t="s">
        <v>1815</v>
      </c>
      <c r="I80" s="342"/>
      <c r="J80" s="342"/>
      <c r="K80" s="342"/>
      <c r="L80" s="342"/>
      <c r="M80" s="342"/>
      <c r="N80" s="342"/>
      <c r="O80" s="342"/>
      <c r="P80" s="342"/>
      <c r="Q80" s="342"/>
      <c r="R80" s="342"/>
      <c r="S80" s="342"/>
      <c r="T80" s="342"/>
      <c r="U80" s="342"/>
      <c r="V80" s="342"/>
      <c r="W80" s="342"/>
    </row>
    <row r="81" spans="1:23" ht="12" customHeight="1" x14ac:dyDescent="0.2">
      <c r="A81" s="666" t="s">
        <v>1882</v>
      </c>
      <c r="B81" s="607" t="s">
        <v>1683</v>
      </c>
      <c r="C81" s="667" t="s">
        <v>1883</v>
      </c>
      <c r="D81" s="658">
        <v>15100</v>
      </c>
      <c r="E81" s="658">
        <v>0</v>
      </c>
      <c r="F81" s="622">
        <v>0</v>
      </c>
      <c r="G81" s="603" t="s">
        <v>1884</v>
      </c>
      <c r="H81" s="663" t="s">
        <v>1815</v>
      </c>
      <c r="I81" s="342"/>
      <c r="J81" s="342"/>
      <c r="K81" s="342"/>
      <c r="L81" s="342"/>
      <c r="M81" s="342"/>
      <c r="N81" s="342"/>
      <c r="O81" s="342"/>
      <c r="P81" s="342"/>
      <c r="Q81" s="342"/>
      <c r="R81" s="342"/>
      <c r="S81" s="342"/>
      <c r="T81" s="342"/>
      <c r="U81" s="342"/>
      <c r="V81" s="342"/>
      <c r="W81" s="342"/>
    </row>
    <row r="82" spans="1:23" ht="12" customHeight="1" x14ac:dyDescent="0.2">
      <c r="A82" s="666" t="s">
        <v>1885</v>
      </c>
      <c r="B82" s="607" t="s">
        <v>1683</v>
      </c>
      <c r="C82" s="667" t="s">
        <v>1886</v>
      </c>
      <c r="D82" s="658">
        <v>15100</v>
      </c>
      <c r="E82" s="658">
        <v>0</v>
      </c>
      <c r="F82" s="622">
        <v>0</v>
      </c>
      <c r="G82" s="603" t="s">
        <v>1887</v>
      </c>
      <c r="H82" s="663" t="s">
        <v>1815</v>
      </c>
      <c r="I82" s="342"/>
      <c r="J82" s="342"/>
      <c r="K82" s="342"/>
      <c r="L82" s="342"/>
      <c r="M82" s="342"/>
      <c r="N82" s="342"/>
      <c r="O82" s="342"/>
      <c r="P82" s="342"/>
      <c r="Q82" s="342"/>
      <c r="R82" s="342"/>
      <c r="S82" s="342"/>
      <c r="T82" s="342"/>
      <c r="U82" s="342"/>
      <c r="V82" s="342"/>
      <c r="W82" s="342"/>
    </row>
    <row r="83" spans="1:23" ht="12" customHeight="1" x14ac:dyDescent="0.2">
      <c r="A83" s="666" t="s">
        <v>1888</v>
      </c>
      <c r="B83" s="607" t="s">
        <v>1683</v>
      </c>
      <c r="C83" s="667" t="s">
        <v>1889</v>
      </c>
      <c r="D83" s="658">
        <v>33000</v>
      </c>
      <c r="E83" s="658">
        <v>0</v>
      </c>
      <c r="F83" s="622">
        <v>0</v>
      </c>
      <c r="G83" s="603" t="s">
        <v>1890</v>
      </c>
      <c r="H83" s="663" t="s">
        <v>1815</v>
      </c>
      <c r="I83" s="342"/>
      <c r="J83" s="342"/>
      <c r="K83" s="342"/>
      <c r="L83" s="342"/>
      <c r="M83" s="342"/>
      <c r="N83" s="342"/>
      <c r="O83" s="342"/>
      <c r="P83" s="342"/>
      <c r="Q83" s="342"/>
      <c r="R83" s="342"/>
      <c r="S83" s="342"/>
      <c r="T83" s="342"/>
      <c r="U83" s="342"/>
      <c r="V83" s="342"/>
      <c r="W83" s="342"/>
    </row>
    <row r="84" spans="1:23" ht="12" customHeight="1" x14ac:dyDescent="0.2">
      <c r="A84" s="666" t="s">
        <v>1891</v>
      </c>
      <c r="B84" s="607" t="s">
        <v>1683</v>
      </c>
      <c r="C84" s="667" t="s">
        <v>1892</v>
      </c>
      <c r="D84" s="658">
        <v>12500</v>
      </c>
      <c r="E84" s="658">
        <v>0</v>
      </c>
      <c r="F84" s="622">
        <v>0</v>
      </c>
      <c r="G84" s="603" t="s">
        <v>1893</v>
      </c>
      <c r="H84" s="663" t="s">
        <v>1815</v>
      </c>
      <c r="I84" s="342"/>
      <c r="J84" s="342"/>
      <c r="K84" s="342"/>
      <c r="L84" s="342"/>
      <c r="M84" s="342"/>
      <c r="N84" s="342"/>
      <c r="O84" s="342"/>
      <c r="P84" s="342"/>
      <c r="Q84" s="342"/>
      <c r="R84" s="342"/>
      <c r="S84" s="342"/>
      <c r="T84" s="342"/>
      <c r="U84" s="342"/>
      <c r="V84" s="342"/>
      <c r="W84" s="342"/>
    </row>
    <row r="85" spans="1:23" ht="12" customHeight="1" x14ac:dyDescent="0.2">
      <c r="A85" s="600" t="s">
        <v>1894</v>
      </c>
      <c r="B85" s="607" t="s">
        <v>1683</v>
      </c>
      <c r="C85" s="667" t="s">
        <v>1831</v>
      </c>
      <c r="D85" s="658">
        <v>0</v>
      </c>
      <c r="E85" s="658">
        <v>20000</v>
      </c>
      <c r="F85" s="622">
        <v>0</v>
      </c>
      <c r="G85" s="603" t="s">
        <v>1895</v>
      </c>
      <c r="H85" s="668" t="s">
        <v>1833</v>
      </c>
      <c r="I85" s="342"/>
      <c r="J85" s="342"/>
      <c r="K85" s="342"/>
      <c r="L85" s="342"/>
      <c r="M85" s="342"/>
      <c r="N85" s="342"/>
      <c r="O85" s="342"/>
      <c r="P85" s="342"/>
      <c r="Q85" s="342"/>
      <c r="R85" s="342"/>
      <c r="S85" s="342"/>
      <c r="T85" s="342"/>
      <c r="U85" s="342"/>
      <c r="V85" s="342"/>
      <c r="W85" s="342"/>
    </row>
    <row r="86" spans="1:23" ht="12" customHeight="1" x14ac:dyDescent="0.2">
      <c r="A86" s="669" t="s">
        <v>1896</v>
      </c>
      <c r="B86" s="607" t="s">
        <v>1897</v>
      </c>
      <c r="C86" s="621" t="s">
        <v>1683</v>
      </c>
      <c r="D86" s="664">
        <f>11000+16500</f>
        <v>27500</v>
      </c>
      <c r="E86" s="658">
        <v>0</v>
      </c>
      <c r="F86" s="622">
        <v>0</v>
      </c>
      <c r="G86" s="670" t="s">
        <v>1898</v>
      </c>
      <c r="H86" s="663" t="s">
        <v>1899</v>
      </c>
      <c r="I86" s="342"/>
      <c r="J86" s="342"/>
      <c r="K86" s="342"/>
      <c r="L86" s="342"/>
      <c r="M86" s="342"/>
      <c r="N86" s="342"/>
      <c r="O86" s="342"/>
      <c r="P86" s="342"/>
      <c r="Q86" s="342"/>
      <c r="R86" s="342"/>
      <c r="S86" s="342"/>
      <c r="T86" s="342"/>
      <c r="U86" s="342"/>
      <c r="V86" s="342"/>
      <c r="W86" s="342"/>
    </row>
    <row r="87" spans="1:23" ht="12" customHeight="1" x14ac:dyDescent="0.2">
      <c r="A87" s="669" t="s">
        <v>1900</v>
      </c>
      <c r="B87" s="607" t="s">
        <v>1901</v>
      </c>
      <c r="C87" s="621" t="s">
        <v>1683</v>
      </c>
      <c r="D87" s="664">
        <v>32950</v>
      </c>
      <c r="E87" s="658">
        <v>0</v>
      </c>
      <c r="F87" s="622">
        <v>0</v>
      </c>
      <c r="G87" s="670" t="s">
        <v>1902</v>
      </c>
      <c r="H87" s="663" t="s">
        <v>1899</v>
      </c>
      <c r="I87" s="342"/>
      <c r="J87" s="342"/>
      <c r="K87" s="342"/>
      <c r="L87" s="342"/>
      <c r="M87" s="342"/>
      <c r="N87" s="342"/>
      <c r="O87" s="342"/>
      <c r="P87" s="342"/>
      <c r="Q87" s="342"/>
      <c r="R87" s="342"/>
      <c r="S87" s="342"/>
      <c r="T87" s="342"/>
      <c r="U87" s="342"/>
      <c r="V87" s="342"/>
      <c r="W87" s="342"/>
    </row>
    <row r="88" spans="1:23" ht="12" customHeight="1" x14ac:dyDescent="0.2">
      <c r="A88" s="669" t="s">
        <v>1903</v>
      </c>
      <c r="B88" s="607" t="s">
        <v>1683</v>
      </c>
      <c r="C88" s="607" t="s">
        <v>1904</v>
      </c>
      <c r="D88" s="664">
        <v>22000</v>
      </c>
      <c r="E88" s="658">
        <v>0</v>
      </c>
      <c r="F88" s="622">
        <v>0</v>
      </c>
      <c r="G88" s="612" t="s">
        <v>1905</v>
      </c>
      <c r="H88" s="663" t="s">
        <v>1899</v>
      </c>
      <c r="I88" s="342"/>
      <c r="J88" s="342"/>
      <c r="K88" s="342"/>
      <c r="L88" s="342"/>
      <c r="M88" s="342"/>
      <c r="N88" s="342"/>
      <c r="O88" s="342"/>
      <c r="P88" s="342"/>
      <c r="Q88" s="342"/>
      <c r="R88" s="342"/>
      <c r="S88" s="342"/>
      <c r="T88" s="342"/>
      <c r="U88" s="342"/>
      <c r="V88" s="342"/>
      <c r="W88" s="342"/>
    </row>
    <row r="89" spans="1:23" ht="12" customHeight="1" x14ac:dyDescent="0.2">
      <c r="A89" s="669" t="s">
        <v>1906</v>
      </c>
      <c r="B89" s="607" t="s">
        <v>1683</v>
      </c>
      <c r="C89" s="621" t="s">
        <v>1683</v>
      </c>
      <c r="D89" s="658">
        <v>0</v>
      </c>
      <c r="E89" s="658">
        <v>0</v>
      </c>
      <c r="F89" s="615">
        <v>1504778</v>
      </c>
      <c r="G89" s="612" t="s">
        <v>1907</v>
      </c>
      <c r="H89" s="663" t="s">
        <v>1899</v>
      </c>
      <c r="I89" s="342"/>
      <c r="J89" s="342"/>
      <c r="K89" s="342"/>
      <c r="L89" s="342"/>
      <c r="M89" s="342"/>
      <c r="N89" s="342"/>
      <c r="O89" s="342"/>
      <c r="P89" s="342"/>
      <c r="Q89" s="342"/>
      <c r="R89" s="342"/>
      <c r="S89" s="342"/>
      <c r="T89" s="342"/>
      <c r="U89" s="342"/>
      <c r="V89" s="342"/>
      <c r="W89" s="342"/>
    </row>
    <row r="90" spans="1:23" ht="12" customHeight="1" x14ac:dyDescent="0.2">
      <c r="A90" s="669" t="s">
        <v>1908</v>
      </c>
      <c r="B90" s="607" t="s">
        <v>1683</v>
      </c>
      <c r="C90" s="671" t="s">
        <v>1909</v>
      </c>
      <c r="D90" s="658">
        <v>0</v>
      </c>
      <c r="E90" s="658">
        <v>0</v>
      </c>
      <c r="F90" s="615">
        <v>144000</v>
      </c>
      <c r="G90" s="612" t="s">
        <v>1910</v>
      </c>
      <c r="H90" s="668" t="s">
        <v>1899</v>
      </c>
      <c r="I90" s="342"/>
      <c r="J90" s="342"/>
      <c r="K90" s="342"/>
      <c r="L90" s="342"/>
      <c r="M90" s="342"/>
      <c r="N90" s="342"/>
      <c r="O90" s="342"/>
      <c r="P90" s="342"/>
      <c r="Q90" s="342"/>
      <c r="R90" s="342"/>
      <c r="S90" s="342"/>
      <c r="T90" s="342"/>
      <c r="U90" s="342"/>
      <c r="V90" s="342"/>
      <c r="W90" s="342"/>
    </row>
    <row r="91" spans="1:23" ht="12" customHeight="1" x14ac:dyDescent="0.2">
      <c r="A91" s="606" t="s">
        <v>1911</v>
      </c>
      <c r="B91" s="607" t="s">
        <v>1912</v>
      </c>
      <c r="C91" s="621" t="s">
        <v>1683</v>
      </c>
      <c r="D91" s="664">
        <v>77000</v>
      </c>
      <c r="E91" s="658">
        <v>0</v>
      </c>
      <c r="F91" s="622">
        <v>0</v>
      </c>
      <c r="G91" s="612" t="s">
        <v>1913</v>
      </c>
      <c r="H91" s="663" t="s">
        <v>1815</v>
      </c>
      <c r="I91" s="342"/>
      <c r="J91" s="342"/>
      <c r="K91" s="342"/>
      <c r="L91" s="342"/>
      <c r="M91" s="342"/>
      <c r="N91" s="342"/>
      <c r="O91" s="342"/>
      <c r="P91" s="342"/>
      <c r="Q91" s="342"/>
      <c r="R91" s="342"/>
      <c r="S91" s="342"/>
      <c r="T91" s="342"/>
      <c r="U91" s="342"/>
      <c r="V91" s="342"/>
      <c r="W91" s="342"/>
    </row>
    <row r="92" spans="1:23" ht="12" customHeight="1" x14ac:dyDescent="0.2">
      <c r="A92" s="606" t="s">
        <v>1914</v>
      </c>
      <c r="B92" s="607" t="s">
        <v>1915</v>
      </c>
      <c r="C92" s="621" t="s">
        <v>1683</v>
      </c>
      <c r="D92" s="664">
        <v>15669.94</v>
      </c>
      <c r="E92" s="658">
        <v>0</v>
      </c>
      <c r="F92" s="622">
        <v>0</v>
      </c>
      <c r="G92" s="612" t="s">
        <v>1916</v>
      </c>
      <c r="H92" s="663" t="s">
        <v>1815</v>
      </c>
      <c r="I92" s="342"/>
      <c r="J92" s="342"/>
      <c r="K92" s="342"/>
      <c r="L92" s="342"/>
      <c r="M92" s="342"/>
      <c r="N92" s="342"/>
      <c r="O92" s="342"/>
      <c r="P92" s="342"/>
      <c r="Q92" s="342"/>
      <c r="R92" s="342"/>
      <c r="S92" s="342"/>
      <c r="T92" s="342"/>
      <c r="U92" s="342"/>
      <c r="V92" s="342"/>
      <c r="W92" s="342"/>
    </row>
    <row r="93" spans="1:23" ht="12" customHeight="1" x14ac:dyDescent="0.2">
      <c r="A93" s="672" t="s">
        <v>1917</v>
      </c>
      <c r="B93" s="673" t="s">
        <v>1915</v>
      </c>
      <c r="C93" s="674" t="s">
        <v>1683</v>
      </c>
      <c r="D93" s="675">
        <v>13569.94</v>
      </c>
      <c r="E93" s="676">
        <v>0</v>
      </c>
      <c r="F93" s="677">
        <v>0</v>
      </c>
      <c r="G93" s="678" t="s">
        <v>1918</v>
      </c>
      <c r="H93" s="679" t="s">
        <v>1815</v>
      </c>
      <c r="I93" s="342"/>
      <c r="J93" s="342"/>
      <c r="K93" s="342"/>
      <c r="L93" s="342"/>
      <c r="M93" s="342"/>
      <c r="N93" s="342"/>
      <c r="O93" s="342"/>
      <c r="P93" s="342"/>
      <c r="Q93" s="342"/>
      <c r="R93" s="342"/>
      <c r="S93" s="342"/>
      <c r="T93" s="342"/>
      <c r="U93" s="342"/>
      <c r="V93" s="342"/>
      <c r="W93" s="342"/>
    </row>
    <row r="94" spans="1:23" ht="20.25" customHeight="1" x14ac:dyDescent="0.2">
      <c r="A94" s="627" t="s">
        <v>1919</v>
      </c>
      <c r="B94" s="628"/>
      <c r="C94" s="628"/>
      <c r="D94" s="629">
        <f t="shared" ref="D94:F94" si="0">SUM(D6:D93)</f>
        <v>10489877.91</v>
      </c>
      <c r="E94" s="629">
        <f t="shared" si="0"/>
        <v>3797345</v>
      </c>
      <c r="F94" s="629">
        <f t="shared" si="0"/>
        <v>11708053.479999999</v>
      </c>
      <c r="G94" s="630"/>
      <c r="H94" s="680"/>
      <c r="I94" s="342"/>
      <c r="J94" s="342"/>
      <c r="K94" s="342"/>
      <c r="L94" s="342"/>
      <c r="M94" s="342"/>
      <c r="N94" s="342"/>
      <c r="O94" s="342"/>
      <c r="P94" s="342"/>
      <c r="Q94" s="342"/>
      <c r="R94" s="342"/>
      <c r="S94" s="342"/>
      <c r="T94" s="342"/>
      <c r="U94" s="342"/>
      <c r="V94" s="342"/>
      <c r="W94" s="342"/>
    </row>
    <row r="95" spans="1:23" ht="12" customHeight="1" x14ac:dyDescent="0.2">
      <c r="A95" s="213"/>
      <c r="B95" s="213"/>
      <c r="C95" s="213"/>
      <c r="D95" s="48"/>
      <c r="E95" s="48"/>
      <c r="F95" s="48"/>
      <c r="G95" s="654"/>
      <c r="H95" s="339"/>
      <c r="I95" s="342"/>
      <c r="J95" s="342"/>
      <c r="K95" s="342"/>
      <c r="L95" s="342"/>
      <c r="M95" s="342"/>
      <c r="N95" s="342"/>
      <c r="O95" s="342"/>
      <c r="P95" s="342"/>
      <c r="Q95" s="342"/>
      <c r="R95" s="342"/>
      <c r="S95" s="342"/>
      <c r="T95" s="342"/>
      <c r="U95" s="342"/>
      <c r="V95" s="342"/>
      <c r="W95" s="342"/>
    </row>
    <row r="96" spans="1:23" ht="12" customHeight="1" x14ac:dyDescent="0.2">
      <c r="A96" s="593" t="s">
        <v>1920</v>
      </c>
      <c r="B96" s="593"/>
      <c r="C96" s="593"/>
      <c r="D96" s="48"/>
      <c r="E96" s="48"/>
      <c r="F96" s="48"/>
      <c r="G96" s="654"/>
      <c r="H96" s="339"/>
      <c r="I96" s="342"/>
      <c r="J96" s="342"/>
      <c r="K96" s="342"/>
      <c r="L96" s="342"/>
      <c r="M96" s="342"/>
      <c r="N96" s="342"/>
      <c r="O96" s="342"/>
      <c r="P96" s="342"/>
      <c r="Q96" s="342"/>
      <c r="R96" s="342"/>
      <c r="S96" s="342"/>
      <c r="T96" s="342"/>
      <c r="U96" s="342"/>
      <c r="V96" s="342"/>
      <c r="W96" s="342"/>
    </row>
    <row r="97" spans="1:23" ht="12" customHeight="1" x14ac:dyDescent="0.2">
      <c r="A97" s="339" t="s">
        <v>1921</v>
      </c>
      <c r="B97" s="339"/>
      <c r="C97" s="339"/>
      <c r="D97" s="48"/>
      <c r="E97" s="48"/>
      <c r="F97" s="48"/>
      <c r="G97" s="654"/>
      <c r="H97" s="339"/>
      <c r="I97" s="342"/>
      <c r="J97" s="342"/>
      <c r="K97" s="342"/>
      <c r="L97" s="342"/>
      <c r="M97" s="342"/>
      <c r="N97" s="342"/>
      <c r="O97" s="342"/>
      <c r="P97" s="342"/>
      <c r="Q97" s="342"/>
      <c r="R97" s="342"/>
      <c r="S97" s="342"/>
      <c r="T97" s="342"/>
      <c r="U97" s="342"/>
      <c r="V97" s="342"/>
      <c r="W97" s="342"/>
    </row>
    <row r="98" spans="1:23" ht="12" customHeight="1" x14ac:dyDescent="0.2">
      <c r="A98" s="342"/>
      <c r="B98" s="342"/>
      <c r="C98" s="342"/>
      <c r="D98" s="342"/>
      <c r="E98" s="342"/>
      <c r="F98" s="342"/>
      <c r="G98" s="654"/>
      <c r="H98" s="339"/>
      <c r="I98" s="342"/>
      <c r="J98" s="342"/>
      <c r="K98" s="342"/>
      <c r="L98" s="342"/>
      <c r="M98" s="342"/>
      <c r="N98" s="342"/>
      <c r="O98" s="342"/>
      <c r="P98" s="342"/>
      <c r="Q98" s="342"/>
      <c r="R98" s="342"/>
      <c r="S98" s="342"/>
      <c r="T98" s="342"/>
      <c r="U98" s="342"/>
      <c r="V98" s="342"/>
      <c r="W98" s="342"/>
    </row>
    <row r="99" spans="1:23" ht="12" customHeight="1" x14ac:dyDescent="0.2">
      <c r="A99" s="342"/>
      <c r="B99" s="342"/>
      <c r="C99" s="342"/>
      <c r="D99" s="342"/>
      <c r="E99" s="342"/>
      <c r="F99" s="342"/>
      <c r="G99" s="654"/>
      <c r="H99" s="339"/>
      <c r="I99" s="342"/>
      <c r="J99" s="342"/>
      <c r="K99" s="342"/>
      <c r="L99" s="342"/>
      <c r="M99" s="342"/>
      <c r="N99" s="342"/>
      <c r="O99" s="342"/>
      <c r="P99" s="342"/>
      <c r="Q99" s="342"/>
      <c r="R99" s="342"/>
      <c r="S99" s="342"/>
      <c r="T99" s="342"/>
      <c r="U99" s="342"/>
      <c r="V99" s="342"/>
      <c r="W99" s="342"/>
    </row>
    <row r="100" spans="1:23" ht="12" customHeight="1" x14ac:dyDescent="0.2">
      <c r="A100" s="342"/>
      <c r="B100" s="342"/>
      <c r="C100" s="342"/>
      <c r="D100" s="342"/>
      <c r="E100" s="342"/>
      <c r="F100" s="342"/>
      <c r="G100" s="654"/>
      <c r="H100" s="339"/>
      <c r="I100" s="342"/>
      <c r="J100" s="342"/>
      <c r="K100" s="342"/>
      <c r="L100" s="342"/>
      <c r="M100" s="342"/>
      <c r="N100" s="342"/>
      <c r="O100" s="342"/>
      <c r="P100" s="342"/>
      <c r="Q100" s="342"/>
      <c r="R100" s="342"/>
      <c r="S100" s="342"/>
      <c r="T100" s="342"/>
      <c r="U100" s="342"/>
      <c r="V100" s="342"/>
      <c r="W100" s="342"/>
    </row>
  </sheetData>
  <autoFilter ref="D5:F94" xr:uid="{00000000-0009-0000-0000-00000F000000}"/>
  <mergeCells count="5">
    <mergeCell ref="A4:A5"/>
    <mergeCell ref="B4:B5"/>
    <mergeCell ref="C4:C5"/>
    <mergeCell ref="G4:G5"/>
    <mergeCell ref="H4:H5"/>
  </mergeCells>
  <printOptions horizontalCentered="1"/>
  <pageMargins left="0.23622047244094491" right="0.31496062992125984" top="0.74803149606299213" bottom="0.74803149606299213" header="0" footer="0"/>
  <pageSetup paperSize="9" fitToHeight="0" orientation="landscape"/>
  <headerFooter>
    <oddHeader>&amp;CPROYECTO DE PRESUPUESTO 2021</oddHeader>
    <oddFooter>&amp;LPROYECTO DE PRESUPUESTO PARA EL AÑO FISCAL 2020 INFORMACIÓN PARA LA COMISIÓN DE PRESUPUESTO Y CUENTA GENERAL DE LA REPÚBLICA DEL CONGRESO DE LA REPÚBLICA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8064A2"/>
    <pageSetUpPr fitToPage="1"/>
  </sheetPr>
  <dimension ref="A1:K255"/>
  <sheetViews>
    <sheetView showGridLines="0" workbookViewId="0">
      <pane ySplit="5" topLeftCell="A6" activePane="bottomLeft" state="frozen"/>
      <selection pane="bottomLeft" activeCell="B7" sqref="B7"/>
    </sheetView>
  </sheetViews>
  <sheetFormatPr baseColWidth="10" defaultColWidth="14.42578125" defaultRowHeight="15" customHeight="1" x14ac:dyDescent="0.2"/>
  <cols>
    <col min="1" max="1" width="45.5703125" customWidth="1"/>
    <col min="2" max="2" width="20" customWidth="1"/>
    <col min="3" max="3" width="32.140625" customWidth="1"/>
    <col min="4" max="4" width="26.42578125" customWidth="1"/>
    <col min="5" max="5" width="15.28515625" customWidth="1"/>
    <col min="6" max="6" width="11.140625" customWidth="1"/>
    <col min="7" max="8" width="12.28515625" customWidth="1"/>
    <col min="9" max="11" width="11.42578125" customWidth="1"/>
  </cols>
  <sheetData>
    <row r="1" spans="1:11" ht="12" customHeight="1" x14ac:dyDescent="0.2">
      <c r="A1" s="16" t="s">
        <v>1922</v>
      </c>
      <c r="B1" s="144"/>
      <c r="C1" s="144"/>
      <c r="D1" s="144"/>
      <c r="E1" s="144"/>
      <c r="F1" s="144"/>
      <c r="G1" s="144"/>
      <c r="H1" s="144"/>
      <c r="I1" s="144"/>
      <c r="J1" s="144"/>
      <c r="K1" s="144"/>
    </row>
    <row r="2" spans="1:11" ht="12" customHeight="1" x14ac:dyDescent="0.2">
      <c r="A2" s="16" t="s">
        <v>1923</v>
      </c>
      <c r="B2" s="48"/>
      <c r="C2" s="48"/>
      <c r="D2" s="144"/>
      <c r="E2" s="144"/>
      <c r="F2" s="144"/>
      <c r="G2" s="144"/>
      <c r="H2" s="144"/>
      <c r="I2" s="144"/>
      <c r="J2" s="144"/>
      <c r="K2" s="144"/>
    </row>
    <row r="3" spans="1:11" ht="8.25" customHeight="1" x14ac:dyDescent="0.2">
      <c r="A3" s="214"/>
      <c r="B3" s="214"/>
      <c r="C3" s="214"/>
      <c r="D3" s="214"/>
      <c r="E3" s="214"/>
      <c r="F3" s="214"/>
      <c r="G3" s="214"/>
      <c r="H3" s="214"/>
      <c r="I3" s="214"/>
      <c r="J3" s="214"/>
      <c r="K3" s="214"/>
    </row>
    <row r="4" spans="1:11" ht="16.5" customHeight="1" x14ac:dyDescent="0.2">
      <c r="A4" s="863" t="s">
        <v>1924</v>
      </c>
      <c r="B4" s="863" t="s">
        <v>1925</v>
      </c>
      <c r="C4" s="864" t="s">
        <v>1926</v>
      </c>
      <c r="D4" s="824"/>
      <c r="E4" s="824"/>
      <c r="F4" s="824"/>
      <c r="G4" s="824"/>
      <c r="H4" s="814"/>
      <c r="I4" s="214"/>
      <c r="J4" s="214"/>
      <c r="K4" s="214"/>
    </row>
    <row r="5" spans="1:11" ht="27" customHeight="1" x14ac:dyDescent="0.2">
      <c r="A5" s="820"/>
      <c r="B5" s="820"/>
      <c r="C5" s="681" t="s">
        <v>1927</v>
      </c>
      <c r="D5" s="682" t="s">
        <v>1928</v>
      </c>
      <c r="E5" s="683" t="s">
        <v>1929</v>
      </c>
      <c r="F5" s="684" t="s">
        <v>1930</v>
      </c>
      <c r="G5" s="685" t="s">
        <v>1931</v>
      </c>
      <c r="H5" s="685" t="s">
        <v>1932</v>
      </c>
      <c r="I5" s="213"/>
      <c r="J5" s="213"/>
      <c r="K5" s="213"/>
    </row>
    <row r="6" spans="1:11" ht="15.75" customHeight="1" x14ac:dyDescent="0.2">
      <c r="A6" s="686" t="s">
        <v>1933</v>
      </c>
      <c r="B6" s="394"/>
      <c r="C6" s="394"/>
      <c r="D6" s="394"/>
      <c r="E6" s="394"/>
      <c r="F6" s="394"/>
      <c r="G6" s="394"/>
      <c r="H6" s="397"/>
      <c r="I6" s="214"/>
      <c r="J6" s="214"/>
      <c r="K6" s="214"/>
    </row>
    <row r="7" spans="1:11" ht="15.75" customHeight="1" x14ac:dyDescent="0.2">
      <c r="A7" s="860" t="s">
        <v>1934</v>
      </c>
      <c r="B7" s="861"/>
      <c r="C7" s="861"/>
      <c r="D7" s="861"/>
      <c r="E7" s="861"/>
      <c r="F7" s="861"/>
      <c r="G7" s="861"/>
      <c r="H7" s="862"/>
      <c r="I7" s="214"/>
      <c r="J7" s="214"/>
      <c r="K7" s="214"/>
    </row>
    <row r="8" spans="1:11" ht="12" customHeight="1" x14ac:dyDescent="0.2">
      <c r="A8" s="687" t="s">
        <v>389</v>
      </c>
      <c r="B8" s="688"/>
      <c r="C8" s="689"/>
      <c r="D8" s="344"/>
      <c r="E8" s="690"/>
      <c r="F8" s="691"/>
      <c r="G8" s="689"/>
      <c r="H8" s="689"/>
      <c r="I8" s="214"/>
      <c r="J8" s="214"/>
      <c r="K8" s="214"/>
    </row>
    <row r="9" spans="1:11" ht="12" customHeight="1" x14ac:dyDescent="0.2">
      <c r="A9" s="692" t="s">
        <v>1935</v>
      </c>
      <c r="B9" s="688" t="s">
        <v>1936</v>
      </c>
      <c r="C9" s="691" t="s">
        <v>1937</v>
      </c>
      <c r="D9" s="271">
        <v>301159</v>
      </c>
      <c r="E9" s="402">
        <v>2003</v>
      </c>
      <c r="F9" s="691" t="s">
        <v>1938</v>
      </c>
      <c r="G9" s="689">
        <v>0</v>
      </c>
      <c r="H9" s="689">
        <v>0</v>
      </c>
      <c r="I9" s="214"/>
      <c r="J9" s="214"/>
      <c r="K9" s="214"/>
    </row>
    <row r="10" spans="1:11" ht="12" customHeight="1" x14ac:dyDescent="0.2">
      <c r="A10" s="692"/>
      <c r="B10" s="688"/>
      <c r="C10" s="691"/>
      <c r="D10" s="591"/>
      <c r="E10" s="402"/>
      <c r="F10" s="691"/>
      <c r="G10" s="689"/>
      <c r="H10" s="689"/>
      <c r="I10" s="214"/>
      <c r="J10" s="214"/>
      <c r="K10" s="214"/>
    </row>
    <row r="11" spans="1:11" ht="12" customHeight="1" x14ac:dyDescent="0.2">
      <c r="A11" s="687" t="s">
        <v>390</v>
      </c>
      <c r="B11" s="688"/>
      <c r="C11" s="691"/>
      <c r="D11" s="591"/>
      <c r="E11" s="402"/>
      <c r="F11" s="691"/>
      <c r="G11" s="689"/>
      <c r="H11" s="689"/>
      <c r="I11" s="214"/>
      <c r="J11" s="214"/>
      <c r="K11" s="214"/>
    </row>
    <row r="12" spans="1:11" ht="12" customHeight="1" x14ac:dyDescent="0.2">
      <c r="A12" s="692" t="s">
        <v>1939</v>
      </c>
      <c r="B12" s="688" t="s">
        <v>1936</v>
      </c>
      <c r="C12" s="691" t="s">
        <v>1937</v>
      </c>
      <c r="D12" s="591" t="s">
        <v>1940</v>
      </c>
      <c r="E12" s="402">
        <v>2002</v>
      </c>
      <c r="F12" s="691" t="s">
        <v>1938</v>
      </c>
      <c r="G12" s="689">
        <v>972553.11</v>
      </c>
      <c r="H12" s="689">
        <v>2225604.58</v>
      </c>
      <c r="I12" s="214"/>
      <c r="J12" s="214"/>
      <c r="K12" s="214"/>
    </row>
    <row r="13" spans="1:11" ht="12" customHeight="1" x14ac:dyDescent="0.2">
      <c r="A13" s="692" t="s">
        <v>1941</v>
      </c>
      <c r="B13" s="688" t="s">
        <v>1936</v>
      </c>
      <c r="C13" s="691" t="s">
        <v>1937</v>
      </c>
      <c r="D13" s="591" t="s">
        <v>1942</v>
      </c>
      <c r="E13" s="402">
        <v>2009</v>
      </c>
      <c r="F13" s="691" t="s">
        <v>1938</v>
      </c>
      <c r="G13" s="689">
        <v>21689.01</v>
      </c>
      <c r="H13" s="689">
        <v>6944.01</v>
      </c>
      <c r="I13" s="214"/>
      <c r="J13" s="214"/>
      <c r="K13" s="214"/>
    </row>
    <row r="14" spans="1:11" ht="12" customHeight="1" x14ac:dyDescent="0.2">
      <c r="A14" s="692" t="s">
        <v>1943</v>
      </c>
      <c r="B14" s="688" t="s">
        <v>1936</v>
      </c>
      <c r="C14" s="691" t="s">
        <v>1937</v>
      </c>
      <c r="D14" s="591" t="s">
        <v>1944</v>
      </c>
      <c r="E14" s="402">
        <v>2014</v>
      </c>
      <c r="F14" s="691" t="s">
        <v>1938</v>
      </c>
      <c r="G14" s="689">
        <v>10746.38</v>
      </c>
      <c r="H14" s="689">
        <v>20044.759999999998</v>
      </c>
      <c r="I14" s="214"/>
      <c r="J14" s="214"/>
      <c r="K14" s="214"/>
    </row>
    <row r="15" spans="1:11" ht="12" customHeight="1" x14ac:dyDescent="0.2">
      <c r="A15" s="692" t="s">
        <v>1945</v>
      </c>
      <c r="B15" s="688" t="s">
        <v>1936</v>
      </c>
      <c r="C15" s="691" t="s">
        <v>1937</v>
      </c>
      <c r="D15" s="591" t="s">
        <v>1946</v>
      </c>
      <c r="E15" s="402">
        <v>2013</v>
      </c>
      <c r="F15" s="691" t="s">
        <v>1938</v>
      </c>
      <c r="G15" s="689">
        <v>33870756.210000001</v>
      </c>
      <c r="H15" s="689">
        <v>29338084.780000001</v>
      </c>
      <c r="I15" s="214"/>
      <c r="J15" s="214"/>
      <c r="K15" s="214"/>
    </row>
    <row r="16" spans="1:11" ht="12" customHeight="1" x14ac:dyDescent="0.2">
      <c r="A16" s="692"/>
      <c r="B16" s="688"/>
      <c r="C16" s="691"/>
      <c r="D16" s="591"/>
      <c r="E16" s="402"/>
      <c r="F16" s="691"/>
      <c r="G16" s="689"/>
      <c r="H16" s="689"/>
      <c r="I16" s="214"/>
      <c r="J16" s="214"/>
      <c r="K16" s="214"/>
    </row>
    <row r="17" spans="1:11" ht="12" customHeight="1" x14ac:dyDescent="0.2">
      <c r="A17" s="687" t="s">
        <v>391</v>
      </c>
      <c r="B17" s="688"/>
      <c r="C17" s="691"/>
      <c r="D17" s="591"/>
      <c r="E17" s="402"/>
      <c r="F17" s="691"/>
      <c r="G17" s="689"/>
      <c r="H17" s="689"/>
      <c r="I17" s="214"/>
      <c r="J17" s="214"/>
      <c r="K17" s="214"/>
    </row>
    <row r="18" spans="1:11" ht="12" customHeight="1" x14ac:dyDescent="0.2">
      <c r="A18" s="687" t="s">
        <v>1947</v>
      </c>
      <c r="B18" s="688"/>
      <c r="C18" s="691"/>
      <c r="D18" s="591"/>
      <c r="E18" s="402"/>
      <c r="F18" s="691"/>
      <c r="G18" s="689"/>
      <c r="H18" s="689"/>
      <c r="I18" s="214"/>
      <c r="J18" s="214"/>
      <c r="K18" s="214"/>
    </row>
    <row r="19" spans="1:11" ht="12" customHeight="1" x14ac:dyDescent="0.2">
      <c r="A19" s="692" t="s">
        <v>1948</v>
      </c>
      <c r="B19" s="688" t="s">
        <v>1936</v>
      </c>
      <c r="C19" s="691" t="s">
        <v>1937</v>
      </c>
      <c r="D19" s="591" t="s">
        <v>1949</v>
      </c>
      <c r="E19" s="402">
        <v>2016</v>
      </c>
      <c r="F19" s="691" t="s">
        <v>1938</v>
      </c>
      <c r="G19" s="689">
        <v>16578187.43</v>
      </c>
      <c r="H19" s="689">
        <v>15252187.109999999</v>
      </c>
      <c r="I19" s="214"/>
      <c r="J19" s="214"/>
      <c r="K19" s="214"/>
    </row>
    <row r="20" spans="1:11" ht="12" customHeight="1" x14ac:dyDescent="0.2">
      <c r="A20" s="692"/>
      <c r="B20" s="688"/>
      <c r="C20" s="691"/>
      <c r="D20" s="591"/>
      <c r="E20" s="402"/>
      <c r="F20" s="691"/>
      <c r="G20" s="689"/>
      <c r="H20" s="689"/>
      <c r="I20" s="214"/>
      <c r="J20" s="214"/>
      <c r="K20" s="214"/>
    </row>
    <row r="21" spans="1:11" ht="12" customHeight="1" x14ac:dyDescent="0.2">
      <c r="A21" s="687" t="s">
        <v>393</v>
      </c>
      <c r="B21" s="688"/>
      <c r="C21" s="691"/>
      <c r="D21" s="591"/>
      <c r="E21" s="402"/>
      <c r="F21" s="691"/>
      <c r="G21" s="689"/>
      <c r="H21" s="689"/>
      <c r="I21" s="214"/>
      <c r="J21" s="214"/>
      <c r="K21" s="214"/>
    </row>
    <row r="22" spans="1:11" ht="12" customHeight="1" x14ac:dyDescent="0.2">
      <c r="A22" s="692" t="s">
        <v>1950</v>
      </c>
      <c r="B22" s="688" t="s">
        <v>1936</v>
      </c>
      <c r="C22" s="691" t="s">
        <v>1951</v>
      </c>
      <c r="D22" s="591" t="s">
        <v>1952</v>
      </c>
      <c r="E22" s="402">
        <v>2009</v>
      </c>
      <c r="F22" s="691" t="s">
        <v>1938</v>
      </c>
      <c r="G22" s="689">
        <v>61022.1</v>
      </c>
      <c r="H22" s="689">
        <v>61022.1</v>
      </c>
      <c r="I22" s="214"/>
      <c r="J22" s="214"/>
      <c r="K22" s="214"/>
    </row>
    <row r="23" spans="1:11" ht="12" customHeight="1" x14ac:dyDescent="0.2">
      <c r="A23" s="692" t="s">
        <v>1953</v>
      </c>
      <c r="B23" s="688" t="s">
        <v>1936</v>
      </c>
      <c r="C23" s="691" t="s">
        <v>1951</v>
      </c>
      <c r="D23" s="591" t="s">
        <v>1954</v>
      </c>
      <c r="E23" s="402">
        <v>2013</v>
      </c>
      <c r="F23" s="691" t="s">
        <v>1938</v>
      </c>
      <c r="G23" s="689">
        <v>7450</v>
      </c>
      <c r="H23" s="689">
        <v>1200</v>
      </c>
      <c r="I23" s="214"/>
      <c r="J23" s="214"/>
      <c r="K23" s="214"/>
    </row>
    <row r="24" spans="1:11" ht="12" customHeight="1" x14ac:dyDescent="0.2">
      <c r="A24" s="692" t="s">
        <v>1955</v>
      </c>
      <c r="B24" s="688" t="s">
        <v>1936</v>
      </c>
      <c r="C24" s="691" t="s">
        <v>1956</v>
      </c>
      <c r="D24" s="591" t="s">
        <v>1957</v>
      </c>
      <c r="E24" s="402">
        <v>2010</v>
      </c>
      <c r="F24" s="691" t="s">
        <v>1938</v>
      </c>
      <c r="G24" s="689">
        <v>5471178.3300000001</v>
      </c>
      <c r="H24" s="689">
        <v>5471178.3300000001</v>
      </c>
      <c r="I24" s="214"/>
      <c r="J24" s="214"/>
      <c r="K24" s="214"/>
    </row>
    <row r="25" spans="1:11" ht="12" customHeight="1" x14ac:dyDescent="0.2">
      <c r="A25" s="692" t="s">
        <v>1958</v>
      </c>
      <c r="B25" s="688" t="s">
        <v>1936</v>
      </c>
      <c r="C25" s="691" t="s">
        <v>1956</v>
      </c>
      <c r="D25" s="591" t="s">
        <v>1959</v>
      </c>
      <c r="E25" s="402">
        <v>2010</v>
      </c>
      <c r="F25" s="691" t="s">
        <v>1938</v>
      </c>
      <c r="G25" s="689">
        <v>1000000</v>
      </c>
      <c r="H25" s="689">
        <v>1000000</v>
      </c>
      <c r="I25" s="214"/>
      <c r="J25" s="214"/>
      <c r="K25" s="214"/>
    </row>
    <row r="26" spans="1:11" ht="12" customHeight="1" x14ac:dyDescent="0.2">
      <c r="A26" s="692" t="s">
        <v>1960</v>
      </c>
      <c r="B26" s="688" t="s">
        <v>1936</v>
      </c>
      <c r="C26" s="691" t="s">
        <v>1956</v>
      </c>
      <c r="D26" s="591" t="s">
        <v>1961</v>
      </c>
      <c r="E26" s="402">
        <v>2018</v>
      </c>
      <c r="F26" s="691" t="s">
        <v>1938</v>
      </c>
      <c r="G26" s="689">
        <v>14201251.720000001</v>
      </c>
      <c r="H26" s="689">
        <v>11960482.279999999</v>
      </c>
      <c r="I26" s="214"/>
      <c r="J26" s="214"/>
      <c r="K26" s="214"/>
    </row>
    <row r="27" spans="1:11" ht="12" customHeight="1" x14ac:dyDescent="0.2">
      <c r="A27" s="692" t="s">
        <v>1962</v>
      </c>
      <c r="B27" s="688" t="s">
        <v>1936</v>
      </c>
      <c r="C27" s="691" t="s">
        <v>1956</v>
      </c>
      <c r="D27" s="591" t="s">
        <v>1961</v>
      </c>
      <c r="E27" s="402">
        <v>2019</v>
      </c>
      <c r="F27" s="691" t="s">
        <v>1938</v>
      </c>
      <c r="G27" s="689">
        <v>1071167.94</v>
      </c>
      <c r="H27" s="689">
        <v>647001.28</v>
      </c>
      <c r="I27" s="214"/>
      <c r="J27" s="214"/>
      <c r="K27" s="214"/>
    </row>
    <row r="28" spans="1:11" ht="12" customHeight="1" x14ac:dyDescent="0.2">
      <c r="A28" s="692" t="s">
        <v>1963</v>
      </c>
      <c r="B28" s="688" t="s">
        <v>1936</v>
      </c>
      <c r="C28" s="691" t="s">
        <v>1956</v>
      </c>
      <c r="D28" s="591" t="s">
        <v>1964</v>
      </c>
      <c r="E28" s="402">
        <v>2018</v>
      </c>
      <c r="F28" s="691" t="s">
        <v>1938</v>
      </c>
      <c r="G28" s="689">
        <v>2308814.52</v>
      </c>
      <c r="H28" s="689">
        <v>2291814.52</v>
      </c>
      <c r="I28" s="214"/>
      <c r="J28" s="214"/>
      <c r="K28" s="214"/>
    </row>
    <row r="29" spans="1:11" ht="12" customHeight="1" x14ac:dyDescent="0.2">
      <c r="A29" s="692"/>
      <c r="B29" s="688"/>
      <c r="C29" s="691"/>
      <c r="D29" s="591"/>
      <c r="E29" s="402"/>
      <c r="F29" s="691"/>
      <c r="G29" s="689"/>
      <c r="H29" s="689"/>
      <c r="I29" s="214"/>
      <c r="J29" s="214"/>
      <c r="K29" s="214"/>
    </row>
    <row r="30" spans="1:11" ht="12" customHeight="1" x14ac:dyDescent="0.2">
      <c r="A30" s="687" t="s">
        <v>394</v>
      </c>
      <c r="B30" s="688"/>
      <c r="C30" s="691"/>
      <c r="D30" s="591"/>
      <c r="E30" s="402"/>
      <c r="F30" s="691"/>
      <c r="G30" s="689"/>
      <c r="H30" s="689"/>
      <c r="I30" s="214"/>
      <c r="J30" s="214"/>
      <c r="K30" s="214"/>
    </row>
    <row r="31" spans="1:11" ht="12" customHeight="1" x14ac:dyDescent="0.2">
      <c r="A31" s="692" t="s">
        <v>1965</v>
      </c>
      <c r="B31" s="688" t="s">
        <v>1936</v>
      </c>
      <c r="C31" s="691" t="s">
        <v>1937</v>
      </c>
      <c r="D31" s="591" t="s">
        <v>1966</v>
      </c>
      <c r="E31" s="402">
        <v>2019</v>
      </c>
      <c r="F31" s="691" t="s">
        <v>1938</v>
      </c>
      <c r="G31" s="689">
        <v>413189</v>
      </c>
      <c r="H31" s="689">
        <v>389339</v>
      </c>
      <c r="I31" s="214"/>
      <c r="J31" s="214"/>
      <c r="K31" s="214"/>
    </row>
    <row r="32" spans="1:11" ht="12" customHeight="1" x14ac:dyDescent="0.2">
      <c r="A32" s="692" t="s">
        <v>1967</v>
      </c>
      <c r="B32" s="688" t="s">
        <v>1936</v>
      </c>
      <c r="C32" s="691" t="s">
        <v>1937</v>
      </c>
      <c r="D32" s="591" t="s">
        <v>1968</v>
      </c>
      <c r="E32" s="402">
        <v>2010</v>
      </c>
      <c r="F32" s="691" t="s">
        <v>1938</v>
      </c>
      <c r="G32" s="689">
        <v>26058.32</v>
      </c>
      <c r="H32" s="689">
        <v>26058.32</v>
      </c>
      <c r="I32" s="214"/>
      <c r="J32" s="214"/>
      <c r="K32" s="214"/>
    </row>
    <row r="33" spans="1:11" ht="12" customHeight="1" x14ac:dyDescent="0.2">
      <c r="A33" s="692" t="s">
        <v>1969</v>
      </c>
      <c r="B33" s="688" t="s">
        <v>1936</v>
      </c>
      <c r="C33" s="691" t="s">
        <v>1937</v>
      </c>
      <c r="D33" s="591" t="s">
        <v>1970</v>
      </c>
      <c r="E33" s="402">
        <v>2010</v>
      </c>
      <c r="F33" s="691" t="s">
        <v>1938</v>
      </c>
      <c r="G33" s="689">
        <v>2494481.13</v>
      </c>
      <c r="H33" s="689">
        <v>2494481.13</v>
      </c>
      <c r="I33" s="214"/>
      <c r="J33" s="214"/>
      <c r="K33" s="214"/>
    </row>
    <row r="34" spans="1:11" ht="12" customHeight="1" x14ac:dyDescent="0.2">
      <c r="A34" s="692"/>
      <c r="B34" s="688"/>
      <c r="C34" s="691"/>
      <c r="D34" s="591"/>
      <c r="E34" s="402"/>
      <c r="F34" s="691"/>
      <c r="G34" s="689"/>
      <c r="H34" s="689"/>
      <c r="I34" s="214"/>
      <c r="J34" s="214"/>
      <c r="K34" s="214"/>
    </row>
    <row r="35" spans="1:11" ht="12" customHeight="1" x14ac:dyDescent="0.2">
      <c r="A35" s="692" t="s">
        <v>395</v>
      </c>
      <c r="B35" s="688"/>
      <c r="C35" s="691"/>
      <c r="D35" s="591"/>
      <c r="E35" s="402"/>
      <c r="F35" s="691"/>
      <c r="G35" s="689"/>
      <c r="H35" s="689"/>
      <c r="I35" s="214"/>
      <c r="J35" s="214"/>
      <c r="K35" s="214"/>
    </row>
    <row r="36" spans="1:11" ht="12" customHeight="1" x14ac:dyDescent="0.2">
      <c r="A36" s="692" t="s">
        <v>396</v>
      </c>
      <c r="B36" s="688"/>
      <c r="C36" s="691"/>
      <c r="D36" s="591"/>
      <c r="E36" s="402"/>
      <c r="F36" s="691"/>
      <c r="G36" s="689"/>
      <c r="H36" s="689"/>
      <c r="I36" s="214"/>
      <c r="J36" s="214"/>
      <c r="K36" s="214"/>
    </row>
    <row r="37" spans="1:11" ht="12" customHeight="1" x14ac:dyDescent="0.2">
      <c r="A37" s="692" t="s">
        <v>397</v>
      </c>
      <c r="B37" s="688"/>
      <c r="C37" s="691"/>
      <c r="D37" s="591"/>
      <c r="E37" s="402"/>
      <c r="F37" s="691"/>
      <c r="G37" s="689"/>
      <c r="H37" s="689"/>
      <c r="I37" s="214"/>
      <c r="J37" s="214"/>
      <c r="K37" s="214"/>
    </row>
    <row r="38" spans="1:11" ht="12" customHeight="1" x14ac:dyDescent="0.2">
      <c r="A38" s="692" t="s">
        <v>398</v>
      </c>
      <c r="B38" s="688"/>
      <c r="C38" s="689"/>
      <c r="D38" s="344"/>
      <c r="E38" s="690"/>
      <c r="F38" s="691"/>
      <c r="G38" s="689"/>
      <c r="H38" s="689"/>
      <c r="I38" s="214"/>
      <c r="J38" s="214"/>
      <c r="K38" s="214"/>
    </row>
    <row r="39" spans="1:11" ht="12" customHeight="1" x14ac:dyDescent="0.2">
      <c r="A39" s="692" t="s">
        <v>399</v>
      </c>
      <c r="B39" s="688"/>
      <c r="C39" s="689"/>
      <c r="D39" s="344"/>
      <c r="E39" s="690"/>
      <c r="F39" s="689"/>
      <c r="G39" s="689"/>
      <c r="H39" s="689"/>
      <c r="I39" s="214"/>
      <c r="J39" s="214"/>
      <c r="K39" s="214"/>
    </row>
    <row r="40" spans="1:11" ht="12" customHeight="1" x14ac:dyDescent="0.2">
      <c r="A40" s="692" t="s">
        <v>1971</v>
      </c>
      <c r="B40" s="688"/>
      <c r="C40" s="689"/>
      <c r="D40" s="344"/>
      <c r="E40" s="690"/>
      <c r="F40" s="689"/>
      <c r="G40" s="689"/>
      <c r="H40" s="689"/>
      <c r="I40" s="214"/>
      <c r="J40" s="214"/>
      <c r="K40" s="214"/>
    </row>
    <row r="41" spans="1:11" ht="12" customHeight="1" x14ac:dyDescent="0.2">
      <c r="A41" s="865" t="s">
        <v>1972</v>
      </c>
      <c r="B41" s="824"/>
      <c r="C41" s="824"/>
      <c r="D41" s="824"/>
      <c r="E41" s="824"/>
      <c r="F41" s="814"/>
      <c r="G41" s="545">
        <f t="shared" ref="G41:H41" si="0">SUM(G8:G40)</f>
        <v>78508545.199999988</v>
      </c>
      <c r="H41" s="693">
        <f t="shared" si="0"/>
        <v>71185442.199999988</v>
      </c>
      <c r="I41" s="214"/>
      <c r="J41" s="214"/>
      <c r="K41" s="214"/>
    </row>
    <row r="42" spans="1:11" ht="15.75" customHeight="1" x14ac:dyDescent="0.2">
      <c r="A42" s="860" t="s">
        <v>1973</v>
      </c>
      <c r="B42" s="861"/>
      <c r="C42" s="861"/>
      <c r="D42" s="861"/>
      <c r="E42" s="861"/>
      <c r="F42" s="861"/>
      <c r="G42" s="861"/>
      <c r="H42" s="862"/>
      <c r="I42" s="214"/>
      <c r="J42" s="214"/>
      <c r="K42" s="214"/>
    </row>
    <row r="43" spans="1:11" ht="12" customHeight="1" x14ac:dyDescent="0.2">
      <c r="A43" s="694" t="s">
        <v>389</v>
      </c>
      <c r="B43" s="695">
        <v>1085</v>
      </c>
      <c r="C43" s="696" t="s">
        <v>1937</v>
      </c>
      <c r="D43" s="697" t="s">
        <v>1974</v>
      </c>
      <c r="E43" s="696">
        <v>2018</v>
      </c>
      <c r="F43" s="696" t="s">
        <v>1938</v>
      </c>
      <c r="G43" s="698">
        <v>18934884.629999999</v>
      </c>
      <c r="H43" s="698">
        <v>152357</v>
      </c>
      <c r="I43" s="214"/>
      <c r="J43" s="214"/>
      <c r="K43" s="214"/>
    </row>
    <row r="44" spans="1:11" ht="12" customHeight="1" x14ac:dyDescent="0.2">
      <c r="A44" s="229"/>
      <c r="B44" s="688">
        <v>1085</v>
      </c>
      <c r="C44" s="690" t="s">
        <v>1937</v>
      </c>
      <c r="D44" s="699" t="s">
        <v>1975</v>
      </c>
      <c r="E44" s="690">
        <v>2018</v>
      </c>
      <c r="F44" s="690" t="s">
        <v>1938</v>
      </c>
      <c r="G44" s="689">
        <v>127961.07</v>
      </c>
      <c r="H44" s="689">
        <v>127961.07</v>
      </c>
      <c r="I44" s="214"/>
      <c r="J44" s="214"/>
      <c r="K44" s="214"/>
    </row>
    <row r="45" spans="1:11" ht="12" customHeight="1" x14ac:dyDescent="0.2">
      <c r="A45" s="229"/>
      <c r="B45" s="688">
        <v>1085</v>
      </c>
      <c r="C45" s="690" t="s">
        <v>1937</v>
      </c>
      <c r="D45" s="699" t="s">
        <v>1976</v>
      </c>
      <c r="E45" s="690">
        <v>2020</v>
      </c>
      <c r="F45" s="690" t="s">
        <v>1938</v>
      </c>
      <c r="G45" s="689">
        <v>0</v>
      </c>
      <c r="H45" s="689">
        <v>5165336.26</v>
      </c>
      <c r="I45" s="214"/>
      <c r="J45" s="214"/>
      <c r="K45" s="214"/>
    </row>
    <row r="46" spans="1:11" ht="12" customHeight="1" x14ac:dyDescent="0.2">
      <c r="A46" s="229"/>
      <c r="B46" s="688">
        <v>1085</v>
      </c>
      <c r="C46" s="690" t="s">
        <v>1937</v>
      </c>
      <c r="D46" s="699" t="s">
        <v>1977</v>
      </c>
      <c r="E46" s="690">
        <v>2020</v>
      </c>
      <c r="F46" s="690" t="s">
        <v>1938</v>
      </c>
      <c r="G46" s="689">
        <v>0</v>
      </c>
      <c r="H46" s="689">
        <v>9339861</v>
      </c>
      <c r="I46" s="214"/>
      <c r="J46" s="214"/>
      <c r="K46" s="214"/>
    </row>
    <row r="47" spans="1:11" ht="12" customHeight="1" x14ac:dyDescent="0.2">
      <c r="A47" s="229"/>
      <c r="B47" s="688"/>
      <c r="C47" s="690"/>
      <c r="D47" s="699"/>
      <c r="E47" s="690"/>
      <c r="F47" s="690"/>
      <c r="G47" s="689"/>
      <c r="H47" s="689"/>
      <c r="I47" s="214"/>
      <c r="J47" s="214"/>
      <c r="K47" s="214"/>
    </row>
    <row r="48" spans="1:11" ht="12" customHeight="1" x14ac:dyDescent="0.2">
      <c r="A48" s="700" t="s">
        <v>390</v>
      </c>
      <c r="B48" s="688">
        <v>1085</v>
      </c>
      <c r="C48" s="690" t="s">
        <v>1937</v>
      </c>
      <c r="D48" s="699" t="s">
        <v>1978</v>
      </c>
      <c r="E48" s="690">
        <v>2002</v>
      </c>
      <c r="F48" s="690" t="s">
        <v>1938</v>
      </c>
      <c r="G48" s="689">
        <v>958.83</v>
      </c>
      <c r="H48" s="689">
        <v>0</v>
      </c>
      <c r="I48" s="214"/>
      <c r="J48" s="214"/>
      <c r="K48" s="214"/>
    </row>
    <row r="49" spans="1:11" ht="12" customHeight="1" x14ac:dyDescent="0.2">
      <c r="A49" s="229"/>
      <c r="B49" s="688">
        <v>1085</v>
      </c>
      <c r="C49" s="690" t="s">
        <v>1937</v>
      </c>
      <c r="D49" s="699" t="s">
        <v>1979</v>
      </c>
      <c r="E49" s="690">
        <v>2002</v>
      </c>
      <c r="F49" s="690" t="s">
        <v>1980</v>
      </c>
      <c r="G49" s="689">
        <v>131130.23999999999</v>
      </c>
      <c r="H49" s="689">
        <v>177.65</v>
      </c>
      <c r="I49" s="214"/>
      <c r="J49" s="214"/>
      <c r="K49" s="214"/>
    </row>
    <row r="50" spans="1:11" ht="12" customHeight="1" x14ac:dyDescent="0.2">
      <c r="A50" s="229"/>
      <c r="B50" s="688">
        <v>1085</v>
      </c>
      <c r="C50" s="690" t="s">
        <v>1937</v>
      </c>
      <c r="D50" s="699" t="s">
        <v>1981</v>
      </c>
      <c r="E50" s="690">
        <v>2013</v>
      </c>
      <c r="F50" s="690" t="s">
        <v>1938</v>
      </c>
      <c r="G50" s="689"/>
      <c r="H50" s="689">
        <v>1804405.64</v>
      </c>
      <c r="I50" s="214"/>
      <c r="J50" s="214"/>
      <c r="K50" s="214"/>
    </row>
    <row r="51" spans="1:11" ht="12" customHeight="1" x14ac:dyDescent="0.2">
      <c r="A51" s="229"/>
      <c r="B51" s="688"/>
      <c r="C51" s="690"/>
      <c r="D51" s="699"/>
      <c r="E51" s="690"/>
      <c r="F51" s="690"/>
      <c r="G51" s="689"/>
      <c r="H51" s="689"/>
      <c r="I51" s="214"/>
      <c r="J51" s="214"/>
      <c r="K51" s="214"/>
    </row>
    <row r="52" spans="1:11" ht="12" customHeight="1" x14ac:dyDescent="0.2">
      <c r="A52" s="229"/>
      <c r="B52" s="688"/>
      <c r="C52" s="690"/>
      <c r="D52" s="699"/>
      <c r="E52" s="690"/>
      <c r="F52" s="690"/>
      <c r="G52" s="689"/>
      <c r="H52" s="689"/>
      <c r="I52" s="214"/>
      <c r="J52" s="214"/>
      <c r="K52" s="214"/>
    </row>
    <row r="53" spans="1:11" ht="12" customHeight="1" x14ac:dyDescent="0.2">
      <c r="A53" s="700" t="s">
        <v>391</v>
      </c>
      <c r="B53" s="688">
        <v>1085</v>
      </c>
      <c r="C53" s="690" t="s">
        <v>1937</v>
      </c>
      <c r="D53" s="699" t="s">
        <v>1982</v>
      </c>
      <c r="E53" s="690">
        <v>2015</v>
      </c>
      <c r="F53" s="690" t="s">
        <v>1938</v>
      </c>
      <c r="G53" s="689">
        <v>5001506.78</v>
      </c>
      <c r="H53" s="689">
        <v>5954834.7000000002</v>
      </c>
      <c r="I53" s="214"/>
      <c r="J53" s="214"/>
      <c r="K53" s="214"/>
    </row>
    <row r="54" spans="1:11" ht="12" customHeight="1" x14ac:dyDescent="0.2">
      <c r="A54" s="229" t="s">
        <v>1983</v>
      </c>
      <c r="B54" s="688">
        <v>1085</v>
      </c>
      <c r="C54" s="690" t="s">
        <v>1937</v>
      </c>
      <c r="D54" s="699" t="s">
        <v>1984</v>
      </c>
      <c r="E54" s="690">
        <v>2017</v>
      </c>
      <c r="F54" s="690" t="s">
        <v>1938</v>
      </c>
      <c r="G54" s="689">
        <v>16758335.5</v>
      </c>
      <c r="H54" s="689">
        <v>16912731.420000002</v>
      </c>
      <c r="I54" s="214"/>
      <c r="J54" s="214"/>
      <c r="K54" s="214"/>
    </row>
    <row r="55" spans="1:11" ht="12" customHeight="1" x14ac:dyDescent="0.2">
      <c r="A55" s="229"/>
      <c r="B55" s="688">
        <v>1085</v>
      </c>
      <c r="C55" s="690" t="s">
        <v>1937</v>
      </c>
      <c r="D55" s="699" t="s">
        <v>1985</v>
      </c>
      <c r="E55" s="690">
        <v>2018</v>
      </c>
      <c r="F55" s="690" t="s">
        <v>1938</v>
      </c>
      <c r="G55" s="689">
        <v>424526.14</v>
      </c>
      <c r="H55" s="689">
        <v>1600840</v>
      </c>
      <c r="I55" s="214"/>
      <c r="J55" s="214"/>
      <c r="K55" s="214"/>
    </row>
    <row r="56" spans="1:11" ht="12" customHeight="1" x14ac:dyDescent="0.2">
      <c r="A56" s="229"/>
      <c r="B56" s="688">
        <v>1085</v>
      </c>
      <c r="C56" s="690" t="s">
        <v>1937</v>
      </c>
      <c r="D56" s="699" t="s">
        <v>1986</v>
      </c>
      <c r="E56" s="690">
        <v>2020</v>
      </c>
      <c r="F56" s="690" t="s">
        <v>1938</v>
      </c>
      <c r="G56" s="689">
        <v>0</v>
      </c>
      <c r="H56" s="689">
        <v>1227413.81</v>
      </c>
      <c r="I56" s="214"/>
      <c r="J56" s="214"/>
      <c r="K56" s="214"/>
    </row>
    <row r="57" spans="1:11" ht="12" customHeight="1" x14ac:dyDescent="0.2">
      <c r="A57" s="229"/>
      <c r="B57" s="688">
        <v>1085</v>
      </c>
      <c r="C57" s="690" t="s">
        <v>1937</v>
      </c>
      <c r="D57" s="699" t="s">
        <v>1987</v>
      </c>
      <c r="E57" s="690">
        <v>2020</v>
      </c>
      <c r="F57" s="690" t="s">
        <v>1938</v>
      </c>
      <c r="G57" s="689">
        <v>0</v>
      </c>
      <c r="H57" s="689">
        <v>0</v>
      </c>
      <c r="I57" s="214"/>
      <c r="J57" s="214"/>
      <c r="K57" s="214"/>
    </row>
    <row r="58" spans="1:11" ht="12" customHeight="1" x14ac:dyDescent="0.2">
      <c r="A58" s="229"/>
      <c r="B58" s="688">
        <v>1085</v>
      </c>
      <c r="C58" s="690" t="s">
        <v>1937</v>
      </c>
      <c r="D58" s="699" t="s">
        <v>1988</v>
      </c>
      <c r="E58" s="690">
        <v>2020</v>
      </c>
      <c r="F58" s="690" t="s">
        <v>1980</v>
      </c>
      <c r="G58" s="689">
        <v>0</v>
      </c>
      <c r="H58" s="689">
        <v>0</v>
      </c>
      <c r="I58" s="214"/>
      <c r="J58" s="214"/>
      <c r="K58" s="214"/>
    </row>
    <row r="59" spans="1:11" ht="12" customHeight="1" x14ac:dyDescent="0.2">
      <c r="A59" s="229"/>
      <c r="B59" s="688"/>
      <c r="C59" s="690"/>
      <c r="D59" s="699"/>
      <c r="E59" s="690"/>
      <c r="F59" s="690"/>
      <c r="G59" s="689"/>
      <c r="H59" s="689"/>
      <c r="I59" s="214"/>
      <c r="J59" s="214"/>
      <c r="K59" s="214"/>
    </row>
    <row r="60" spans="1:11" ht="12" customHeight="1" x14ac:dyDescent="0.2">
      <c r="A60" s="700" t="s">
        <v>393</v>
      </c>
      <c r="B60" s="688">
        <v>1085</v>
      </c>
      <c r="C60" s="690" t="s">
        <v>1937</v>
      </c>
      <c r="D60" s="699" t="s">
        <v>1989</v>
      </c>
      <c r="E60" s="690">
        <v>2009</v>
      </c>
      <c r="F60" s="690" t="s">
        <v>1990</v>
      </c>
      <c r="G60" s="689">
        <v>26896.13</v>
      </c>
      <c r="H60" s="689">
        <v>13777.14</v>
      </c>
      <c r="I60" s="214"/>
      <c r="J60" s="214"/>
      <c r="K60" s="214"/>
    </row>
    <row r="61" spans="1:11" ht="12" customHeight="1" x14ac:dyDescent="0.2">
      <c r="A61" s="229"/>
      <c r="B61" s="688">
        <v>1085</v>
      </c>
      <c r="C61" s="690" t="s">
        <v>1937</v>
      </c>
      <c r="D61" s="699" t="s">
        <v>1991</v>
      </c>
      <c r="E61" s="690">
        <v>2011</v>
      </c>
      <c r="F61" s="690" t="s">
        <v>1938</v>
      </c>
      <c r="G61" s="689">
        <v>7.6</v>
      </c>
      <c r="H61" s="689">
        <v>0.01</v>
      </c>
      <c r="I61" s="214"/>
      <c r="J61" s="214"/>
      <c r="K61" s="214"/>
    </row>
    <row r="62" spans="1:11" ht="12" customHeight="1" x14ac:dyDescent="0.2">
      <c r="A62" s="229"/>
      <c r="B62" s="688"/>
      <c r="C62" s="690"/>
      <c r="D62" s="699"/>
      <c r="E62" s="690"/>
      <c r="F62" s="690"/>
      <c r="G62" s="689"/>
      <c r="H62" s="689"/>
      <c r="I62" s="214"/>
      <c r="J62" s="214"/>
      <c r="K62" s="214"/>
    </row>
    <row r="63" spans="1:11" ht="12" customHeight="1" x14ac:dyDescent="0.2">
      <c r="A63" s="700" t="s">
        <v>394</v>
      </c>
      <c r="B63" s="688"/>
      <c r="C63" s="690"/>
      <c r="D63" s="699"/>
      <c r="E63" s="690"/>
      <c r="F63" s="690"/>
      <c r="G63" s="689"/>
      <c r="H63" s="689"/>
      <c r="I63" s="214"/>
      <c r="J63" s="214"/>
      <c r="K63" s="214"/>
    </row>
    <row r="64" spans="1:11" ht="12" customHeight="1" x14ac:dyDescent="0.2">
      <c r="A64" s="229"/>
      <c r="B64" s="688"/>
      <c r="C64" s="690"/>
      <c r="D64" s="699"/>
      <c r="E64" s="690"/>
      <c r="F64" s="690"/>
      <c r="G64" s="689"/>
      <c r="H64" s="689"/>
      <c r="I64" s="214"/>
      <c r="J64" s="214"/>
      <c r="K64" s="214"/>
    </row>
    <row r="65" spans="1:11" ht="12" customHeight="1" x14ac:dyDescent="0.2">
      <c r="A65" s="229" t="s">
        <v>395</v>
      </c>
      <c r="B65" s="688">
        <v>1085</v>
      </c>
      <c r="C65" s="690" t="s">
        <v>1937</v>
      </c>
      <c r="D65" s="699" t="s">
        <v>1992</v>
      </c>
      <c r="E65" s="690">
        <v>2015</v>
      </c>
      <c r="F65" s="690" t="s">
        <v>1938</v>
      </c>
      <c r="G65" s="689">
        <v>4275261.6900000004</v>
      </c>
      <c r="H65" s="689">
        <v>4750940.6500000004</v>
      </c>
      <c r="I65" s="214"/>
      <c r="J65" s="214"/>
      <c r="K65" s="214"/>
    </row>
    <row r="66" spans="1:11" ht="12" customHeight="1" x14ac:dyDescent="0.2">
      <c r="A66" s="229" t="s">
        <v>396</v>
      </c>
      <c r="B66" s="688">
        <v>1085</v>
      </c>
      <c r="C66" s="690" t="s">
        <v>1937</v>
      </c>
      <c r="D66" s="699" t="s">
        <v>1993</v>
      </c>
      <c r="E66" s="690">
        <v>2017</v>
      </c>
      <c r="F66" s="690" t="s">
        <v>1938</v>
      </c>
      <c r="G66" s="689">
        <v>5494071</v>
      </c>
      <c r="H66" s="689">
        <v>4154782.6</v>
      </c>
      <c r="I66" s="214"/>
      <c r="J66" s="214"/>
      <c r="K66" s="214"/>
    </row>
    <row r="67" spans="1:11" ht="12" customHeight="1" x14ac:dyDescent="0.2">
      <c r="A67" s="229"/>
      <c r="B67" s="688">
        <v>1085</v>
      </c>
      <c r="C67" s="690" t="s">
        <v>1937</v>
      </c>
      <c r="D67" s="699" t="s">
        <v>1994</v>
      </c>
      <c r="E67" s="690">
        <v>2012</v>
      </c>
      <c r="F67" s="690" t="s">
        <v>1938</v>
      </c>
      <c r="G67" s="689">
        <v>105338.47</v>
      </c>
      <c r="H67" s="689">
        <v>105338.47</v>
      </c>
      <c r="I67" s="214"/>
      <c r="J67" s="214"/>
      <c r="K67" s="214"/>
    </row>
    <row r="68" spans="1:11" ht="12" customHeight="1" x14ac:dyDescent="0.2">
      <c r="A68" s="229"/>
      <c r="B68" s="688"/>
      <c r="C68" s="690"/>
      <c r="D68" s="699"/>
      <c r="E68" s="690"/>
      <c r="F68" s="690"/>
      <c r="G68" s="689"/>
      <c r="H68" s="689"/>
      <c r="I68" s="214"/>
      <c r="J68" s="214"/>
      <c r="K68" s="214"/>
    </row>
    <row r="69" spans="1:11" ht="12" customHeight="1" x14ac:dyDescent="0.2">
      <c r="A69" s="229" t="s">
        <v>397</v>
      </c>
      <c r="B69" s="688"/>
      <c r="C69" s="690"/>
      <c r="D69" s="699"/>
      <c r="E69" s="690"/>
      <c r="F69" s="690"/>
      <c r="G69" s="689"/>
      <c r="H69" s="689"/>
      <c r="I69" s="214"/>
      <c r="J69" s="214"/>
      <c r="K69" s="214"/>
    </row>
    <row r="70" spans="1:11" ht="12" customHeight="1" x14ac:dyDescent="0.2">
      <c r="A70" s="229" t="s">
        <v>398</v>
      </c>
      <c r="B70" s="688"/>
      <c r="C70" s="690"/>
      <c r="D70" s="699"/>
      <c r="E70" s="690"/>
      <c r="F70" s="690"/>
      <c r="G70" s="689"/>
      <c r="H70" s="689"/>
      <c r="I70" s="214"/>
      <c r="J70" s="214"/>
      <c r="K70" s="214"/>
    </row>
    <row r="71" spans="1:11" ht="12" customHeight="1" x14ac:dyDescent="0.2">
      <c r="A71" s="229" t="s">
        <v>399</v>
      </c>
      <c r="B71" s="688"/>
      <c r="C71" s="690"/>
      <c r="D71" s="699"/>
      <c r="E71" s="690"/>
      <c r="F71" s="690"/>
      <c r="G71" s="689"/>
      <c r="H71" s="689"/>
      <c r="I71" s="214"/>
      <c r="J71" s="214"/>
      <c r="K71" s="214"/>
    </row>
    <row r="72" spans="1:11" ht="12" customHeight="1" x14ac:dyDescent="0.2">
      <c r="A72" s="547" t="s">
        <v>1971</v>
      </c>
      <c r="B72" s="701"/>
      <c r="C72" s="702"/>
      <c r="D72" s="703"/>
      <c r="E72" s="702"/>
      <c r="F72" s="702"/>
      <c r="G72" s="704"/>
      <c r="H72" s="704"/>
      <c r="I72" s="214"/>
      <c r="J72" s="214"/>
      <c r="K72" s="214"/>
    </row>
    <row r="73" spans="1:11" ht="17.25" customHeight="1" x14ac:dyDescent="0.2">
      <c r="A73" s="865" t="s">
        <v>1972</v>
      </c>
      <c r="B73" s="824"/>
      <c r="C73" s="824"/>
      <c r="D73" s="824"/>
      <c r="E73" s="824"/>
      <c r="F73" s="814"/>
      <c r="G73" s="545">
        <f t="shared" ref="G73:H73" si="1">SUM(G43:G72)</f>
        <v>51280878.079999998</v>
      </c>
      <c r="H73" s="545">
        <f t="shared" si="1"/>
        <v>51310757.420000002</v>
      </c>
      <c r="I73" s="214"/>
      <c r="J73" s="214"/>
      <c r="K73" s="214"/>
    </row>
    <row r="74" spans="1:11" ht="16.5" customHeight="1" x14ac:dyDescent="0.2">
      <c r="A74" s="860" t="s">
        <v>1995</v>
      </c>
      <c r="B74" s="861"/>
      <c r="C74" s="861"/>
      <c r="D74" s="861"/>
      <c r="E74" s="861"/>
      <c r="F74" s="861"/>
      <c r="G74" s="861"/>
      <c r="H74" s="862"/>
      <c r="I74" s="214"/>
      <c r="J74" s="214"/>
      <c r="K74" s="214"/>
    </row>
    <row r="75" spans="1:11" ht="12" customHeight="1" x14ac:dyDescent="0.2">
      <c r="A75" s="705" t="s">
        <v>389</v>
      </c>
      <c r="B75" s="400"/>
      <c r="C75" s="689"/>
      <c r="D75" s="249"/>
      <c r="E75" s="578"/>
      <c r="F75" s="689"/>
      <c r="G75" s="706"/>
      <c r="H75" s="706"/>
      <c r="I75" s="214"/>
      <c r="J75" s="214"/>
      <c r="K75" s="214"/>
    </row>
    <row r="76" spans="1:11" ht="12" customHeight="1" x14ac:dyDescent="0.2">
      <c r="A76" s="707" t="s">
        <v>1996</v>
      </c>
      <c r="B76" s="708" t="s">
        <v>1997</v>
      </c>
      <c r="C76" s="691" t="s">
        <v>1937</v>
      </c>
      <c r="D76" s="709" t="s">
        <v>1998</v>
      </c>
      <c r="E76" s="690" t="s">
        <v>1999</v>
      </c>
      <c r="F76" s="691" t="s">
        <v>1938</v>
      </c>
      <c r="G76" s="689">
        <v>0</v>
      </c>
      <c r="H76" s="689">
        <v>0</v>
      </c>
      <c r="I76" s="214"/>
      <c r="J76" s="214"/>
      <c r="K76" s="214"/>
    </row>
    <row r="77" spans="1:11" ht="12" customHeight="1" x14ac:dyDescent="0.2">
      <c r="A77" s="707" t="s">
        <v>2000</v>
      </c>
      <c r="B77" s="708" t="s">
        <v>1997</v>
      </c>
      <c r="C77" s="691" t="s">
        <v>2001</v>
      </c>
      <c r="D77" s="709" t="s">
        <v>2002</v>
      </c>
      <c r="E77" s="690" t="s">
        <v>2003</v>
      </c>
      <c r="F77" s="691" t="s">
        <v>1938</v>
      </c>
      <c r="G77" s="689">
        <v>2781598.2</v>
      </c>
      <c r="H77" s="689">
        <v>7387.5</v>
      </c>
      <c r="I77" s="214"/>
      <c r="J77" s="214"/>
      <c r="K77" s="214"/>
    </row>
    <row r="78" spans="1:11" ht="12" customHeight="1" x14ac:dyDescent="0.2">
      <c r="A78" s="707" t="s">
        <v>2004</v>
      </c>
      <c r="B78" s="708" t="s">
        <v>1997</v>
      </c>
      <c r="C78" s="691" t="s">
        <v>2001</v>
      </c>
      <c r="D78" s="709" t="s">
        <v>2005</v>
      </c>
      <c r="E78" s="690" t="s">
        <v>2006</v>
      </c>
      <c r="F78" s="691" t="s">
        <v>1938</v>
      </c>
      <c r="G78" s="689">
        <v>81665</v>
      </c>
      <c r="H78" s="689">
        <v>81665</v>
      </c>
      <c r="I78" s="214"/>
      <c r="J78" s="214"/>
      <c r="K78" s="214"/>
    </row>
    <row r="79" spans="1:11" ht="12" customHeight="1" x14ac:dyDescent="0.2">
      <c r="A79" s="707" t="s">
        <v>2007</v>
      </c>
      <c r="B79" s="708" t="s">
        <v>1997</v>
      </c>
      <c r="C79" s="691" t="s">
        <v>2001</v>
      </c>
      <c r="D79" s="709" t="s">
        <v>2008</v>
      </c>
      <c r="E79" s="710" t="s">
        <v>2009</v>
      </c>
      <c r="F79" s="691" t="s">
        <v>1938</v>
      </c>
      <c r="G79" s="689">
        <v>0</v>
      </c>
      <c r="H79" s="689">
        <v>4172600.26</v>
      </c>
      <c r="I79" s="214"/>
      <c r="J79" s="214"/>
      <c r="K79" s="214"/>
    </row>
    <row r="80" spans="1:11" ht="12" customHeight="1" x14ac:dyDescent="0.2">
      <c r="A80" s="707" t="s">
        <v>2010</v>
      </c>
      <c r="B80" s="708" t="s">
        <v>1997</v>
      </c>
      <c r="C80" s="691" t="s">
        <v>2001</v>
      </c>
      <c r="D80" s="709" t="s">
        <v>2011</v>
      </c>
      <c r="E80" s="710" t="s">
        <v>2012</v>
      </c>
      <c r="F80" s="691" t="s">
        <v>1938</v>
      </c>
      <c r="G80" s="689">
        <v>0</v>
      </c>
      <c r="H80" s="689">
        <v>1491208</v>
      </c>
      <c r="I80" s="214"/>
      <c r="J80" s="214"/>
      <c r="K80" s="214"/>
    </row>
    <row r="81" spans="1:11" ht="12" customHeight="1" x14ac:dyDescent="0.2">
      <c r="A81" s="707"/>
      <c r="B81" s="708"/>
      <c r="C81" s="691"/>
      <c r="D81" s="709"/>
      <c r="E81" s="690"/>
      <c r="F81" s="691"/>
      <c r="G81" s="689"/>
      <c r="H81" s="689"/>
      <c r="I81" s="214"/>
      <c r="J81" s="214"/>
      <c r="K81" s="214"/>
    </row>
    <row r="82" spans="1:11" ht="12" customHeight="1" x14ac:dyDescent="0.2">
      <c r="A82" s="705" t="s">
        <v>2013</v>
      </c>
      <c r="B82" s="708"/>
      <c r="C82" s="691"/>
      <c r="D82" s="709"/>
      <c r="E82" s="690"/>
      <c r="F82" s="691"/>
      <c r="G82" s="689"/>
      <c r="H82" s="689"/>
      <c r="I82" s="214"/>
      <c r="J82" s="214"/>
      <c r="K82" s="214"/>
    </row>
    <row r="83" spans="1:11" ht="12" customHeight="1" x14ac:dyDescent="0.2">
      <c r="A83" s="707" t="s">
        <v>2014</v>
      </c>
      <c r="B83" s="708" t="s">
        <v>1997</v>
      </c>
      <c r="C83" s="691" t="s">
        <v>2001</v>
      </c>
      <c r="D83" s="709" t="s">
        <v>1946</v>
      </c>
      <c r="E83" s="690" t="s">
        <v>2015</v>
      </c>
      <c r="F83" s="691" t="s">
        <v>1938</v>
      </c>
      <c r="G83" s="689">
        <v>520740.67</v>
      </c>
      <c r="H83" s="689">
        <v>1021107.89</v>
      </c>
      <c r="I83" s="214"/>
      <c r="J83" s="214"/>
      <c r="K83" s="214"/>
    </row>
    <row r="84" spans="1:11" ht="12" customHeight="1" x14ac:dyDescent="0.2">
      <c r="A84" s="707" t="s">
        <v>2016</v>
      </c>
      <c r="B84" s="708" t="s">
        <v>1997</v>
      </c>
      <c r="C84" s="691" t="s">
        <v>1937</v>
      </c>
      <c r="D84" s="709" t="s">
        <v>2017</v>
      </c>
      <c r="E84" s="690" t="s">
        <v>1999</v>
      </c>
      <c r="F84" s="691" t="s">
        <v>1938</v>
      </c>
      <c r="G84" s="689">
        <v>433.53</v>
      </c>
      <c r="H84" s="689">
        <v>2237.5300000000002</v>
      </c>
      <c r="I84" s="214"/>
      <c r="J84" s="214"/>
      <c r="K84" s="214"/>
    </row>
    <row r="85" spans="1:11" ht="12" customHeight="1" x14ac:dyDescent="0.2">
      <c r="A85" s="707"/>
      <c r="B85" s="708"/>
      <c r="C85" s="691"/>
      <c r="D85" s="709"/>
      <c r="E85" s="690"/>
      <c r="F85" s="691"/>
      <c r="G85" s="689"/>
      <c r="H85" s="689"/>
      <c r="I85" s="214"/>
      <c r="J85" s="214"/>
      <c r="K85" s="214"/>
    </row>
    <row r="86" spans="1:11" ht="12" customHeight="1" x14ac:dyDescent="0.2">
      <c r="A86" s="705" t="s">
        <v>2018</v>
      </c>
      <c r="B86" s="708"/>
      <c r="C86" s="691"/>
      <c r="D86" s="709"/>
      <c r="E86" s="690"/>
      <c r="F86" s="691"/>
      <c r="G86" s="689"/>
      <c r="H86" s="689"/>
      <c r="I86" s="214"/>
      <c r="J86" s="214"/>
      <c r="K86" s="214"/>
    </row>
    <row r="87" spans="1:11" ht="12" customHeight="1" x14ac:dyDescent="0.2">
      <c r="A87" s="705" t="s">
        <v>2019</v>
      </c>
      <c r="B87" s="708"/>
      <c r="C87" s="691"/>
      <c r="D87" s="709"/>
      <c r="E87" s="690"/>
      <c r="F87" s="691"/>
      <c r="G87" s="689"/>
      <c r="H87" s="689"/>
      <c r="I87" s="214"/>
      <c r="J87" s="214"/>
      <c r="K87" s="214"/>
    </row>
    <row r="88" spans="1:11" ht="12" customHeight="1" x14ac:dyDescent="0.2">
      <c r="A88" s="707" t="s">
        <v>2020</v>
      </c>
      <c r="B88" s="708" t="s">
        <v>1997</v>
      </c>
      <c r="C88" s="691" t="s">
        <v>2001</v>
      </c>
      <c r="D88" s="709" t="s">
        <v>1949</v>
      </c>
      <c r="E88" s="690" t="s">
        <v>2021</v>
      </c>
      <c r="F88" s="691" t="s">
        <v>1938</v>
      </c>
      <c r="G88" s="689">
        <v>6982745.9400000004</v>
      </c>
      <c r="H88" s="689">
        <v>1394137.97</v>
      </c>
      <c r="I88" s="214"/>
      <c r="J88" s="214"/>
      <c r="K88" s="214"/>
    </row>
    <row r="89" spans="1:11" ht="12" customHeight="1" x14ac:dyDescent="0.2">
      <c r="A89" s="707" t="s">
        <v>2022</v>
      </c>
      <c r="B89" s="708" t="s">
        <v>1997</v>
      </c>
      <c r="C89" s="691" t="s">
        <v>2001</v>
      </c>
      <c r="D89" s="709" t="s">
        <v>2023</v>
      </c>
      <c r="E89" s="690" t="s">
        <v>2024</v>
      </c>
      <c r="F89" s="691" t="s">
        <v>1938</v>
      </c>
      <c r="G89" s="689">
        <v>0</v>
      </c>
      <c r="H89" s="689">
        <v>0</v>
      </c>
      <c r="I89" s="214"/>
      <c r="J89" s="214"/>
      <c r="K89" s="214"/>
    </row>
    <row r="90" spans="1:11" ht="12" customHeight="1" x14ac:dyDescent="0.2">
      <c r="A90" s="707" t="s">
        <v>2025</v>
      </c>
      <c r="B90" s="708" t="s">
        <v>1997</v>
      </c>
      <c r="C90" s="691" t="s">
        <v>2001</v>
      </c>
      <c r="D90" s="709" t="s">
        <v>2026</v>
      </c>
      <c r="E90" s="690" t="s">
        <v>2006</v>
      </c>
      <c r="F90" s="691" t="s">
        <v>1938</v>
      </c>
      <c r="G90" s="689">
        <v>7833301.8799999999</v>
      </c>
      <c r="H90" s="689">
        <v>6512220.7800000003</v>
      </c>
      <c r="I90" s="214"/>
      <c r="J90" s="214"/>
      <c r="K90" s="214"/>
    </row>
    <row r="91" spans="1:11" ht="12" customHeight="1" x14ac:dyDescent="0.2">
      <c r="A91" s="707" t="s">
        <v>2025</v>
      </c>
      <c r="B91" s="708" t="s">
        <v>1997</v>
      </c>
      <c r="C91" s="691" t="s">
        <v>2001</v>
      </c>
      <c r="D91" s="709" t="s">
        <v>2027</v>
      </c>
      <c r="E91" s="710" t="s">
        <v>2009</v>
      </c>
      <c r="F91" s="691" t="s">
        <v>1938</v>
      </c>
      <c r="G91" s="689">
        <v>0</v>
      </c>
      <c r="H91" s="689">
        <v>1176104</v>
      </c>
      <c r="I91" s="214"/>
      <c r="J91" s="214"/>
      <c r="K91" s="214"/>
    </row>
    <row r="92" spans="1:11" ht="12" customHeight="1" x14ac:dyDescent="0.2">
      <c r="A92" s="707"/>
      <c r="B92" s="708"/>
      <c r="C92" s="691"/>
      <c r="D92" s="709"/>
      <c r="E92" s="690"/>
      <c r="F92" s="691"/>
      <c r="G92" s="689"/>
      <c r="H92" s="689"/>
      <c r="I92" s="214"/>
      <c r="J92" s="214"/>
      <c r="K92" s="214"/>
    </row>
    <row r="93" spans="1:11" ht="12" customHeight="1" x14ac:dyDescent="0.2">
      <c r="A93" s="705" t="s">
        <v>2028</v>
      </c>
      <c r="B93" s="708"/>
      <c r="C93" s="691"/>
      <c r="D93" s="709"/>
      <c r="E93" s="690"/>
      <c r="F93" s="691"/>
      <c r="G93" s="689"/>
      <c r="H93" s="689"/>
      <c r="I93" s="214"/>
      <c r="J93" s="214"/>
      <c r="K93" s="214"/>
    </row>
    <row r="94" spans="1:11" ht="12" customHeight="1" x14ac:dyDescent="0.2">
      <c r="A94" s="707" t="s">
        <v>2029</v>
      </c>
      <c r="B94" s="708" t="s">
        <v>1997</v>
      </c>
      <c r="C94" s="691" t="s">
        <v>1937</v>
      </c>
      <c r="D94" s="709" t="s">
        <v>2030</v>
      </c>
      <c r="E94" s="690" t="s">
        <v>1999</v>
      </c>
      <c r="F94" s="691" t="s">
        <v>1938</v>
      </c>
      <c r="G94" s="689">
        <v>513104.4</v>
      </c>
      <c r="H94" s="689">
        <v>513104.4</v>
      </c>
      <c r="I94" s="214"/>
      <c r="J94" s="214"/>
      <c r="K94" s="214"/>
    </row>
    <row r="95" spans="1:11" ht="12" customHeight="1" x14ac:dyDescent="0.2">
      <c r="A95" s="707" t="s">
        <v>2031</v>
      </c>
      <c r="B95" s="708" t="s">
        <v>1997</v>
      </c>
      <c r="C95" s="691" t="s">
        <v>1937</v>
      </c>
      <c r="D95" s="709" t="s">
        <v>2032</v>
      </c>
      <c r="E95" s="690" t="s">
        <v>1999</v>
      </c>
      <c r="F95" s="691" t="s">
        <v>1938</v>
      </c>
      <c r="G95" s="689">
        <v>0</v>
      </c>
      <c r="H95" s="689">
        <v>0</v>
      </c>
      <c r="I95" s="214"/>
      <c r="J95" s="214"/>
      <c r="K95" s="214"/>
    </row>
    <row r="96" spans="1:11" ht="12" customHeight="1" x14ac:dyDescent="0.2">
      <c r="A96" s="707" t="s">
        <v>2029</v>
      </c>
      <c r="B96" s="708" t="s">
        <v>1997</v>
      </c>
      <c r="C96" s="691" t="s">
        <v>1937</v>
      </c>
      <c r="D96" s="709" t="s">
        <v>2033</v>
      </c>
      <c r="E96" s="690" t="s">
        <v>1999</v>
      </c>
      <c r="F96" s="711" t="s">
        <v>2034</v>
      </c>
      <c r="G96" s="689">
        <v>0</v>
      </c>
      <c r="H96" s="689">
        <v>0</v>
      </c>
      <c r="I96" s="214"/>
      <c r="J96" s="214"/>
      <c r="K96" s="214"/>
    </row>
    <row r="97" spans="1:11" ht="12" customHeight="1" x14ac:dyDescent="0.2">
      <c r="A97" s="707" t="s">
        <v>2031</v>
      </c>
      <c r="B97" s="708" t="s">
        <v>1997</v>
      </c>
      <c r="C97" s="691" t="s">
        <v>1937</v>
      </c>
      <c r="D97" s="709" t="s">
        <v>2035</v>
      </c>
      <c r="E97" s="690" t="s">
        <v>1999</v>
      </c>
      <c r="F97" s="711" t="s">
        <v>2034</v>
      </c>
      <c r="G97" s="689">
        <v>0</v>
      </c>
      <c r="H97" s="689">
        <v>0</v>
      </c>
      <c r="I97" s="214"/>
      <c r="J97" s="214"/>
      <c r="K97" s="214"/>
    </row>
    <row r="98" spans="1:11" ht="12" customHeight="1" x14ac:dyDescent="0.2">
      <c r="A98" s="707" t="s">
        <v>2036</v>
      </c>
      <c r="B98" s="708" t="s">
        <v>1997</v>
      </c>
      <c r="C98" s="691" t="s">
        <v>1937</v>
      </c>
      <c r="D98" s="709" t="s">
        <v>2037</v>
      </c>
      <c r="E98" s="690" t="s">
        <v>2038</v>
      </c>
      <c r="F98" s="711" t="s">
        <v>2034</v>
      </c>
      <c r="G98" s="689">
        <v>8098979.1500000004</v>
      </c>
      <c r="H98" s="689">
        <v>32459877.57</v>
      </c>
      <c r="I98" s="214"/>
      <c r="J98" s="214"/>
      <c r="K98" s="214"/>
    </row>
    <row r="99" spans="1:11" ht="12" customHeight="1" x14ac:dyDescent="0.2">
      <c r="A99" s="707" t="s">
        <v>2036</v>
      </c>
      <c r="B99" s="708" t="s">
        <v>1997</v>
      </c>
      <c r="C99" s="691" t="s">
        <v>1937</v>
      </c>
      <c r="D99" s="709" t="s">
        <v>2039</v>
      </c>
      <c r="E99" s="690" t="s">
        <v>2038</v>
      </c>
      <c r="F99" s="711" t="s">
        <v>1938</v>
      </c>
      <c r="G99" s="689">
        <v>1059934.3600000001</v>
      </c>
      <c r="H99" s="689">
        <v>43255.86</v>
      </c>
      <c r="I99" s="214"/>
      <c r="J99" s="214"/>
      <c r="K99" s="214"/>
    </row>
    <row r="100" spans="1:11" ht="12" customHeight="1" x14ac:dyDescent="0.2">
      <c r="A100" s="707"/>
      <c r="B100" s="708"/>
      <c r="C100" s="691"/>
      <c r="D100" s="709"/>
      <c r="E100" s="690"/>
      <c r="F100" s="711"/>
      <c r="G100" s="689"/>
      <c r="H100" s="689"/>
      <c r="I100" s="214"/>
      <c r="J100" s="214"/>
      <c r="K100" s="214"/>
    </row>
    <row r="101" spans="1:11" ht="12" customHeight="1" x14ac:dyDescent="0.2">
      <c r="A101" s="705" t="s">
        <v>393</v>
      </c>
      <c r="B101" s="708"/>
      <c r="C101" s="691"/>
      <c r="D101" s="709"/>
      <c r="E101" s="690"/>
      <c r="F101" s="711"/>
      <c r="G101" s="689"/>
      <c r="H101" s="689"/>
      <c r="I101" s="214"/>
      <c r="J101" s="214"/>
      <c r="K101" s="214"/>
    </row>
    <row r="102" spans="1:11" ht="12" customHeight="1" x14ac:dyDescent="0.2">
      <c r="A102" s="707" t="s">
        <v>2040</v>
      </c>
      <c r="B102" s="277" t="s">
        <v>1997</v>
      </c>
      <c r="C102" s="690" t="s">
        <v>2001</v>
      </c>
      <c r="D102" s="688" t="s">
        <v>2041</v>
      </c>
      <c r="E102" s="690" t="s">
        <v>2038</v>
      </c>
      <c r="F102" s="699" t="s">
        <v>1938</v>
      </c>
      <c r="G102" s="689">
        <v>27959156.77</v>
      </c>
      <c r="H102" s="689">
        <v>25294230.43</v>
      </c>
      <c r="I102" s="214"/>
      <c r="J102" s="214"/>
      <c r="K102" s="214"/>
    </row>
    <row r="103" spans="1:11" ht="12" customHeight="1" x14ac:dyDescent="0.2">
      <c r="A103" s="707" t="s">
        <v>2042</v>
      </c>
      <c r="B103" s="277" t="s">
        <v>1997</v>
      </c>
      <c r="C103" s="690" t="s">
        <v>1937</v>
      </c>
      <c r="D103" s="690" t="s">
        <v>2043</v>
      </c>
      <c r="E103" s="690" t="s">
        <v>1999</v>
      </c>
      <c r="F103" s="699" t="s">
        <v>1938</v>
      </c>
      <c r="G103" s="689">
        <v>9072709</v>
      </c>
      <c r="H103" s="689">
        <v>9072709</v>
      </c>
      <c r="I103" s="214"/>
      <c r="J103" s="214"/>
      <c r="K103" s="214"/>
    </row>
    <row r="104" spans="1:11" ht="12" customHeight="1" x14ac:dyDescent="0.2">
      <c r="A104" s="707" t="s">
        <v>2044</v>
      </c>
      <c r="B104" s="277" t="s">
        <v>1997</v>
      </c>
      <c r="C104" s="690" t="s">
        <v>1937</v>
      </c>
      <c r="D104" s="690" t="s">
        <v>2045</v>
      </c>
      <c r="E104" s="690" t="s">
        <v>1999</v>
      </c>
      <c r="F104" s="699" t="s">
        <v>1938</v>
      </c>
      <c r="G104" s="689">
        <v>5278122.63</v>
      </c>
      <c r="H104" s="689">
        <v>5278122.63</v>
      </c>
      <c r="I104" s="214"/>
      <c r="J104" s="214"/>
      <c r="K104" s="214"/>
    </row>
    <row r="105" spans="1:11" ht="12" customHeight="1" x14ac:dyDescent="0.2">
      <c r="A105" s="707" t="s">
        <v>2046</v>
      </c>
      <c r="B105" s="277" t="s">
        <v>1997</v>
      </c>
      <c r="C105" s="690" t="s">
        <v>1937</v>
      </c>
      <c r="D105" s="690" t="s">
        <v>2047</v>
      </c>
      <c r="E105" s="690" t="s">
        <v>1999</v>
      </c>
      <c r="F105" s="699" t="s">
        <v>2034</v>
      </c>
      <c r="G105" s="689">
        <v>0</v>
      </c>
      <c r="H105" s="689">
        <v>0</v>
      </c>
      <c r="I105" s="214"/>
      <c r="J105" s="214"/>
      <c r="K105" s="214"/>
    </row>
    <row r="106" spans="1:11" ht="12" customHeight="1" x14ac:dyDescent="0.2">
      <c r="A106" s="707" t="s">
        <v>2046</v>
      </c>
      <c r="B106" s="277" t="s">
        <v>1997</v>
      </c>
      <c r="C106" s="690" t="s">
        <v>1937</v>
      </c>
      <c r="D106" s="690" t="s">
        <v>2048</v>
      </c>
      <c r="E106" s="690" t="s">
        <v>1999</v>
      </c>
      <c r="F106" s="699" t="s">
        <v>1938</v>
      </c>
      <c r="G106" s="689">
        <v>56900</v>
      </c>
      <c r="H106" s="689">
        <v>56900</v>
      </c>
      <c r="I106" s="214"/>
      <c r="J106" s="214"/>
      <c r="K106" s="214"/>
    </row>
    <row r="107" spans="1:11" ht="12" customHeight="1" x14ac:dyDescent="0.2">
      <c r="A107" s="707"/>
      <c r="B107" s="708"/>
      <c r="C107" s="691"/>
      <c r="D107" s="709"/>
      <c r="E107" s="690"/>
      <c r="F107" s="711"/>
      <c r="G107" s="689"/>
      <c r="H107" s="689"/>
      <c r="I107" s="214"/>
      <c r="J107" s="214"/>
      <c r="K107" s="214"/>
    </row>
    <row r="108" spans="1:11" ht="12" customHeight="1" x14ac:dyDescent="0.2">
      <c r="A108" s="707"/>
      <c r="B108" s="708"/>
      <c r="C108" s="691"/>
      <c r="D108" s="709"/>
      <c r="E108" s="690"/>
      <c r="F108" s="711"/>
      <c r="G108" s="689"/>
      <c r="H108" s="689"/>
      <c r="I108" s="214"/>
      <c r="J108" s="214"/>
      <c r="K108" s="214"/>
    </row>
    <row r="109" spans="1:11" ht="12" customHeight="1" x14ac:dyDescent="0.2">
      <c r="A109" s="705" t="s">
        <v>394</v>
      </c>
      <c r="B109" s="708"/>
      <c r="C109" s="691"/>
      <c r="D109" s="709"/>
      <c r="E109" s="690"/>
      <c r="F109" s="711"/>
      <c r="G109" s="689"/>
      <c r="H109" s="689"/>
      <c r="I109" s="214"/>
      <c r="J109" s="214"/>
      <c r="K109" s="214"/>
    </row>
    <row r="110" spans="1:11" ht="12" customHeight="1" x14ac:dyDescent="0.2">
      <c r="A110" s="705" t="s">
        <v>2049</v>
      </c>
      <c r="B110" s="708"/>
      <c r="C110" s="691"/>
      <c r="D110" s="709"/>
      <c r="E110" s="690"/>
      <c r="F110" s="711"/>
      <c r="G110" s="689"/>
      <c r="H110" s="689"/>
      <c r="I110" s="214"/>
      <c r="J110" s="214"/>
      <c r="K110" s="214"/>
    </row>
    <row r="111" spans="1:11" ht="12" customHeight="1" x14ac:dyDescent="0.2">
      <c r="A111" s="707" t="s">
        <v>2050</v>
      </c>
      <c r="B111" s="277" t="s">
        <v>1997</v>
      </c>
      <c r="C111" s="690" t="s">
        <v>2001</v>
      </c>
      <c r="D111" s="688" t="s">
        <v>1968</v>
      </c>
      <c r="E111" s="690" t="s">
        <v>2051</v>
      </c>
      <c r="F111" s="699" t="s">
        <v>1938</v>
      </c>
      <c r="G111" s="689">
        <v>32528949.370000001</v>
      </c>
      <c r="H111" s="689">
        <v>32474439.309999999</v>
      </c>
      <c r="I111" s="214"/>
      <c r="J111" s="214"/>
      <c r="K111" s="214"/>
    </row>
    <row r="112" spans="1:11" ht="12" customHeight="1" x14ac:dyDescent="0.2">
      <c r="A112" s="707" t="s">
        <v>2052</v>
      </c>
      <c r="B112" s="277" t="s">
        <v>1997</v>
      </c>
      <c r="C112" s="690" t="s">
        <v>2001</v>
      </c>
      <c r="D112" s="688" t="s">
        <v>1966</v>
      </c>
      <c r="E112" s="710" t="s">
        <v>2053</v>
      </c>
      <c r="F112" s="699" t="s">
        <v>1938</v>
      </c>
      <c r="G112" s="689">
        <v>235743.91</v>
      </c>
      <c r="H112" s="689">
        <v>235743.91</v>
      </c>
      <c r="I112" s="214"/>
      <c r="J112" s="214"/>
      <c r="K112" s="214"/>
    </row>
    <row r="113" spans="1:11" ht="12" customHeight="1" x14ac:dyDescent="0.2">
      <c r="A113" s="707"/>
      <c r="B113" s="708"/>
      <c r="C113" s="691"/>
      <c r="D113" s="709"/>
      <c r="E113" s="690"/>
      <c r="F113" s="711"/>
      <c r="G113" s="689"/>
      <c r="H113" s="689"/>
      <c r="I113" s="214"/>
      <c r="J113" s="214"/>
      <c r="K113" s="214"/>
    </row>
    <row r="114" spans="1:11" ht="12" customHeight="1" x14ac:dyDescent="0.2">
      <c r="A114" s="705" t="s">
        <v>2054</v>
      </c>
      <c r="B114" s="277"/>
      <c r="C114" s="690"/>
      <c r="D114" s="690"/>
      <c r="E114" s="690"/>
      <c r="F114" s="699"/>
      <c r="G114" s="689"/>
      <c r="H114" s="689"/>
      <c r="I114" s="214"/>
      <c r="J114" s="214"/>
      <c r="K114" s="214"/>
    </row>
    <row r="115" spans="1:11" ht="12" customHeight="1" x14ac:dyDescent="0.2">
      <c r="A115" s="707" t="s">
        <v>2055</v>
      </c>
      <c r="B115" s="277" t="s">
        <v>1997</v>
      </c>
      <c r="C115" s="690" t="s">
        <v>1937</v>
      </c>
      <c r="D115" s="690" t="s">
        <v>2056</v>
      </c>
      <c r="E115" s="690" t="s">
        <v>1999</v>
      </c>
      <c r="F115" s="699" t="s">
        <v>1938</v>
      </c>
      <c r="G115" s="689">
        <v>20959434.530000001</v>
      </c>
      <c r="H115" s="689">
        <v>21445937.710000001</v>
      </c>
      <c r="I115" s="214"/>
      <c r="J115" s="214"/>
      <c r="K115" s="214"/>
    </row>
    <row r="116" spans="1:11" ht="12" customHeight="1" x14ac:dyDescent="0.2">
      <c r="A116" s="707" t="s">
        <v>2057</v>
      </c>
      <c r="B116" s="277" t="s">
        <v>1997</v>
      </c>
      <c r="C116" s="690" t="s">
        <v>1937</v>
      </c>
      <c r="D116" s="690" t="s">
        <v>2058</v>
      </c>
      <c r="E116" s="690" t="s">
        <v>1999</v>
      </c>
      <c r="F116" s="699" t="s">
        <v>1938</v>
      </c>
      <c r="G116" s="689">
        <v>4948070.87</v>
      </c>
      <c r="H116" s="689">
        <v>5321267.37</v>
      </c>
      <c r="I116" s="214"/>
      <c r="J116" s="214"/>
      <c r="K116" s="214"/>
    </row>
    <row r="117" spans="1:11" ht="12" customHeight="1" x14ac:dyDescent="0.2">
      <c r="A117" s="707" t="s">
        <v>2059</v>
      </c>
      <c r="B117" s="277" t="s">
        <v>1997</v>
      </c>
      <c r="C117" s="690" t="s">
        <v>2060</v>
      </c>
      <c r="D117" s="690" t="s">
        <v>2061</v>
      </c>
      <c r="E117" s="690" t="s">
        <v>2051</v>
      </c>
      <c r="F117" s="699" t="s">
        <v>1938</v>
      </c>
      <c r="G117" s="689">
        <v>144.16999999999999</v>
      </c>
      <c r="H117" s="689">
        <v>128.86000000000001</v>
      </c>
      <c r="I117" s="214"/>
      <c r="J117" s="214"/>
      <c r="K117" s="214"/>
    </row>
    <row r="118" spans="1:11" ht="12" customHeight="1" x14ac:dyDescent="0.2">
      <c r="A118" s="707" t="s">
        <v>2062</v>
      </c>
      <c r="B118" s="277" t="s">
        <v>1997</v>
      </c>
      <c r="C118" s="690" t="s">
        <v>1937</v>
      </c>
      <c r="D118" s="690" t="s">
        <v>2063</v>
      </c>
      <c r="E118" s="710" t="s">
        <v>2064</v>
      </c>
      <c r="F118" s="699" t="s">
        <v>1938</v>
      </c>
      <c r="G118" s="689">
        <v>21070166.829999998</v>
      </c>
      <c r="H118" s="689">
        <v>23053132.77</v>
      </c>
      <c r="I118" s="214"/>
      <c r="J118" s="214"/>
      <c r="K118" s="214"/>
    </row>
    <row r="119" spans="1:11" ht="12" customHeight="1" x14ac:dyDescent="0.2">
      <c r="A119" s="707" t="s">
        <v>2065</v>
      </c>
      <c r="B119" s="277" t="s">
        <v>1997</v>
      </c>
      <c r="C119" s="690" t="s">
        <v>1937</v>
      </c>
      <c r="D119" s="690" t="s">
        <v>2066</v>
      </c>
      <c r="E119" s="712" t="s">
        <v>2067</v>
      </c>
      <c r="F119" s="699" t="s">
        <v>1938</v>
      </c>
      <c r="G119" s="689">
        <v>6492.96</v>
      </c>
      <c r="H119" s="689">
        <v>6492.96</v>
      </c>
      <c r="I119" s="214"/>
      <c r="J119" s="214"/>
      <c r="K119" s="214"/>
    </row>
    <row r="120" spans="1:11" ht="15.75" customHeight="1" x14ac:dyDescent="0.2">
      <c r="A120" s="865" t="s">
        <v>1972</v>
      </c>
      <c r="B120" s="824"/>
      <c r="C120" s="824"/>
      <c r="D120" s="824"/>
      <c r="E120" s="824"/>
      <c r="F120" s="814"/>
      <c r="G120" s="545">
        <f t="shared" ref="G120:H120" si="2">SUM(G75:G119)</f>
        <v>149988394.16999999</v>
      </c>
      <c r="H120" s="545">
        <f t="shared" si="2"/>
        <v>171114011.71000004</v>
      </c>
      <c r="I120" s="214"/>
      <c r="J120" s="214"/>
      <c r="K120" s="214"/>
    </row>
    <row r="121" spans="1:11" ht="17.25" customHeight="1" x14ac:dyDescent="0.2">
      <c r="A121" s="860" t="s">
        <v>2068</v>
      </c>
      <c r="B121" s="861"/>
      <c r="C121" s="861"/>
      <c r="D121" s="861"/>
      <c r="E121" s="861"/>
      <c r="F121" s="861"/>
      <c r="G121" s="861"/>
      <c r="H121" s="862"/>
      <c r="I121" s="214"/>
      <c r="J121" s="214"/>
      <c r="K121" s="214"/>
    </row>
    <row r="122" spans="1:11" ht="12" customHeight="1" x14ac:dyDescent="0.2">
      <c r="A122" s="576" t="s">
        <v>2069</v>
      </c>
      <c r="B122" s="713" t="s">
        <v>298</v>
      </c>
      <c r="C122" s="691" t="s">
        <v>1937</v>
      </c>
      <c r="D122" s="591" t="s">
        <v>2070</v>
      </c>
      <c r="E122" s="690" t="s">
        <v>2071</v>
      </c>
      <c r="F122" s="691" t="s">
        <v>1938</v>
      </c>
      <c r="G122" s="689">
        <v>15769642.43</v>
      </c>
      <c r="H122" s="689">
        <v>152816344.22999999</v>
      </c>
      <c r="I122" s="214"/>
      <c r="J122" s="214"/>
      <c r="K122" s="214"/>
    </row>
    <row r="123" spans="1:11" ht="5.25" customHeight="1" x14ac:dyDescent="0.2">
      <c r="A123" s="576"/>
      <c r="B123" s="714"/>
      <c r="C123" s="691"/>
      <c r="D123" s="591"/>
      <c r="E123" s="690"/>
      <c r="F123" s="691"/>
      <c r="G123" s="689"/>
      <c r="H123" s="689"/>
      <c r="I123" s="214"/>
      <c r="J123" s="214"/>
      <c r="K123" s="214"/>
    </row>
    <row r="124" spans="1:11" ht="12" customHeight="1" x14ac:dyDescent="0.2">
      <c r="A124" s="576" t="s">
        <v>2072</v>
      </c>
      <c r="B124" s="713" t="s">
        <v>298</v>
      </c>
      <c r="C124" s="691" t="s">
        <v>1937</v>
      </c>
      <c r="D124" s="591" t="s">
        <v>2070</v>
      </c>
      <c r="E124" s="690" t="s">
        <v>2071</v>
      </c>
      <c r="F124" s="691" t="s">
        <v>1938</v>
      </c>
      <c r="G124" s="689">
        <v>6661.53</v>
      </c>
      <c r="H124" s="689">
        <v>7983225.1299999999</v>
      </c>
      <c r="I124" s="214"/>
      <c r="J124" s="214"/>
      <c r="K124" s="214"/>
    </row>
    <row r="125" spans="1:11" ht="7.5" customHeight="1" x14ac:dyDescent="0.2">
      <c r="A125" s="576"/>
      <c r="B125" s="714"/>
      <c r="C125" s="691"/>
      <c r="D125" s="591"/>
      <c r="E125" s="690"/>
      <c r="F125" s="691"/>
      <c r="G125" s="689"/>
      <c r="H125" s="689"/>
      <c r="I125" s="214"/>
      <c r="J125" s="214"/>
      <c r="K125" s="214"/>
    </row>
    <row r="126" spans="1:11" ht="12" customHeight="1" x14ac:dyDescent="0.2">
      <c r="A126" s="576" t="s">
        <v>391</v>
      </c>
      <c r="B126" s="713" t="s">
        <v>298</v>
      </c>
      <c r="C126" s="691" t="s">
        <v>1937</v>
      </c>
      <c r="D126" s="591" t="s">
        <v>2070</v>
      </c>
      <c r="E126" s="690" t="s">
        <v>2073</v>
      </c>
      <c r="F126" s="691" t="s">
        <v>1938</v>
      </c>
      <c r="G126" s="689">
        <v>54280082.909999996</v>
      </c>
      <c r="H126" s="689">
        <v>29692648.16</v>
      </c>
      <c r="I126" s="214"/>
      <c r="J126" s="214"/>
      <c r="K126" s="214"/>
    </row>
    <row r="127" spans="1:11" ht="12" customHeight="1" x14ac:dyDescent="0.2">
      <c r="A127" s="576" t="s">
        <v>1947</v>
      </c>
      <c r="B127" s="714"/>
      <c r="C127" s="689"/>
      <c r="D127" s="249"/>
      <c r="E127" s="578"/>
      <c r="F127" s="689"/>
      <c r="G127" s="689"/>
      <c r="H127" s="689"/>
      <c r="I127" s="214"/>
      <c r="J127" s="214"/>
      <c r="K127" s="214"/>
    </row>
    <row r="128" spans="1:11" ht="7.5" customHeight="1" x14ac:dyDescent="0.2">
      <c r="A128" s="576"/>
      <c r="B128" s="714"/>
      <c r="C128" s="689"/>
      <c r="D128" s="249"/>
      <c r="E128" s="578"/>
      <c r="F128" s="689"/>
      <c r="G128" s="689"/>
      <c r="H128" s="689"/>
      <c r="I128" s="214"/>
      <c r="J128" s="214"/>
      <c r="K128" s="214"/>
    </row>
    <row r="129" spans="1:11" ht="12" customHeight="1" x14ac:dyDescent="0.2">
      <c r="A129" s="576" t="s">
        <v>393</v>
      </c>
      <c r="B129" s="714"/>
      <c r="C129" s="689"/>
      <c r="D129" s="249"/>
      <c r="E129" s="578"/>
      <c r="F129" s="689"/>
      <c r="G129" s="689"/>
      <c r="H129" s="689"/>
      <c r="I129" s="214"/>
      <c r="J129" s="214"/>
      <c r="K129" s="214"/>
    </row>
    <row r="130" spans="1:11" ht="7.5" customHeight="1" x14ac:dyDescent="0.2">
      <c r="A130" s="576"/>
      <c r="B130" s="714"/>
      <c r="C130" s="689"/>
      <c r="D130" s="249"/>
      <c r="E130" s="578"/>
      <c r="F130" s="689"/>
      <c r="G130" s="689"/>
      <c r="H130" s="689"/>
      <c r="I130" s="214"/>
      <c r="J130" s="214"/>
      <c r="K130" s="214"/>
    </row>
    <row r="131" spans="1:11" ht="12" customHeight="1" x14ac:dyDescent="0.2">
      <c r="A131" s="576" t="s">
        <v>394</v>
      </c>
      <c r="B131" s="714"/>
      <c r="C131" s="689"/>
      <c r="D131" s="249"/>
      <c r="E131" s="578"/>
      <c r="F131" s="689"/>
      <c r="G131" s="689"/>
      <c r="H131" s="689"/>
      <c r="I131" s="214"/>
      <c r="J131" s="214"/>
      <c r="K131" s="214"/>
    </row>
    <row r="132" spans="1:11" ht="7.5" customHeight="1" x14ac:dyDescent="0.2">
      <c r="A132" s="576"/>
      <c r="B132" s="714"/>
      <c r="C132" s="689"/>
      <c r="D132" s="249"/>
      <c r="E132" s="578"/>
      <c r="F132" s="689"/>
      <c r="G132" s="689"/>
      <c r="H132" s="689"/>
      <c r="I132" s="214"/>
      <c r="J132" s="214"/>
      <c r="K132" s="214"/>
    </row>
    <row r="133" spans="1:11" ht="10.5" customHeight="1" x14ac:dyDescent="0.2">
      <c r="A133" s="576" t="s">
        <v>395</v>
      </c>
      <c r="B133" s="714"/>
      <c r="C133" s="689"/>
      <c r="D133" s="249"/>
      <c r="E133" s="578"/>
      <c r="F133" s="689"/>
      <c r="G133" s="689"/>
      <c r="H133" s="689"/>
      <c r="I133" s="214"/>
      <c r="J133" s="214"/>
      <c r="K133" s="214"/>
    </row>
    <row r="134" spans="1:11" ht="10.5" customHeight="1" x14ac:dyDescent="0.2">
      <c r="A134" s="576" t="s">
        <v>396</v>
      </c>
      <c r="B134" s="714"/>
      <c r="C134" s="689"/>
      <c r="D134" s="249"/>
      <c r="E134" s="578"/>
      <c r="F134" s="689"/>
      <c r="G134" s="689"/>
      <c r="H134" s="689"/>
      <c r="I134" s="214"/>
      <c r="J134" s="214"/>
      <c r="K134" s="214"/>
    </row>
    <row r="135" spans="1:11" ht="10.5" customHeight="1" x14ac:dyDescent="0.2">
      <c r="A135" s="576" t="s">
        <v>397</v>
      </c>
      <c r="B135" s="714"/>
      <c r="C135" s="689"/>
      <c r="D135" s="249"/>
      <c r="E135" s="578"/>
      <c r="F135" s="689"/>
      <c r="G135" s="689"/>
      <c r="H135" s="689"/>
      <c r="I135" s="214"/>
      <c r="J135" s="214"/>
      <c r="K135" s="214"/>
    </row>
    <row r="136" spans="1:11" ht="10.5" customHeight="1" x14ac:dyDescent="0.2">
      <c r="A136" s="576" t="s">
        <v>398</v>
      </c>
      <c r="B136" s="714"/>
      <c r="C136" s="689"/>
      <c r="D136" s="249"/>
      <c r="E136" s="578"/>
      <c r="F136" s="689"/>
      <c r="G136" s="689"/>
      <c r="H136" s="689"/>
      <c r="I136" s="214"/>
      <c r="J136" s="214"/>
      <c r="K136" s="214"/>
    </row>
    <row r="137" spans="1:11" ht="10.5" customHeight="1" x14ac:dyDescent="0.2">
      <c r="A137" s="576" t="s">
        <v>399</v>
      </c>
      <c r="B137" s="714"/>
      <c r="C137" s="689"/>
      <c r="D137" s="249"/>
      <c r="E137" s="578"/>
      <c r="F137" s="689"/>
      <c r="G137" s="689"/>
      <c r="H137" s="689"/>
      <c r="I137" s="214"/>
      <c r="J137" s="214"/>
      <c r="K137" s="214"/>
    </row>
    <row r="138" spans="1:11" ht="10.5" customHeight="1" x14ac:dyDescent="0.2">
      <c r="A138" s="576" t="s">
        <v>1971</v>
      </c>
      <c r="B138" s="714"/>
      <c r="C138" s="689"/>
      <c r="D138" s="249"/>
      <c r="E138" s="578"/>
      <c r="F138" s="689"/>
      <c r="G138" s="689"/>
      <c r="H138" s="689"/>
      <c r="I138" s="214"/>
      <c r="J138" s="214"/>
      <c r="K138" s="214"/>
    </row>
    <row r="139" spans="1:11" ht="16.5" customHeight="1" x14ac:dyDescent="0.2">
      <c r="A139" s="865" t="s">
        <v>1972</v>
      </c>
      <c r="B139" s="824"/>
      <c r="C139" s="824"/>
      <c r="D139" s="824"/>
      <c r="E139" s="824"/>
      <c r="F139" s="814"/>
      <c r="G139" s="545">
        <f t="shared" ref="G139:H139" si="3">SUM(G122:G138)</f>
        <v>70056386.86999999</v>
      </c>
      <c r="H139" s="545">
        <f t="shared" si="3"/>
        <v>190492217.51999998</v>
      </c>
      <c r="I139" s="214"/>
      <c r="J139" s="214"/>
      <c r="K139" s="214"/>
    </row>
    <row r="140" spans="1:11" ht="19.5" customHeight="1" x14ac:dyDescent="0.2">
      <c r="A140" s="860" t="s">
        <v>2074</v>
      </c>
      <c r="B140" s="861"/>
      <c r="C140" s="861"/>
      <c r="D140" s="861"/>
      <c r="E140" s="861"/>
      <c r="F140" s="861"/>
      <c r="G140" s="861"/>
      <c r="H140" s="862"/>
      <c r="I140" s="214"/>
      <c r="J140" s="214"/>
      <c r="K140" s="214"/>
    </row>
    <row r="141" spans="1:11" ht="12" customHeight="1" x14ac:dyDescent="0.2">
      <c r="A141" s="229" t="s">
        <v>389</v>
      </c>
      <c r="B141" s="708" t="s">
        <v>2075</v>
      </c>
      <c r="C141" s="691" t="s">
        <v>2076</v>
      </c>
      <c r="D141" s="709" t="s">
        <v>2077</v>
      </c>
      <c r="E141" s="690">
        <v>2003</v>
      </c>
      <c r="F141" s="691" t="s">
        <v>1938</v>
      </c>
      <c r="G141" s="689">
        <v>0</v>
      </c>
      <c r="H141" s="689">
        <v>0</v>
      </c>
      <c r="I141" s="214"/>
      <c r="J141" s="214"/>
      <c r="K141" s="214"/>
    </row>
    <row r="142" spans="1:11" ht="5.25" customHeight="1" x14ac:dyDescent="0.2">
      <c r="A142" s="229"/>
      <c r="B142" s="400"/>
      <c r="C142" s="689"/>
      <c r="D142" s="709"/>
      <c r="E142" s="578"/>
      <c r="F142" s="689"/>
      <c r="G142" s="689"/>
      <c r="H142" s="689"/>
      <c r="I142" s="214"/>
      <c r="J142" s="214"/>
      <c r="K142" s="214"/>
    </row>
    <row r="143" spans="1:11" ht="12" customHeight="1" x14ac:dyDescent="0.2">
      <c r="A143" s="229" t="s">
        <v>2013</v>
      </c>
      <c r="B143" s="708" t="s">
        <v>2075</v>
      </c>
      <c r="C143" s="691" t="s">
        <v>2076</v>
      </c>
      <c r="D143" s="709" t="s">
        <v>2078</v>
      </c>
      <c r="E143" s="690">
        <v>2001</v>
      </c>
      <c r="F143" s="691" t="s">
        <v>1938</v>
      </c>
      <c r="G143" s="689">
        <v>4025220.21</v>
      </c>
      <c r="H143" s="689">
        <v>4839903.3</v>
      </c>
      <c r="I143" s="214"/>
      <c r="J143" s="214"/>
      <c r="K143" s="214"/>
    </row>
    <row r="144" spans="1:11" ht="12" customHeight="1" x14ac:dyDescent="0.2">
      <c r="A144" s="229"/>
      <c r="B144" s="708" t="s">
        <v>2075</v>
      </c>
      <c r="C144" s="691" t="s">
        <v>2076</v>
      </c>
      <c r="D144" s="709" t="s">
        <v>2079</v>
      </c>
      <c r="E144" s="690">
        <v>2006</v>
      </c>
      <c r="F144" s="691" t="s">
        <v>1938</v>
      </c>
      <c r="G144" s="689">
        <v>2832444.11</v>
      </c>
      <c r="H144" s="689">
        <v>3447559.11</v>
      </c>
      <c r="I144" s="214"/>
      <c r="J144" s="214"/>
      <c r="K144" s="214"/>
    </row>
    <row r="145" spans="1:11" ht="12" customHeight="1" x14ac:dyDescent="0.2">
      <c r="A145" s="229"/>
      <c r="B145" s="708" t="s">
        <v>2075</v>
      </c>
      <c r="C145" s="691" t="s">
        <v>2076</v>
      </c>
      <c r="D145" s="709" t="s">
        <v>2080</v>
      </c>
      <c r="E145" s="690">
        <v>2015</v>
      </c>
      <c r="F145" s="691" t="s">
        <v>1938</v>
      </c>
      <c r="G145" s="689">
        <v>507366.91</v>
      </c>
      <c r="H145" s="689">
        <v>652211.81999999995</v>
      </c>
      <c r="I145" s="214"/>
      <c r="J145" s="214"/>
      <c r="K145" s="214"/>
    </row>
    <row r="146" spans="1:11" ht="12" customHeight="1" x14ac:dyDescent="0.2">
      <c r="A146" s="229"/>
      <c r="B146" s="708" t="s">
        <v>2075</v>
      </c>
      <c r="C146" s="691" t="s">
        <v>2076</v>
      </c>
      <c r="D146" s="709" t="s">
        <v>2081</v>
      </c>
      <c r="E146" s="690">
        <v>2015</v>
      </c>
      <c r="F146" s="691" t="s">
        <v>1938</v>
      </c>
      <c r="G146" s="689">
        <v>19775990.739999998</v>
      </c>
      <c r="H146" s="689">
        <v>10396552.34</v>
      </c>
      <c r="I146" s="214"/>
      <c r="J146" s="214"/>
      <c r="K146" s="214"/>
    </row>
    <row r="147" spans="1:11" ht="12" customHeight="1" x14ac:dyDescent="0.2">
      <c r="A147" s="229"/>
      <c r="B147" s="708" t="s">
        <v>2075</v>
      </c>
      <c r="C147" s="691" t="s">
        <v>2076</v>
      </c>
      <c r="D147" s="709" t="s">
        <v>2082</v>
      </c>
      <c r="E147" s="690">
        <v>2015</v>
      </c>
      <c r="F147" s="691" t="s">
        <v>1938</v>
      </c>
      <c r="G147" s="689">
        <v>13570.89</v>
      </c>
      <c r="H147" s="689">
        <v>13570.89</v>
      </c>
      <c r="I147" s="214"/>
      <c r="J147" s="214"/>
      <c r="K147" s="214"/>
    </row>
    <row r="148" spans="1:11" ht="12" customHeight="1" x14ac:dyDescent="0.2">
      <c r="A148" s="229"/>
      <c r="B148" s="708" t="s">
        <v>2075</v>
      </c>
      <c r="C148" s="691" t="s">
        <v>2076</v>
      </c>
      <c r="D148" s="709" t="s">
        <v>2083</v>
      </c>
      <c r="E148" s="690">
        <v>2018</v>
      </c>
      <c r="F148" s="691" t="s">
        <v>1938</v>
      </c>
      <c r="G148" s="689">
        <v>0</v>
      </c>
      <c r="H148" s="689">
        <v>0</v>
      </c>
      <c r="I148" s="214"/>
      <c r="J148" s="214"/>
      <c r="K148" s="214"/>
    </row>
    <row r="149" spans="1:11" ht="5.25" customHeight="1" x14ac:dyDescent="0.2">
      <c r="A149" s="229"/>
      <c r="B149" s="400"/>
      <c r="C149" s="689"/>
      <c r="D149" s="709"/>
      <c r="E149" s="578"/>
      <c r="F149" s="689"/>
      <c r="G149" s="689"/>
      <c r="H149" s="689"/>
      <c r="I149" s="214"/>
      <c r="J149" s="214"/>
      <c r="K149" s="214"/>
    </row>
    <row r="150" spans="1:11" ht="12" customHeight="1" x14ac:dyDescent="0.2">
      <c r="A150" s="229" t="s">
        <v>391</v>
      </c>
      <c r="B150" s="400"/>
      <c r="C150" s="689"/>
      <c r="D150" s="709"/>
      <c r="E150" s="578"/>
      <c r="F150" s="689"/>
      <c r="G150" s="689"/>
      <c r="H150" s="689"/>
      <c r="I150" s="214"/>
      <c r="J150" s="214"/>
      <c r="K150" s="214"/>
    </row>
    <row r="151" spans="1:11" ht="12" customHeight="1" x14ac:dyDescent="0.2">
      <c r="A151" s="229" t="s">
        <v>1947</v>
      </c>
      <c r="B151" s="400"/>
      <c r="C151" s="689"/>
      <c r="D151" s="709"/>
      <c r="E151" s="578"/>
      <c r="F151" s="689"/>
      <c r="G151" s="689"/>
      <c r="H151" s="689"/>
      <c r="I151" s="214"/>
      <c r="J151" s="214"/>
      <c r="K151" s="214"/>
    </row>
    <row r="152" spans="1:11" ht="5.25" customHeight="1" x14ac:dyDescent="0.2">
      <c r="A152" s="229"/>
      <c r="B152" s="400"/>
      <c r="C152" s="689"/>
      <c r="D152" s="709"/>
      <c r="E152" s="578"/>
      <c r="F152" s="689"/>
      <c r="G152" s="689"/>
      <c r="H152" s="689"/>
      <c r="I152" s="214"/>
      <c r="J152" s="214"/>
      <c r="K152" s="214"/>
    </row>
    <row r="153" spans="1:11" ht="12" customHeight="1" x14ac:dyDescent="0.2">
      <c r="A153" s="229" t="s">
        <v>393</v>
      </c>
      <c r="B153" s="708" t="s">
        <v>2075</v>
      </c>
      <c r="C153" s="691" t="s">
        <v>2076</v>
      </c>
      <c r="D153" s="709" t="s">
        <v>2084</v>
      </c>
      <c r="E153" s="690">
        <v>2008</v>
      </c>
      <c r="F153" s="691" t="s">
        <v>1938</v>
      </c>
      <c r="G153" s="689">
        <v>1476.51</v>
      </c>
      <c r="H153" s="689">
        <v>1476.51</v>
      </c>
      <c r="I153" s="214"/>
      <c r="J153" s="214"/>
      <c r="K153" s="214"/>
    </row>
    <row r="154" spans="1:11" ht="12" customHeight="1" x14ac:dyDescent="0.2">
      <c r="A154" s="229"/>
      <c r="B154" s="708" t="s">
        <v>2075</v>
      </c>
      <c r="C154" s="691" t="s">
        <v>2076</v>
      </c>
      <c r="D154" s="709" t="s">
        <v>2085</v>
      </c>
      <c r="E154" s="690">
        <v>2009</v>
      </c>
      <c r="F154" s="691" t="s">
        <v>1938</v>
      </c>
      <c r="G154" s="689">
        <v>0</v>
      </c>
      <c r="H154" s="689">
        <v>0</v>
      </c>
      <c r="I154" s="214"/>
      <c r="J154" s="214"/>
      <c r="K154" s="214"/>
    </row>
    <row r="155" spans="1:11" ht="5.25" customHeight="1" x14ac:dyDescent="0.2">
      <c r="A155" s="229"/>
      <c r="B155" s="400"/>
      <c r="C155" s="689"/>
      <c r="D155" s="709"/>
      <c r="E155" s="578"/>
      <c r="F155" s="689"/>
      <c r="G155" s="689"/>
      <c r="H155" s="689"/>
      <c r="I155" s="214"/>
      <c r="J155" s="214"/>
      <c r="K155" s="214"/>
    </row>
    <row r="156" spans="1:11" ht="12" customHeight="1" x14ac:dyDescent="0.2">
      <c r="A156" s="229" t="s">
        <v>394</v>
      </c>
      <c r="B156" s="400"/>
      <c r="C156" s="689"/>
      <c r="D156" s="709"/>
      <c r="E156" s="578"/>
      <c r="F156" s="689"/>
      <c r="G156" s="689"/>
      <c r="H156" s="689"/>
      <c r="I156" s="214"/>
      <c r="J156" s="214"/>
      <c r="K156" s="214"/>
    </row>
    <row r="157" spans="1:11" ht="3.75" customHeight="1" x14ac:dyDescent="0.2">
      <c r="A157" s="229"/>
      <c r="B157" s="400"/>
      <c r="C157" s="689"/>
      <c r="D157" s="249"/>
      <c r="E157" s="578"/>
      <c r="F157" s="689"/>
      <c r="G157" s="689"/>
      <c r="H157" s="689"/>
      <c r="I157" s="214"/>
      <c r="J157" s="214"/>
      <c r="K157" s="214"/>
    </row>
    <row r="158" spans="1:11" ht="9" customHeight="1" x14ac:dyDescent="0.2">
      <c r="A158" s="229" t="s">
        <v>395</v>
      </c>
      <c r="B158" s="400"/>
      <c r="C158" s="689"/>
      <c r="D158" s="249"/>
      <c r="E158" s="578"/>
      <c r="F158" s="689"/>
      <c r="G158" s="689"/>
      <c r="H158" s="689"/>
      <c r="I158" s="214"/>
      <c r="J158" s="214"/>
      <c r="K158" s="214"/>
    </row>
    <row r="159" spans="1:11" ht="9" customHeight="1" x14ac:dyDescent="0.2">
      <c r="A159" s="229" t="s">
        <v>396</v>
      </c>
      <c r="B159" s="400"/>
      <c r="C159" s="689"/>
      <c r="D159" s="249"/>
      <c r="E159" s="578"/>
      <c r="F159" s="689"/>
      <c r="G159" s="689"/>
      <c r="H159" s="689"/>
      <c r="I159" s="214"/>
      <c r="J159" s="214"/>
      <c r="K159" s="214"/>
    </row>
    <row r="160" spans="1:11" ht="9" customHeight="1" x14ac:dyDescent="0.2">
      <c r="A160" s="229" t="s">
        <v>397</v>
      </c>
      <c r="B160" s="400"/>
      <c r="C160" s="689"/>
      <c r="D160" s="249"/>
      <c r="E160" s="578"/>
      <c r="F160" s="689"/>
      <c r="G160" s="689"/>
      <c r="H160" s="689"/>
      <c r="I160" s="214"/>
      <c r="J160" s="214"/>
      <c r="K160" s="214"/>
    </row>
    <row r="161" spans="1:11" ht="9" customHeight="1" x14ac:dyDescent="0.2">
      <c r="A161" s="229" t="s">
        <v>398</v>
      </c>
      <c r="B161" s="400"/>
      <c r="C161" s="689"/>
      <c r="D161" s="249"/>
      <c r="E161" s="578"/>
      <c r="F161" s="689"/>
      <c r="G161" s="689"/>
      <c r="H161" s="689"/>
      <c r="I161" s="214"/>
      <c r="J161" s="214"/>
      <c r="K161" s="214"/>
    </row>
    <row r="162" spans="1:11" ht="9" customHeight="1" x14ac:dyDescent="0.2">
      <c r="A162" s="229" t="s">
        <v>399</v>
      </c>
      <c r="B162" s="400"/>
      <c r="C162" s="689"/>
      <c r="D162" s="249"/>
      <c r="E162" s="578"/>
      <c r="F162" s="689"/>
      <c r="G162" s="689"/>
      <c r="H162" s="689"/>
      <c r="I162" s="214"/>
      <c r="J162" s="214"/>
      <c r="K162" s="214"/>
    </row>
    <row r="163" spans="1:11" ht="9" customHeight="1" x14ac:dyDescent="0.2">
      <c r="A163" s="229" t="s">
        <v>1971</v>
      </c>
      <c r="B163" s="400"/>
      <c r="C163" s="689"/>
      <c r="D163" s="249"/>
      <c r="E163" s="578"/>
      <c r="F163" s="689"/>
      <c r="G163" s="689"/>
      <c r="H163" s="689"/>
      <c r="I163" s="214"/>
      <c r="J163" s="214"/>
      <c r="K163" s="214"/>
    </row>
    <row r="164" spans="1:11" ht="18" customHeight="1" x14ac:dyDescent="0.2">
      <c r="A164" s="865" t="s">
        <v>284</v>
      </c>
      <c r="B164" s="824"/>
      <c r="C164" s="824"/>
      <c r="D164" s="824"/>
      <c r="E164" s="824"/>
      <c r="F164" s="814"/>
      <c r="G164" s="715">
        <f t="shared" ref="G164:H164" si="4">SUM(G141:G163)</f>
        <v>27156069.370000001</v>
      </c>
      <c r="H164" s="716">
        <f t="shared" si="4"/>
        <v>19351273.970000003</v>
      </c>
      <c r="I164" s="214"/>
      <c r="J164" s="214"/>
      <c r="K164" s="214"/>
    </row>
    <row r="165" spans="1:11" ht="19.5" customHeight="1" x14ac:dyDescent="0.2">
      <c r="A165" s="860" t="s">
        <v>2086</v>
      </c>
      <c r="B165" s="861"/>
      <c r="C165" s="861"/>
      <c r="D165" s="861"/>
      <c r="E165" s="861"/>
      <c r="F165" s="861"/>
      <c r="G165" s="861"/>
      <c r="H165" s="862"/>
      <c r="I165" s="214"/>
      <c r="J165" s="214"/>
      <c r="K165" s="214"/>
    </row>
    <row r="166" spans="1:11" ht="13.5" customHeight="1" x14ac:dyDescent="0.2">
      <c r="A166" s="700" t="s">
        <v>389</v>
      </c>
      <c r="B166" s="867" t="s">
        <v>2087</v>
      </c>
      <c r="C166" s="717"/>
      <c r="D166" s="717"/>
      <c r="E166" s="717"/>
      <c r="F166" s="718"/>
      <c r="G166" s="717"/>
      <c r="H166" s="717"/>
      <c r="I166" s="214"/>
      <c r="J166" s="214"/>
      <c r="K166" s="214"/>
    </row>
    <row r="167" spans="1:11" ht="13.5" customHeight="1" x14ac:dyDescent="0.2">
      <c r="A167" s="229"/>
      <c r="B167" s="841"/>
      <c r="C167" s="578"/>
      <c r="D167" s="578"/>
      <c r="E167" s="578"/>
      <c r="F167" s="689"/>
      <c r="G167" s="578"/>
      <c r="H167" s="578"/>
      <c r="I167" s="214"/>
      <c r="J167" s="214"/>
      <c r="K167" s="214"/>
    </row>
    <row r="168" spans="1:11" ht="12" customHeight="1" x14ac:dyDescent="0.2">
      <c r="A168" s="700" t="s">
        <v>390</v>
      </c>
      <c r="B168" s="841"/>
      <c r="C168" s="277" t="s">
        <v>2088</v>
      </c>
      <c r="D168" s="699" t="s">
        <v>2089</v>
      </c>
      <c r="E168" s="277">
        <v>2007</v>
      </c>
      <c r="F168" s="691" t="s">
        <v>1938</v>
      </c>
      <c r="G168" s="578">
        <v>805282.77</v>
      </c>
      <c r="H168" s="578">
        <v>2193795.66</v>
      </c>
      <c r="I168" s="214"/>
      <c r="J168" s="214"/>
      <c r="K168" s="214"/>
    </row>
    <row r="169" spans="1:11" ht="13.5" customHeight="1" x14ac:dyDescent="0.2">
      <c r="A169" s="229"/>
      <c r="B169" s="841"/>
      <c r="C169" s="277" t="s">
        <v>1937</v>
      </c>
      <c r="D169" s="699" t="s">
        <v>2090</v>
      </c>
      <c r="E169" s="277">
        <v>2004</v>
      </c>
      <c r="F169" s="691" t="s">
        <v>1938</v>
      </c>
      <c r="G169" s="578">
        <v>87838.44</v>
      </c>
      <c r="H169" s="578">
        <v>89565.440000000002</v>
      </c>
      <c r="I169" s="214"/>
      <c r="J169" s="214"/>
      <c r="K169" s="214"/>
    </row>
    <row r="170" spans="1:11" ht="13.5" customHeight="1" x14ac:dyDescent="0.2">
      <c r="A170" s="229"/>
      <c r="B170" s="841"/>
      <c r="C170" s="277" t="s">
        <v>1937</v>
      </c>
      <c r="D170" s="699" t="s">
        <v>2091</v>
      </c>
      <c r="E170" s="277">
        <v>2007</v>
      </c>
      <c r="F170" s="691" t="s">
        <v>1938</v>
      </c>
      <c r="G170" s="578">
        <v>366432.95</v>
      </c>
      <c r="H170" s="578">
        <v>7003337.3399999999</v>
      </c>
      <c r="I170" s="214"/>
      <c r="J170" s="214"/>
      <c r="K170" s="214"/>
    </row>
    <row r="171" spans="1:11" ht="13.5" customHeight="1" x14ac:dyDescent="0.2">
      <c r="A171" s="229"/>
      <c r="B171" s="841"/>
      <c r="C171" s="277" t="s">
        <v>1937</v>
      </c>
      <c r="D171" s="699" t="s">
        <v>2092</v>
      </c>
      <c r="E171" s="277">
        <v>1981</v>
      </c>
      <c r="F171" s="691" t="s">
        <v>1938</v>
      </c>
      <c r="G171" s="578">
        <v>1299149.46</v>
      </c>
      <c r="H171" s="578">
        <v>1175180.96</v>
      </c>
      <c r="I171" s="214"/>
      <c r="J171" s="214"/>
      <c r="K171" s="214"/>
    </row>
    <row r="172" spans="1:11" ht="13.5" customHeight="1" x14ac:dyDescent="0.2">
      <c r="A172" s="229"/>
      <c r="B172" s="841"/>
      <c r="C172" s="277" t="s">
        <v>1937</v>
      </c>
      <c r="D172" s="699" t="s">
        <v>2093</v>
      </c>
      <c r="E172" s="277">
        <v>2010</v>
      </c>
      <c r="F172" s="691" t="s">
        <v>1938</v>
      </c>
      <c r="G172" s="578">
        <v>1021375.39</v>
      </c>
      <c r="H172" s="578">
        <v>1326533.48</v>
      </c>
      <c r="I172" s="214"/>
      <c r="J172" s="214"/>
      <c r="K172" s="214"/>
    </row>
    <row r="173" spans="1:11" ht="13.5" customHeight="1" x14ac:dyDescent="0.2">
      <c r="A173" s="229"/>
      <c r="B173" s="841"/>
      <c r="C173" s="277" t="s">
        <v>1937</v>
      </c>
      <c r="D173" s="699" t="s">
        <v>2094</v>
      </c>
      <c r="E173" s="277">
        <v>2005</v>
      </c>
      <c r="F173" s="691" t="s">
        <v>1938</v>
      </c>
      <c r="G173" s="578">
        <v>4800.53</v>
      </c>
      <c r="H173" s="578">
        <v>4800.53</v>
      </c>
      <c r="I173" s="214"/>
      <c r="J173" s="214"/>
      <c r="K173" s="214"/>
    </row>
    <row r="174" spans="1:11" ht="13.5" customHeight="1" x14ac:dyDescent="0.2">
      <c r="A174" s="229"/>
      <c r="B174" s="841"/>
      <c r="C174" s="277" t="s">
        <v>1937</v>
      </c>
      <c r="D174" s="699" t="s">
        <v>2095</v>
      </c>
      <c r="E174" s="277">
        <v>2019</v>
      </c>
      <c r="F174" s="691" t="s">
        <v>1938</v>
      </c>
      <c r="G174" s="578">
        <v>28568.87</v>
      </c>
      <c r="H174" s="578">
        <v>98600.94</v>
      </c>
      <c r="I174" s="214"/>
      <c r="J174" s="214"/>
      <c r="K174" s="214"/>
    </row>
    <row r="175" spans="1:11" ht="13.5" customHeight="1" x14ac:dyDescent="0.2">
      <c r="A175" s="229"/>
      <c r="B175" s="841"/>
      <c r="C175" s="277" t="s">
        <v>2096</v>
      </c>
      <c r="D175" s="699" t="s">
        <v>2097</v>
      </c>
      <c r="E175" s="277">
        <v>2006</v>
      </c>
      <c r="F175" s="691" t="s">
        <v>1938</v>
      </c>
      <c r="G175" s="578">
        <v>2196.67</v>
      </c>
      <c r="H175" s="578">
        <v>1995.67</v>
      </c>
      <c r="I175" s="214"/>
      <c r="J175" s="214"/>
      <c r="K175" s="214"/>
    </row>
    <row r="176" spans="1:11" ht="13.5" customHeight="1" x14ac:dyDescent="0.2">
      <c r="A176" s="229"/>
      <c r="B176" s="841"/>
      <c r="C176" s="277" t="s">
        <v>2096</v>
      </c>
      <c r="D176" s="699" t="s">
        <v>2098</v>
      </c>
      <c r="E176" s="277">
        <v>2003</v>
      </c>
      <c r="F176" s="691" t="s">
        <v>1938</v>
      </c>
      <c r="G176" s="578">
        <v>249781.81</v>
      </c>
      <c r="H176" s="578">
        <v>1664708.51</v>
      </c>
      <c r="I176" s="214"/>
      <c r="J176" s="214"/>
      <c r="K176" s="214"/>
    </row>
    <row r="177" spans="1:11" ht="13.5" customHeight="1" x14ac:dyDescent="0.2">
      <c r="A177" s="229"/>
      <c r="B177" s="841"/>
      <c r="C177" s="277" t="s">
        <v>2096</v>
      </c>
      <c r="D177" s="699" t="s">
        <v>2099</v>
      </c>
      <c r="E177" s="277">
        <v>2014</v>
      </c>
      <c r="F177" s="691" t="s">
        <v>1938</v>
      </c>
      <c r="G177" s="578">
        <v>172311.64</v>
      </c>
      <c r="H177" s="578">
        <v>458782.6</v>
      </c>
      <c r="I177" s="214"/>
      <c r="J177" s="214"/>
      <c r="K177" s="214"/>
    </row>
    <row r="178" spans="1:11" ht="13.5" customHeight="1" x14ac:dyDescent="0.2">
      <c r="A178" s="229"/>
      <c r="B178" s="841"/>
      <c r="C178" s="277" t="s">
        <v>2100</v>
      </c>
      <c r="D178" s="699" t="s">
        <v>2101</v>
      </c>
      <c r="E178" s="277">
        <v>2016</v>
      </c>
      <c r="F178" s="691" t="s">
        <v>1938</v>
      </c>
      <c r="G178" s="578">
        <v>387308.81</v>
      </c>
      <c r="H178" s="578">
        <v>11056982.24</v>
      </c>
      <c r="I178" s="214"/>
      <c r="J178" s="214"/>
      <c r="K178" s="214"/>
    </row>
    <row r="179" spans="1:11" ht="12" customHeight="1" x14ac:dyDescent="0.2">
      <c r="A179" s="229"/>
      <c r="B179" s="841"/>
      <c r="C179" s="277" t="s">
        <v>1937</v>
      </c>
      <c r="D179" s="699" t="s">
        <v>2102</v>
      </c>
      <c r="E179" s="277">
        <v>2013</v>
      </c>
      <c r="F179" s="691" t="s">
        <v>1938</v>
      </c>
      <c r="G179" s="578">
        <v>6690545.8899999997</v>
      </c>
      <c r="H179" s="578">
        <v>33473901.219999999</v>
      </c>
      <c r="I179" s="214"/>
      <c r="J179" s="214"/>
      <c r="K179" s="214"/>
    </row>
    <row r="180" spans="1:11" ht="13.5" customHeight="1" x14ac:dyDescent="0.2">
      <c r="A180" s="229"/>
      <c r="B180" s="841"/>
      <c r="C180" s="277" t="s">
        <v>2103</v>
      </c>
      <c r="D180" s="690" t="s">
        <v>2104</v>
      </c>
      <c r="E180" s="401">
        <v>2020</v>
      </c>
      <c r="F180" s="691" t="s">
        <v>1938</v>
      </c>
      <c r="G180" s="578"/>
      <c r="H180" s="578">
        <v>11649306</v>
      </c>
      <c r="I180" s="214"/>
      <c r="J180" s="214"/>
      <c r="K180" s="214"/>
    </row>
    <row r="181" spans="1:11" ht="12" customHeight="1" x14ac:dyDescent="0.2">
      <c r="A181" s="229"/>
      <c r="B181" s="841"/>
      <c r="C181" s="277" t="s">
        <v>2105</v>
      </c>
      <c r="D181" s="690" t="s">
        <v>2104</v>
      </c>
      <c r="E181" s="401">
        <v>2020</v>
      </c>
      <c r="F181" s="691" t="s">
        <v>1938</v>
      </c>
      <c r="G181" s="578"/>
      <c r="H181" s="578">
        <v>10000000</v>
      </c>
      <c r="I181" s="214"/>
      <c r="J181" s="214"/>
      <c r="K181" s="214"/>
    </row>
    <row r="182" spans="1:11" ht="12" customHeight="1" x14ac:dyDescent="0.2">
      <c r="A182" s="229"/>
      <c r="B182" s="841"/>
      <c r="C182" s="277" t="s">
        <v>2106</v>
      </c>
      <c r="D182" s="690" t="s">
        <v>2104</v>
      </c>
      <c r="E182" s="401">
        <v>2020</v>
      </c>
      <c r="F182" s="691" t="s">
        <v>1938</v>
      </c>
      <c r="G182" s="578"/>
      <c r="H182" s="578">
        <v>34412258.689999998</v>
      </c>
      <c r="I182" s="214"/>
      <c r="J182" s="214"/>
      <c r="K182" s="214"/>
    </row>
    <row r="183" spans="1:11" ht="12" customHeight="1" x14ac:dyDescent="0.2">
      <c r="A183" s="229"/>
      <c r="B183" s="841"/>
      <c r="C183" s="277" t="s">
        <v>2107</v>
      </c>
      <c r="D183" s="690" t="s">
        <v>2104</v>
      </c>
      <c r="E183" s="401">
        <v>2020</v>
      </c>
      <c r="F183" s="691" t="s">
        <v>1938</v>
      </c>
      <c r="G183" s="578"/>
      <c r="H183" s="578">
        <v>46501899.68</v>
      </c>
      <c r="I183" s="214"/>
      <c r="J183" s="214"/>
      <c r="K183" s="214"/>
    </row>
    <row r="184" spans="1:11" ht="12" customHeight="1" x14ac:dyDescent="0.2">
      <c r="A184" s="229"/>
      <c r="B184" s="841"/>
      <c r="C184" s="277" t="s">
        <v>2108</v>
      </c>
      <c r="D184" s="690" t="s">
        <v>2104</v>
      </c>
      <c r="E184" s="401">
        <v>2020</v>
      </c>
      <c r="F184" s="691" t="s">
        <v>1938</v>
      </c>
      <c r="G184" s="578"/>
      <c r="H184" s="578">
        <v>17283657.649999999</v>
      </c>
      <c r="I184" s="214"/>
      <c r="J184" s="214"/>
      <c r="K184" s="214"/>
    </row>
    <row r="185" spans="1:11" ht="12" customHeight="1" x14ac:dyDescent="0.2">
      <c r="A185" s="229"/>
      <c r="B185" s="841"/>
      <c r="C185" s="277" t="s">
        <v>2109</v>
      </c>
      <c r="D185" s="690" t="s">
        <v>2104</v>
      </c>
      <c r="E185" s="401">
        <v>2020</v>
      </c>
      <c r="F185" s="691" t="s">
        <v>1938</v>
      </c>
      <c r="G185" s="578"/>
      <c r="H185" s="578">
        <v>12716342.35</v>
      </c>
      <c r="I185" s="214"/>
      <c r="J185" s="214"/>
      <c r="K185" s="214"/>
    </row>
    <row r="186" spans="1:11" ht="12" customHeight="1" x14ac:dyDescent="0.2">
      <c r="A186" s="229"/>
      <c r="B186" s="841"/>
      <c r="C186" s="277" t="s">
        <v>2110</v>
      </c>
      <c r="D186" s="690" t="s">
        <v>2104</v>
      </c>
      <c r="E186" s="401">
        <v>2020</v>
      </c>
      <c r="F186" s="691" t="s">
        <v>1938</v>
      </c>
      <c r="G186" s="578"/>
      <c r="H186" s="578">
        <v>61874755</v>
      </c>
      <c r="I186" s="214"/>
      <c r="J186" s="214"/>
      <c r="K186" s="214"/>
    </row>
    <row r="187" spans="1:11" ht="12" customHeight="1" x14ac:dyDescent="0.2">
      <c r="A187" s="229"/>
      <c r="B187" s="841"/>
      <c r="C187" s="277" t="s">
        <v>2111</v>
      </c>
      <c r="D187" s="690" t="s">
        <v>2104</v>
      </c>
      <c r="E187" s="401">
        <v>2020</v>
      </c>
      <c r="F187" s="691" t="s">
        <v>1938</v>
      </c>
      <c r="G187" s="578"/>
      <c r="H187" s="578">
        <v>2859058.89</v>
      </c>
      <c r="I187" s="214"/>
      <c r="J187" s="214"/>
      <c r="K187" s="214"/>
    </row>
    <row r="188" spans="1:11" ht="12" customHeight="1" x14ac:dyDescent="0.2">
      <c r="A188" s="229"/>
      <c r="B188" s="841"/>
      <c r="C188" s="277" t="s">
        <v>2112</v>
      </c>
      <c r="D188" s="690" t="s">
        <v>2104</v>
      </c>
      <c r="E188" s="401">
        <v>2020</v>
      </c>
      <c r="F188" s="691" t="s">
        <v>1938</v>
      </c>
      <c r="G188" s="578"/>
      <c r="H188" s="578">
        <v>8041214</v>
      </c>
      <c r="I188" s="214"/>
      <c r="J188" s="214"/>
      <c r="K188" s="214"/>
    </row>
    <row r="189" spans="1:11" ht="12" customHeight="1" x14ac:dyDescent="0.2">
      <c r="A189" s="229"/>
      <c r="B189" s="841"/>
      <c r="C189" s="277" t="s">
        <v>2113</v>
      </c>
      <c r="D189" s="690" t="s">
        <v>2104</v>
      </c>
      <c r="E189" s="401">
        <v>2020</v>
      </c>
      <c r="F189" s="691" t="s">
        <v>1938</v>
      </c>
      <c r="G189" s="578"/>
      <c r="H189" s="578">
        <v>15000000</v>
      </c>
      <c r="I189" s="214"/>
      <c r="J189" s="214"/>
      <c r="K189" s="214"/>
    </row>
    <row r="190" spans="1:11" ht="12" customHeight="1" x14ac:dyDescent="0.2">
      <c r="A190" s="229"/>
      <c r="B190" s="841"/>
      <c r="C190" s="277" t="s">
        <v>2114</v>
      </c>
      <c r="D190" s="690" t="s">
        <v>2104</v>
      </c>
      <c r="E190" s="401">
        <v>2020</v>
      </c>
      <c r="F190" s="691" t="s">
        <v>1938</v>
      </c>
      <c r="G190" s="578"/>
      <c r="H190" s="578">
        <v>58902814</v>
      </c>
      <c r="I190" s="214"/>
      <c r="J190" s="214"/>
      <c r="K190" s="214"/>
    </row>
    <row r="191" spans="1:11" ht="12" customHeight="1" x14ac:dyDescent="0.2">
      <c r="A191" s="229"/>
      <c r="B191" s="841"/>
      <c r="C191" s="277" t="s">
        <v>2115</v>
      </c>
      <c r="D191" s="690" t="s">
        <v>2104</v>
      </c>
      <c r="E191" s="401" t="s">
        <v>2116</v>
      </c>
      <c r="F191" s="691" t="s">
        <v>1938</v>
      </c>
      <c r="G191" s="578">
        <v>18312303.829999998</v>
      </c>
      <c r="H191" s="578"/>
      <c r="I191" s="214"/>
      <c r="J191" s="214"/>
      <c r="K191" s="214"/>
    </row>
    <row r="192" spans="1:11" ht="12" customHeight="1" x14ac:dyDescent="0.2">
      <c r="A192" s="229"/>
      <c r="B192" s="841"/>
      <c r="C192" s="277" t="s">
        <v>2117</v>
      </c>
      <c r="D192" s="690" t="s">
        <v>2104</v>
      </c>
      <c r="E192" s="277" t="s">
        <v>2116</v>
      </c>
      <c r="F192" s="691" t="s">
        <v>1938</v>
      </c>
      <c r="G192" s="578">
        <v>32286427</v>
      </c>
      <c r="H192" s="578"/>
      <c r="I192" s="214"/>
      <c r="J192" s="214"/>
      <c r="K192" s="214"/>
    </row>
    <row r="193" spans="1:11" ht="12" customHeight="1" x14ac:dyDescent="0.2">
      <c r="A193" s="229"/>
      <c r="B193" s="841"/>
      <c r="C193" s="277" t="s">
        <v>2118</v>
      </c>
      <c r="D193" s="690" t="s">
        <v>2104</v>
      </c>
      <c r="E193" s="277" t="s">
        <v>2116</v>
      </c>
      <c r="F193" s="691" t="s">
        <v>1938</v>
      </c>
      <c r="G193" s="578">
        <v>58594299</v>
      </c>
      <c r="H193" s="578"/>
      <c r="I193" s="214"/>
      <c r="J193" s="214"/>
      <c r="K193" s="214"/>
    </row>
    <row r="194" spans="1:11" ht="12" customHeight="1" x14ac:dyDescent="0.2">
      <c r="A194" s="229"/>
      <c r="B194" s="841"/>
      <c r="C194" s="277" t="s">
        <v>2119</v>
      </c>
      <c r="D194" s="690" t="s">
        <v>2104</v>
      </c>
      <c r="E194" s="277" t="s">
        <v>2116</v>
      </c>
      <c r="F194" s="691" t="s">
        <v>1938</v>
      </c>
      <c r="G194" s="578">
        <v>6520678</v>
      </c>
      <c r="H194" s="578"/>
      <c r="I194" s="214"/>
      <c r="J194" s="214"/>
      <c r="K194" s="214"/>
    </row>
    <row r="195" spans="1:11" ht="12" customHeight="1" x14ac:dyDescent="0.2">
      <c r="A195" s="229"/>
      <c r="B195" s="841"/>
      <c r="C195" s="277" t="s">
        <v>2120</v>
      </c>
      <c r="D195" s="690" t="s">
        <v>2104</v>
      </c>
      <c r="E195" s="277" t="s">
        <v>2116</v>
      </c>
      <c r="F195" s="691" t="s">
        <v>1938</v>
      </c>
      <c r="G195" s="578">
        <v>5000000</v>
      </c>
      <c r="H195" s="578"/>
      <c r="I195" s="214"/>
      <c r="J195" s="214"/>
      <c r="K195" s="214"/>
    </row>
    <row r="196" spans="1:11" ht="12" customHeight="1" x14ac:dyDescent="0.2">
      <c r="A196" s="229"/>
      <c r="B196" s="841"/>
      <c r="C196" s="277" t="s">
        <v>2121</v>
      </c>
      <c r="D196" s="690" t="s">
        <v>2104</v>
      </c>
      <c r="E196" s="277" t="s">
        <v>2116</v>
      </c>
      <c r="F196" s="691" t="s">
        <v>1938</v>
      </c>
      <c r="G196" s="578">
        <v>4039269.5</v>
      </c>
      <c r="H196" s="578"/>
      <c r="I196" s="214"/>
      <c r="J196" s="214"/>
      <c r="K196" s="214"/>
    </row>
    <row r="197" spans="1:11" ht="12" customHeight="1" x14ac:dyDescent="0.2">
      <c r="A197" s="229"/>
      <c r="B197" s="841"/>
      <c r="C197" s="277" t="s">
        <v>2122</v>
      </c>
      <c r="D197" s="690" t="s">
        <v>2104</v>
      </c>
      <c r="E197" s="277" t="s">
        <v>2116</v>
      </c>
      <c r="F197" s="691" t="s">
        <v>1938</v>
      </c>
      <c r="G197" s="578">
        <v>55018902.5</v>
      </c>
      <c r="H197" s="578"/>
      <c r="I197" s="214"/>
      <c r="J197" s="214"/>
      <c r="K197" s="214"/>
    </row>
    <row r="198" spans="1:11" ht="12" customHeight="1" x14ac:dyDescent="0.2">
      <c r="A198" s="229"/>
      <c r="B198" s="841"/>
      <c r="C198" s="277" t="s">
        <v>2123</v>
      </c>
      <c r="D198" s="690" t="s">
        <v>2104</v>
      </c>
      <c r="E198" s="277" t="s">
        <v>2116</v>
      </c>
      <c r="F198" s="691" t="s">
        <v>1938</v>
      </c>
      <c r="G198" s="578">
        <v>3917590.22</v>
      </c>
      <c r="H198" s="578"/>
      <c r="I198" s="214"/>
      <c r="J198" s="214"/>
      <c r="K198" s="214"/>
    </row>
    <row r="199" spans="1:11" ht="12" customHeight="1" x14ac:dyDescent="0.2">
      <c r="A199" s="229"/>
      <c r="B199" s="841"/>
      <c r="C199" s="277" t="s">
        <v>2124</v>
      </c>
      <c r="D199" s="690" t="s">
        <v>2104</v>
      </c>
      <c r="E199" s="277" t="s">
        <v>2116</v>
      </c>
      <c r="F199" s="691" t="s">
        <v>1938</v>
      </c>
      <c r="G199" s="578">
        <v>45737845.5</v>
      </c>
      <c r="H199" s="578"/>
      <c r="I199" s="214"/>
      <c r="J199" s="214"/>
      <c r="K199" s="214"/>
    </row>
    <row r="200" spans="1:11" ht="12" customHeight="1" x14ac:dyDescent="0.2">
      <c r="A200" s="229"/>
      <c r="B200" s="841"/>
      <c r="C200" s="277" t="s">
        <v>2125</v>
      </c>
      <c r="D200" s="690" t="s">
        <v>2104</v>
      </c>
      <c r="E200" s="277" t="s">
        <v>2116</v>
      </c>
      <c r="F200" s="691" t="s">
        <v>1938</v>
      </c>
      <c r="G200" s="578">
        <v>17283657.649999999</v>
      </c>
      <c r="H200" s="578"/>
      <c r="I200" s="214"/>
      <c r="J200" s="214"/>
      <c r="K200" s="214"/>
    </row>
    <row r="201" spans="1:11" ht="12" customHeight="1" x14ac:dyDescent="0.2">
      <c r="A201" s="229"/>
      <c r="B201" s="841"/>
      <c r="C201" s="277" t="s">
        <v>2126</v>
      </c>
      <c r="D201" s="690" t="s">
        <v>2104</v>
      </c>
      <c r="E201" s="277" t="s">
        <v>2116</v>
      </c>
      <c r="F201" s="691" t="s">
        <v>1938</v>
      </c>
      <c r="G201" s="578">
        <v>6003032.7000000002</v>
      </c>
      <c r="H201" s="578"/>
      <c r="I201" s="214"/>
      <c r="J201" s="214"/>
      <c r="K201" s="214"/>
    </row>
    <row r="202" spans="1:11" ht="12" customHeight="1" x14ac:dyDescent="0.2">
      <c r="A202" s="229"/>
      <c r="B202" s="841"/>
      <c r="C202" s="277" t="s">
        <v>2127</v>
      </c>
      <c r="D202" s="690" t="s">
        <v>2104</v>
      </c>
      <c r="E202" s="277" t="s">
        <v>2116</v>
      </c>
      <c r="F202" s="691" t="s">
        <v>1938</v>
      </c>
      <c r="G202" s="578">
        <v>2934933.04</v>
      </c>
      <c r="H202" s="578"/>
      <c r="I202" s="214"/>
      <c r="J202" s="214"/>
      <c r="K202" s="214"/>
    </row>
    <row r="203" spans="1:11" ht="12" customHeight="1" x14ac:dyDescent="0.2">
      <c r="A203" s="229"/>
      <c r="B203" s="841"/>
      <c r="C203" s="277" t="s">
        <v>2128</v>
      </c>
      <c r="D203" s="690" t="s">
        <v>2104</v>
      </c>
      <c r="E203" s="277" t="s">
        <v>2116</v>
      </c>
      <c r="F203" s="691" t="s">
        <v>1938</v>
      </c>
      <c r="G203" s="578">
        <v>7919559</v>
      </c>
      <c r="H203" s="578"/>
      <c r="I203" s="214"/>
      <c r="J203" s="214"/>
      <c r="K203" s="214"/>
    </row>
    <row r="204" spans="1:11" ht="12" customHeight="1" x14ac:dyDescent="0.2">
      <c r="A204" s="229"/>
      <c r="B204" s="841"/>
      <c r="C204" s="277" t="s">
        <v>2129</v>
      </c>
      <c r="D204" s="690" t="s">
        <v>2104</v>
      </c>
      <c r="E204" s="277" t="s">
        <v>2116</v>
      </c>
      <c r="F204" s="691" t="s">
        <v>1938</v>
      </c>
      <c r="G204" s="578">
        <v>20000000</v>
      </c>
      <c r="H204" s="578"/>
      <c r="I204" s="214"/>
      <c r="J204" s="214"/>
      <c r="K204" s="214"/>
    </row>
    <row r="205" spans="1:11" ht="12" customHeight="1" x14ac:dyDescent="0.2">
      <c r="A205" s="229"/>
      <c r="B205" s="841"/>
      <c r="C205" s="277" t="s">
        <v>2130</v>
      </c>
      <c r="D205" s="690" t="s">
        <v>2104</v>
      </c>
      <c r="E205" s="277" t="s">
        <v>2116</v>
      </c>
      <c r="F205" s="691" t="s">
        <v>1938</v>
      </c>
      <c r="G205" s="578">
        <v>33144325.43</v>
      </c>
      <c r="H205" s="578"/>
      <c r="I205" s="214"/>
      <c r="J205" s="214"/>
      <c r="K205" s="214"/>
    </row>
    <row r="206" spans="1:11" ht="12" customHeight="1" x14ac:dyDescent="0.2">
      <c r="A206" s="229"/>
      <c r="B206" s="841"/>
      <c r="C206" s="277" t="s">
        <v>2131</v>
      </c>
      <c r="D206" s="690" t="s">
        <v>2104</v>
      </c>
      <c r="E206" s="277" t="s">
        <v>2116</v>
      </c>
      <c r="F206" s="691" t="s">
        <v>1938</v>
      </c>
      <c r="G206" s="578">
        <v>16549369.58</v>
      </c>
      <c r="H206" s="578"/>
      <c r="I206" s="214"/>
      <c r="J206" s="214"/>
      <c r="K206" s="214"/>
    </row>
    <row r="207" spans="1:11" ht="12" customHeight="1" x14ac:dyDescent="0.2">
      <c r="A207" s="700" t="s">
        <v>391</v>
      </c>
      <c r="B207" s="841"/>
      <c r="C207" s="690"/>
      <c r="D207" s="690"/>
      <c r="E207" s="578"/>
      <c r="F207" s="689"/>
      <c r="G207" s="578"/>
      <c r="H207" s="578"/>
      <c r="I207" s="214"/>
      <c r="J207" s="214"/>
      <c r="K207" s="214"/>
    </row>
    <row r="208" spans="1:11" ht="12" customHeight="1" x14ac:dyDescent="0.2">
      <c r="A208" s="700" t="s">
        <v>1947</v>
      </c>
      <c r="B208" s="841"/>
      <c r="C208" s="690"/>
      <c r="D208" s="690"/>
      <c r="E208" s="578"/>
      <c r="F208" s="689"/>
      <c r="G208" s="578"/>
      <c r="H208" s="578"/>
      <c r="I208" s="214"/>
      <c r="J208" s="214"/>
      <c r="K208" s="214"/>
    </row>
    <row r="209" spans="1:11" ht="12" customHeight="1" x14ac:dyDescent="0.2">
      <c r="A209" s="229"/>
      <c r="B209" s="841"/>
      <c r="C209" s="690"/>
      <c r="D209" s="690"/>
      <c r="E209" s="578"/>
      <c r="F209" s="689"/>
      <c r="G209" s="578"/>
      <c r="H209" s="578"/>
      <c r="I209" s="214"/>
      <c r="J209" s="214"/>
      <c r="K209" s="214"/>
    </row>
    <row r="210" spans="1:11" ht="12" customHeight="1" x14ac:dyDescent="0.2">
      <c r="A210" s="700" t="s">
        <v>393</v>
      </c>
      <c r="B210" s="841"/>
      <c r="C210" s="280" t="s">
        <v>2132</v>
      </c>
      <c r="D210" s="719" t="s">
        <v>2133</v>
      </c>
      <c r="E210" s="719"/>
      <c r="F210" s="720" t="s">
        <v>1938</v>
      </c>
      <c r="G210" s="721">
        <v>1252613.96</v>
      </c>
      <c r="H210" s="721">
        <v>1252613.96</v>
      </c>
      <c r="I210" s="214"/>
      <c r="J210" s="214"/>
      <c r="K210" s="214"/>
    </row>
    <row r="211" spans="1:11" ht="12" customHeight="1" x14ac:dyDescent="0.2">
      <c r="A211" s="229"/>
      <c r="B211" s="841"/>
      <c r="C211" s="277" t="s">
        <v>2132</v>
      </c>
      <c r="D211" s="690" t="s">
        <v>2134</v>
      </c>
      <c r="E211" s="690"/>
      <c r="F211" s="691" t="s">
        <v>1938</v>
      </c>
      <c r="G211" s="578">
        <v>2837009.16</v>
      </c>
      <c r="H211" s="578">
        <v>2837009.16</v>
      </c>
      <c r="I211" s="214"/>
      <c r="J211" s="214"/>
      <c r="K211" s="214"/>
    </row>
    <row r="212" spans="1:11" ht="12" customHeight="1" x14ac:dyDescent="0.2">
      <c r="A212" s="229"/>
      <c r="B212" s="841"/>
      <c r="C212" s="277" t="s">
        <v>2132</v>
      </c>
      <c r="D212" s="690" t="s">
        <v>2135</v>
      </c>
      <c r="E212" s="690"/>
      <c r="F212" s="691" t="s">
        <v>1938</v>
      </c>
      <c r="G212" s="578">
        <v>120523.64</v>
      </c>
      <c r="H212" s="578">
        <v>120523.64</v>
      </c>
      <c r="I212" s="214"/>
      <c r="J212" s="214"/>
      <c r="K212" s="214"/>
    </row>
    <row r="213" spans="1:11" ht="12" customHeight="1" x14ac:dyDescent="0.2">
      <c r="A213" s="229"/>
      <c r="B213" s="841"/>
      <c r="C213" s="277" t="s">
        <v>2132</v>
      </c>
      <c r="D213" s="699" t="s">
        <v>2136</v>
      </c>
      <c r="E213" s="690"/>
      <c r="F213" s="691" t="s">
        <v>1938</v>
      </c>
      <c r="G213" s="578">
        <v>1918866</v>
      </c>
      <c r="H213" s="578">
        <v>1905115.3</v>
      </c>
      <c r="I213" s="214"/>
      <c r="J213" s="214"/>
      <c r="K213" s="214"/>
    </row>
    <row r="214" spans="1:11" ht="18.75" customHeight="1" x14ac:dyDescent="0.2">
      <c r="A214" s="865" t="s">
        <v>284</v>
      </c>
      <c r="B214" s="824"/>
      <c r="C214" s="824"/>
      <c r="D214" s="824"/>
      <c r="E214" s="824"/>
      <c r="F214" s="814"/>
      <c r="G214" s="722">
        <f t="shared" ref="G214:H214" si="5">SUM(G166:G213)</f>
        <v>350506798.93999994</v>
      </c>
      <c r="H214" s="545">
        <f t="shared" si="5"/>
        <v>343904752.91000003</v>
      </c>
      <c r="I214" s="214"/>
      <c r="J214" s="214"/>
      <c r="K214" s="214"/>
    </row>
    <row r="215" spans="1:11" ht="19.5" customHeight="1" x14ac:dyDescent="0.2">
      <c r="A215" s="860" t="s">
        <v>2137</v>
      </c>
      <c r="B215" s="861"/>
      <c r="C215" s="861"/>
      <c r="D215" s="861"/>
      <c r="E215" s="861"/>
      <c r="F215" s="861"/>
      <c r="G215" s="861"/>
      <c r="H215" s="862"/>
      <c r="I215" s="214"/>
      <c r="J215" s="214"/>
      <c r="K215" s="214"/>
    </row>
    <row r="216" spans="1:11" ht="12" customHeight="1" x14ac:dyDescent="0.2">
      <c r="A216" s="229" t="s">
        <v>389</v>
      </c>
      <c r="B216" s="708">
        <v>1589</v>
      </c>
      <c r="C216" s="691" t="s">
        <v>1937</v>
      </c>
      <c r="D216" s="709" t="s">
        <v>2138</v>
      </c>
      <c r="E216" s="710" t="s">
        <v>2139</v>
      </c>
      <c r="F216" s="691" t="s">
        <v>1938</v>
      </c>
      <c r="G216" s="689">
        <v>0</v>
      </c>
      <c r="H216" s="689">
        <v>0</v>
      </c>
      <c r="I216" s="214"/>
      <c r="J216" s="214"/>
      <c r="K216" s="214"/>
    </row>
    <row r="217" spans="1:11" ht="12" customHeight="1" x14ac:dyDescent="0.2">
      <c r="A217" s="229"/>
      <c r="B217" s="708"/>
      <c r="C217" s="691"/>
      <c r="D217" s="709"/>
      <c r="E217" s="690"/>
      <c r="F217" s="691"/>
      <c r="G217" s="689"/>
      <c r="H217" s="689"/>
      <c r="I217" s="214"/>
      <c r="J217" s="214"/>
      <c r="K217" s="214"/>
    </row>
    <row r="218" spans="1:11" ht="12" customHeight="1" x14ac:dyDescent="0.2">
      <c r="A218" s="229" t="s">
        <v>390</v>
      </c>
      <c r="B218" s="708">
        <v>1589</v>
      </c>
      <c r="C218" s="691" t="s">
        <v>1937</v>
      </c>
      <c r="D218" s="709" t="s">
        <v>2140</v>
      </c>
      <c r="E218" s="710" t="s">
        <v>2141</v>
      </c>
      <c r="F218" s="691" t="s">
        <v>1938</v>
      </c>
      <c r="G218" s="689">
        <v>39061.68</v>
      </c>
      <c r="H218" s="689">
        <v>29680.63</v>
      </c>
      <c r="I218" s="214"/>
      <c r="J218" s="214"/>
      <c r="K218" s="214"/>
    </row>
    <row r="219" spans="1:11" ht="12" customHeight="1" x14ac:dyDescent="0.2">
      <c r="A219" s="229"/>
      <c r="B219" s="708"/>
      <c r="C219" s="691"/>
      <c r="D219" s="709"/>
      <c r="E219" s="578"/>
      <c r="F219" s="691"/>
      <c r="G219" s="689"/>
      <c r="H219" s="689"/>
      <c r="I219" s="214"/>
      <c r="J219" s="214"/>
      <c r="K219" s="214"/>
    </row>
    <row r="220" spans="1:11" ht="12" customHeight="1" x14ac:dyDescent="0.2">
      <c r="A220" s="229" t="s">
        <v>391</v>
      </c>
      <c r="B220" s="708"/>
      <c r="C220" s="691"/>
      <c r="D220" s="709"/>
      <c r="E220" s="578"/>
      <c r="F220" s="691"/>
      <c r="G220" s="689"/>
      <c r="H220" s="689"/>
      <c r="I220" s="214"/>
      <c r="J220" s="214"/>
      <c r="K220" s="214"/>
    </row>
    <row r="221" spans="1:11" ht="12" customHeight="1" x14ac:dyDescent="0.2">
      <c r="A221" s="229" t="s">
        <v>1947</v>
      </c>
      <c r="B221" s="708"/>
      <c r="C221" s="691"/>
      <c r="D221" s="709"/>
      <c r="E221" s="578"/>
      <c r="F221" s="691"/>
      <c r="G221" s="689"/>
      <c r="H221" s="689"/>
      <c r="I221" s="214"/>
      <c r="J221" s="214"/>
      <c r="K221" s="214"/>
    </row>
    <row r="222" spans="1:11" ht="12" customHeight="1" x14ac:dyDescent="0.2">
      <c r="A222" s="229"/>
      <c r="B222" s="708"/>
      <c r="C222" s="691"/>
      <c r="D222" s="709"/>
      <c r="E222" s="578"/>
      <c r="F222" s="691"/>
      <c r="G222" s="689"/>
      <c r="H222" s="689"/>
      <c r="I222" s="214"/>
      <c r="J222" s="214"/>
      <c r="K222" s="214"/>
    </row>
    <row r="223" spans="1:11" ht="12" customHeight="1" x14ac:dyDescent="0.2">
      <c r="A223" s="229" t="s">
        <v>393</v>
      </c>
      <c r="B223" s="708"/>
      <c r="C223" s="691"/>
      <c r="D223" s="709"/>
      <c r="E223" s="578"/>
      <c r="F223" s="691"/>
      <c r="G223" s="689"/>
      <c r="H223" s="689"/>
      <c r="I223" s="214"/>
      <c r="J223" s="214"/>
      <c r="K223" s="214"/>
    </row>
    <row r="224" spans="1:11" ht="12" customHeight="1" x14ac:dyDescent="0.2">
      <c r="A224" s="229"/>
      <c r="B224" s="708"/>
      <c r="C224" s="691"/>
      <c r="D224" s="709"/>
      <c r="E224" s="578"/>
      <c r="F224" s="691"/>
      <c r="G224" s="689"/>
      <c r="H224" s="689"/>
      <c r="I224" s="214"/>
      <c r="J224" s="214"/>
      <c r="K224" s="214"/>
    </row>
    <row r="225" spans="1:11" ht="12" customHeight="1" x14ac:dyDescent="0.2">
      <c r="A225" s="229" t="s">
        <v>394</v>
      </c>
      <c r="B225" s="708"/>
      <c r="C225" s="691"/>
      <c r="D225" s="709"/>
      <c r="E225" s="578"/>
      <c r="F225" s="691"/>
      <c r="G225" s="689"/>
      <c r="H225" s="689"/>
      <c r="I225" s="214"/>
      <c r="J225" s="214"/>
      <c r="K225" s="214"/>
    </row>
    <row r="226" spans="1:11" ht="12" customHeight="1" x14ac:dyDescent="0.2">
      <c r="A226" s="229"/>
      <c r="B226" s="708"/>
      <c r="C226" s="691"/>
      <c r="D226" s="709"/>
      <c r="E226" s="578"/>
      <c r="F226" s="691"/>
      <c r="G226" s="689"/>
      <c r="H226" s="689"/>
      <c r="I226" s="214"/>
      <c r="J226" s="214"/>
      <c r="K226" s="214"/>
    </row>
    <row r="227" spans="1:11" ht="12" customHeight="1" x14ac:dyDescent="0.2">
      <c r="A227" s="229" t="s">
        <v>395</v>
      </c>
      <c r="B227" s="708"/>
      <c r="C227" s="691"/>
      <c r="D227" s="709"/>
      <c r="E227" s="578"/>
      <c r="F227" s="691"/>
      <c r="G227" s="689"/>
      <c r="H227" s="689"/>
      <c r="I227" s="214"/>
      <c r="J227" s="214"/>
      <c r="K227" s="214"/>
    </row>
    <row r="228" spans="1:11" ht="12" customHeight="1" x14ac:dyDescent="0.2">
      <c r="A228" s="229" t="s">
        <v>396</v>
      </c>
      <c r="B228" s="708"/>
      <c r="C228" s="691"/>
      <c r="D228" s="709"/>
      <c r="E228" s="578"/>
      <c r="F228" s="691"/>
      <c r="G228" s="689"/>
      <c r="H228" s="689"/>
      <c r="I228" s="214"/>
      <c r="J228" s="214"/>
      <c r="K228" s="214"/>
    </row>
    <row r="229" spans="1:11" ht="12" customHeight="1" x14ac:dyDescent="0.2">
      <c r="A229" s="229" t="s">
        <v>397</v>
      </c>
      <c r="B229" s="708"/>
      <c r="C229" s="691"/>
      <c r="D229" s="709"/>
      <c r="E229" s="578"/>
      <c r="F229" s="691"/>
      <c r="G229" s="689"/>
      <c r="H229" s="689"/>
      <c r="I229" s="214"/>
      <c r="J229" s="214"/>
      <c r="K229" s="214"/>
    </row>
    <row r="230" spans="1:11" ht="12" customHeight="1" x14ac:dyDescent="0.2">
      <c r="A230" s="229" t="s">
        <v>398</v>
      </c>
      <c r="B230" s="708"/>
      <c r="C230" s="691"/>
      <c r="D230" s="709"/>
      <c r="E230" s="578"/>
      <c r="F230" s="691"/>
      <c r="G230" s="689"/>
      <c r="H230" s="689"/>
      <c r="I230" s="214"/>
      <c r="J230" s="214"/>
      <c r="K230" s="214"/>
    </row>
    <row r="231" spans="1:11" ht="12" customHeight="1" x14ac:dyDescent="0.2">
      <c r="A231" s="229" t="s">
        <v>399</v>
      </c>
      <c r="B231" s="708"/>
      <c r="C231" s="691"/>
      <c r="D231" s="709"/>
      <c r="E231" s="578"/>
      <c r="F231" s="691"/>
      <c r="G231" s="689"/>
      <c r="H231" s="689"/>
      <c r="I231" s="214"/>
      <c r="J231" s="214"/>
      <c r="K231" s="214"/>
    </row>
    <row r="232" spans="1:11" ht="12" customHeight="1" x14ac:dyDescent="0.2">
      <c r="A232" s="229" t="s">
        <v>1971</v>
      </c>
      <c r="B232" s="708"/>
      <c r="C232" s="691"/>
      <c r="D232" s="709"/>
      <c r="E232" s="578"/>
      <c r="F232" s="691"/>
      <c r="G232" s="689"/>
      <c r="H232" s="689"/>
      <c r="I232" s="214"/>
      <c r="J232" s="214"/>
      <c r="K232" s="214"/>
    </row>
    <row r="233" spans="1:11" ht="17.25" customHeight="1" x14ac:dyDescent="0.2">
      <c r="A233" s="865" t="s">
        <v>284</v>
      </c>
      <c r="B233" s="824"/>
      <c r="C233" s="824"/>
      <c r="D233" s="824"/>
      <c r="E233" s="824"/>
      <c r="F233" s="814"/>
      <c r="G233" s="722">
        <f t="shared" ref="G233:H233" si="6">SUM(G216:G232)</f>
        <v>39061.68</v>
      </c>
      <c r="H233" s="545">
        <f t="shared" si="6"/>
        <v>29680.63</v>
      </c>
      <c r="I233" s="214"/>
      <c r="J233" s="214"/>
      <c r="K233" s="214"/>
    </row>
    <row r="234" spans="1:11" ht="19.5" customHeight="1" x14ac:dyDescent="0.2">
      <c r="A234" s="860" t="s">
        <v>2142</v>
      </c>
      <c r="B234" s="861"/>
      <c r="C234" s="861"/>
      <c r="D234" s="861"/>
      <c r="E234" s="861"/>
      <c r="F234" s="861"/>
      <c r="G234" s="861"/>
      <c r="H234" s="862"/>
      <c r="I234" s="214"/>
      <c r="J234" s="214"/>
      <c r="K234" s="214"/>
    </row>
    <row r="235" spans="1:11" ht="12" customHeight="1" x14ac:dyDescent="0.2">
      <c r="A235" s="229" t="s">
        <v>389</v>
      </c>
      <c r="B235" s="708">
        <v>1017</v>
      </c>
      <c r="C235" s="691" t="s">
        <v>1937</v>
      </c>
      <c r="D235" s="709" t="s">
        <v>2143</v>
      </c>
      <c r="E235" s="277">
        <v>2003</v>
      </c>
      <c r="F235" s="691" t="s">
        <v>1938</v>
      </c>
      <c r="G235" s="723" t="s">
        <v>197</v>
      </c>
      <c r="H235" s="723" t="s">
        <v>197</v>
      </c>
      <c r="I235" s="214"/>
      <c r="J235" s="214"/>
      <c r="K235" s="214"/>
    </row>
    <row r="236" spans="1:11" ht="12" customHeight="1" x14ac:dyDescent="0.2">
      <c r="A236" s="229"/>
      <c r="B236" s="708"/>
      <c r="C236" s="691"/>
      <c r="D236" s="709"/>
      <c r="E236" s="277"/>
      <c r="F236" s="691"/>
      <c r="G236" s="689"/>
      <c r="H236" s="689"/>
      <c r="I236" s="214"/>
      <c r="J236" s="214"/>
      <c r="K236" s="214"/>
    </row>
    <row r="237" spans="1:11" ht="12" customHeight="1" x14ac:dyDescent="0.2">
      <c r="A237" s="229" t="s">
        <v>390</v>
      </c>
      <c r="B237" s="708">
        <v>1017</v>
      </c>
      <c r="C237" s="691" t="s">
        <v>1937</v>
      </c>
      <c r="D237" s="709" t="s">
        <v>2144</v>
      </c>
      <c r="E237" s="277">
        <v>2001</v>
      </c>
      <c r="F237" s="691" t="s">
        <v>1938</v>
      </c>
      <c r="G237" s="689">
        <v>33995.410000000003</v>
      </c>
      <c r="H237" s="689">
        <v>38011.46</v>
      </c>
      <c r="I237" s="214"/>
      <c r="J237" s="214"/>
      <c r="K237" s="214"/>
    </row>
    <row r="238" spans="1:11" ht="12" customHeight="1" x14ac:dyDescent="0.2">
      <c r="A238" s="229" t="s">
        <v>2145</v>
      </c>
      <c r="B238" s="708">
        <v>1017</v>
      </c>
      <c r="C238" s="691" t="s">
        <v>1937</v>
      </c>
      <c r="D238" s="709" t="s">
        <v>2146</v>
      </c>
      <c r="E238" s="277">
        <v>2013</v>
      </c>
      <c r="F238" s="691" t="s">
        <v>1938</v>
      </c>
      <c r="G238" s="689">
        <v>11520484.93</v>
      </c>
      <c r="H238" s="689">
        <v>9397189.8800000008</v>
      </c>
      <c r="I238" s="214"/>
      <c r="J238" s="214"/>
      <c r="K238" s="214"/>
    </row>
    <row r="239" spans="1:11" ht="12" customHeight="1" x14ac:dyDescent="0.2">
      <c r="A239" s="229"/>
      <c r="B239" s="708"/>
      <c r="C239" s="691"/>
      <c r="D239" s="709"/>
      <c r="E239" s="277"/>
      <c r="F239" s="691"/>
      <c r="G239" s="689"/>
      <c r="H239" s="689"/>
      <c r="I239" s="214"/>
      <c r="J239" s="214"/>
      <c r="K239" s="214"/>
    </row>
    <row r="240" spans="1:11" ht="12" customHeight="1" x14ac:dyDescent="0.2">
      <c r="A240" s="229" t="s">
        <v>391</v>
      </c>
      <c r="B240" s="708"/>
      <c r="C240" s="691"/>
      <c r="D240" s="709"/>
      <c r="E240" s="277"/>
      <c r="F240" s="691"/>
      <c r="G240" s="689"/>
      <c r="H240" s="689"/>
      <c r="I240" s="214"/>
      <c r="J240" s="214"/>
      <c r="K240" s="214"/>
    </row>
    <row r="241" spans="1:11" ht="12" customHeight="1" x14ac:dyDescent="0.2">
      <c r="A241" s="229" t="s">
        <v>1947</v>
      </c>
      <c r="B241" s="708"/>
      <c r="C241" s="691"/>
      <c r="D241" s="709"/>
      <c r="E241" s="277"/>
      <c r="F241" s="691"/>
      <c r="G241" s="689"/>
      <c r="H241" s="689"/>
      <c r="I241" s="214"/>
      <c r="J241" s="214"/>
      <c r="K241" s="214"/>
    </row>
    <row r="242" spans="1:11" ht="12" customHeight="1" x14ac:dyDescent="0.2">
      <c r="A242" s="229"/>
      <c r="B242" s="708"/>
      <c r="C242" s="691"/>
      <c r="D242" s="709"/>
      <c r="E242" s="277"/>
      <c r="F242" s="691"/>
      <c r="G242" s="689"/>
      <c r="H242" s="689"/>
      <c r="I242" s="214"/>
      <c r="J242" s="214"/>
      <c r="K242" s="214"/>
    </row>
    <row r="243" spans="1:11" ht="12" customHeight="1" x14ac:dyDescent="0.2">
      <c r="A243" s="229" t="s">
        <v>393</v>
      </c>
      <c r="B243" s="708">
        <v>1017</v>
      </c>
      <c r="C243" s="691" t="s">
        <v>1937</v>
      </c>
      <c r="D243" s="709" t="s">
        <v>2147</v>
      </c>
      <c r="E243" s="277">
        <v>2013</v>
      </c>
      <c r="F243" s="691" t="s">
        <v>1938</v>
      </c>
      <c r="G243" s="689">
        <v>4</v>
      </c>
      <c r="H243" s="689">
        <v>4</v>
      </c>
      <c r="I243" s="214"/>
      <c r="J243" s="214"/>
      <c r="K243" s="214"/>
    </row>
    <row r="244" spans="1:11" ht="12" customHeight="1" x14ac:dyDescent="0.2">
      <c r="A244" s="229" t="s">
        <v>2148</v>
      </c>
      <c r="B244" s="708">
        <v>1017</v>
      </c>
      <c r="C244" s="691" t="s">
        <v>1937</v>
      </c>
      <c r="D244" s="709" t="s">
        <v>2149</v>
      </c>
      <c r="E244" s="277">
        <v>2016</v>
      </c>
      <c r="F244" s="691" t="s">
        <v>1938</v>
      </c>
      <c r="G244" s="689">
        <v>95022.5</v>
      </c>
      <c r="H244" s="689">
        <v>95022.5</v>
      </c>
      <c r="I244" s="214"/>
      <c r="J244" s="214"/>
      <c r="K244" s="214"/>
    </row>
    <row r="245" spans="1:11" ht="12" customHeight="1" x14ac:dyDescent="0.2">
      <c r="A245" s="229" t="s">
        <v>2150</v>
      </c>
      <c r="B245" s="708">
        <v>1017</v>
      </c>
      <c r="C245" s="691" t="s">
        <v>1937</v>
      </c>
      <c r="D245" s="709" t="s">
        <v>2151</v>
      </c>
      <c r="E245" s="277">
        <v>2018</v>
      </c>
      <c r="F245" s="691" t="s">
        <v>1938</v>
      </c>
      <c r="G245" s="689">
        <v>571061</v>
      </c>
      <c r="H245" s="689">
        <v>167328.51999999999</v>
      </c>
      <c r="I245" s="214"/>
      <c r="J245" s="214"/>
      <c r="K245" s="214"/>
    </row>
    <row r="246" spans="1:11" ht="12" customHeight="1" x14ac:dyDescent="0.2">
      <c r="A246" s="229"/>
      <c r="B246" s="708"/>
      <c r="C246" s="691"/>
      <c r="D246" s="709"/>
      <c r="E246" s="277"/>
      <c r="F246" s="691"/>
      <c r="G246" s="689"/>
      <c r="H246" s="689"/>
      <c r="I246" s="214"/>
      <c r="J246" s="214"/>
      <c r="K246" s="214"/>
    </row>
    <row r="247" spans="1:11" ht="12" customHeight="1" x14ac:dyDescent="0.2">
      <c r="A247" s="229" t="s">
        <v>394</v>
      </c>
      <c r="B247" s="708"/>
      <c r="C247" s="691"/>
      <c r="D247" s="709"/>
      <c r="E247" s="277"/>
      <c r="F247" s="691"/>
      <c r="G247" s="689"/>
      <c r="H247" s="689"/>
      <c r="I247" s="214"/>
      <c r="J247" s="214"/>
      <c r="K247" s="214"/>
    </row>
    <row r="248" spans="1:11" ht="12" customHeight="1" x14ac:dyDescent="0.2">
      <c r="A248" s="229"/>
      <c r="B248" s="708"/>
      <c r="C248" s="691"/>
      <c r="D248" s="709"/>
      <c r="E248" s="277"/>
      <c r="F248" s="691"/>
      <c r="G248" s="689"/>
      <c r="H248" s="689"/>
      <c r="I248" s="214"/>
      <c r="J248" s="214"/>
      <c r="K248" s="214"/>
    </row>
    <row r="249" spans="1:11" ht="12" customHeight="1" x14ac:dyDescent="0.2">
      <c r="A249" s="229" t="s">
        <v>395</v>
      </c>
      <c r="B249" s="708"/>
      <c r="C249" s="691"/>
      <c r="D249" s="709"/>
      <c r="E249" s="277"/>
      <c r="F249" s="691"/>
      <c r="G249" s="689"/>
      <c r="H249" s="689"/>
      <c r="I249" s="214"/>
      <c r="J249" s="214"/>
      <c r="K249" s="214"/>
    </row>
    <row r="250" spans="1:11" ht="12" customHeight="1" x14ac:dyDescent="0.2">
      <c r="A250" s="229" t="s">
        <v>396</v>
      </c>
      <c r="B250" s="708"/>
      <c r="C250" s="691"/>
      <c r="D250" s="709"/>
      <c r="E250" s="277"/>
      <c r="F250" s="691"/>
      <c r="G250" s="689"/>
      <c r="H250" s="689"/>
      <c r="I250" s="214"/>
      <c r="J250" s="214"/>
      <c r="K250" s="214"/>
    </row>
    <row r="251" spans="1:11" ht="12" customHeight="1" x14ac:dyDescent="0.2">
      <c r="A251" s="229" t="s">
        <v>397</v>
      </c>
      <c r="B251" s="708"/>
      <c r="C251" s="691"/>
      <c r="D251" s="709"/>
      <c r="E251" s="277"/>
      <c r="F251" s="691"/>
      <c r="G251" s="689"/>
      <c r="H251" s="689"/>
      <c r="I251" s="214"/>
      <c r="J251" s="214"/>
      <c r="K251" s="214"/>
    </row>
    <row r="252" spans="1:11" ht="12" customHeight="1" x14ac:dyDescent="0.2">
      <c r="A252" s="229" t="s">
        <v>398</v>
      </c>
      <c r="B252" s="708"/>
      <c r="C252" s="691"/>
      <c r="D252" s="709"/>
      <c r="E252" s="277"/>
      <c r="F252" s="691"/>
      <c r="G252" s="689"/>
      <c r="H252" s="689"/>
      <c r="I252" s="214"/>
      <c r="J252" s="214"/>
      <c r="K252" s="214"/>
    </row>
    <row r="253" spans="1:11" ht="12" customHeight="1" x14ac:dyDescent="0.2">
      <c r="A253" s="229" t="s">
        <v>399</v>
      </c>
      <c r="B253" s="708"/>
      <c r="C253" s="691"/>
      <c r="D253" s="709"/>
      <c r="E253" s="277"/>
      <c r="F253" s="691"/>
      <c r="G253" s="689"/>
      <c r="H253" s="689"/>
      <c r="I253" s="214"/>
      <c r="J253" s="214"/>
      <c r="K253" s="214"/>
    </row>
    <row r="254" spans="1:11" ht="12" customHeight="1" x14ac:dyDescent="0.2">
      <c r="A254" s="229" t="s">
        <v>1971</v>
      </c>
      <c r="B254" s="708"/>
      <c r="C254" s="691"/>
      <c r="D254" s="709"/>
      <c r="E254" s="277"/>
      <c r="F254" s="691"/>
      <c r="G254" s="689"/>
      <c r="H254" s="689"/>
      <c r="I254" s="214"/>
      <c r="J254" s="214"/>
      <c r="K254" s="214"/>
    </row>
    <row r="255" spans="1:11" ht="19.5" customHeight="1" x14ac:dyDescent="0.2">
      <c r="A255" s="866" t="s">
        <v>284</v>
      </c>
      <c r="B255" s="824"/>
      <c r="C255" s="824"/>
      <c r="D255" s="824"/>
      <c r="E255" s="824"/>
      <c r="F255" s="814"/>
      <c r="G255" s="545">
        <f t="shared" ref="G255:H255" si="7">SUM(G235:G254)</f>
        <v>12220567.84</v>
      </c>
      <c r="H255" s="545">
        <f t="shared" si="7"/>
        <v>9697556.3600000013</v>
      </c>
      <c r="I255" s="214"/>
      <c r="J255" s="214"/>
      <c r="K255" s="214"/>
    </row>
  </sheetData>
  <mergeCells count="20">
    <mergeCell ref="A234:H234"/>
    <mergeCell ref="A255:F255"/>
    <mergeCell ref="A139:F139"/>
    <mergeCell ref="A164:F164"/>
    <mergeCell ref="A165:H165"/>
    <mergeCell ref="B166:B213"/>
    <mergeCell ref="A214:F214"/>
    <mergeCell ref="A215:H215"/>
    <mergeCell ref="A233:F233"/>
    <mergeCell ref="A42:H42"/>
    <mergeCell ref="A140:H140"/>
    <mergeCell ref="A4:A5"/>
    <mergeCell ref="B4:B5"/>
    <mergeCell ref="C4:H4"/>
    <mergeCell ref="A7:H7"/>
    <mergeCell ref="A41:F41"/>
    <mergeCell ref="A73:F73"/>
    <mergeCell ref="A74:H74"/>
    <mergeCell ref="A120:F120"/>
    <mergeCell ref="A121:H121"/>
  </mergeCells>
  <printOptions horizontalCentered="1"/>
  <pageMargins left="0.23622047244094491" right="0.23622047244094491" top="0.74803149606299213" bottom="0.74803149606299213" header="0" footer="0"/>
  <pageSetup paperSize="9" fitToHeight="0" orientation="landscape"/>
  <headerFooter>
    <oddHeader>&amp;CPROYECTO DE PRESUPUESTO 2021</oddHeader>
    <oddFooter>&amp;LPROYECTO DE PRESUPUESTO PARA EL AÑO FISCAL 2020 INFORMACIÓN PARA LA COMISIÓN DE PRESUPUESTO Y CUENTA GENERAL DE LA REPÚBLICA DEL CONGRESO DE LA REPÚBLICA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A1:Q4857"/>
  <sheetViews>
    <sheetView showGridLines="0" workbookViewId="0">
      <pane ySplit="5" topLeftCell="A6" activePane="bottomLeft" state="frozen"/>
      <selection pane="bottomLeft" activeCell="B7" sqref="B7"/>
    </sheetView>
  </sheetViews>
  <sheetFormatPr baseColWidth="10" defaultColWidth="14.42578125" defaultRowHeight="15" customHeight="1" x14ac:dyDescent="0.2"/>
  <cols>
    <col min="1" max="1" width="25.140625" customWidth="1"/>
    <col min="2" max="2" width="7.85546875" customWidth="1"/>
    <col min="3" max="3" width="10.28515625" customWidth="1"/>
    <col min="4" max="4" width="23.42578125" customWidth="1"/>
    <col min="5" max="5" width="14.42578125" customWidth="1"/>
    <col min="6" max="6" width="14.28515625" customWidth="1"/>
    <col min="7" max="7" width="33.42578125" customWidth="1"/>
    <col min="8" max="9" width="24.28515625" customWidth="1"/>
    <col min="10" max="10" width="16.28515625" customWidth="1"/>
    <col min="11" max="12" width="7.140625" customWidth="1"/>
    <col min="13" max="13" width="14.5703125" customWidth="1"/>
    <col min="14" max="15" width="7.140625" customWidth="1"/>
    <col min="16" max="16" width="14.28515625" customWidth="1"/>
    <col min="17" max="17" width="11.42578125" customWidth="1"/>
  </cols>
  <sheetData>
    <row r="1" spans="1:17" ht="12" customHeight="1" x14ac:dyDescent="0.2">
      <c r="A1" s="16" t="s">
        <v>2152</v>
      </c>
      <c r="B1" s="48"/>
      <c r="C1" s="48"/>
      <c r="D1" s="724"/>
      <c r="E1" s="48"/>
      <c r="F1" s="48"/>
      <c r="G1" s="724"/>
      <c r="H1" s="724"/>
      <c r="I1" s="724"/>
      <c r="J1" s="724"/>
      <c r="K1" s="48"/>
      <c r="L1" s="48"/>
      <c r="M1" s="48"/>
      <c r="N1" s="48"/>
      <c r="O1" s="48"/>
      <c r="P1" s="48"/>
      <c r="Q1" s="48"/>
    </row>
    <row r="2" spans="1:17" ht="12" customHeight="1" x14ac:dyDescent="0.2">
      <c r="A2" s="16" t="s">
        <v>402</v>
      </c>
      <c r="B2" s="48"/>
      <c r="C2" s="48"/>
      <c r="D2" s="724"/>
      <c r="E2" s="48"/>
      <c r="F2" s="48"/>
      <c r="G2" s="724"/>
      <c r="H2" s="724"/>
      <c r="I2" s="724"/>
      <c r="J2" s="724"/>
      <c r="K2" s="48"/>
      <c r="L2" s="48"/>
      <c r="M2" s="48"/>
      <c r="N2" s="48"/>
      <c r="O2" s="48"/>
      <c r="P2" s="48"/>
      <c r="Q2" s="48"/>
    </row>
    <row r="3" spans="1:17" ht="4.5" customHeight="1" x14ac:dyDescent="0.2">
      <c r="A3" s="214"/>
      <c r="B3" s="214"/>
      <c r="C3" s="214"/>
      <c r="D3" s="259"/>
      <c r="E3" s="214"/>
      <c r="F3" s="214"/>
      <c r="G3" s="259"/>
      <c r="H3" s="259"/>
      <c r="I3" s="259"/>
      <c r="J3" s="259"/>
      <c r="K3" s="725"/>
      <c r="L3" s="725"/>
      <c r="M3" s="214"/>
      <c r="N3" s="214"/>
      <c r="O3" s="214"/>
      <c r="P3" s="214"/>
      <c r="Q3" s="214"/>
    </row>
    <row r="4" spans="1:17" ht="22.5" customHeight="1" x14ac:dyDescent="0.2">
      <c r="A4" s="843" t="s">
        <v>2153</v>
      </c>
      <c r="B4" s="824"/>
      <c r="C4" s="824"/>
      <c r="D4" s="824"/>
      <c r="E4" s="814"/>
      <c r="F4" s="843" t="s">
        <v>2154</v>
      </c>
      <c r="G4" s="824"/>
      <c r="H4" s="824"/>
      <c r="I4" s="824"/>
      <c r="J4" s="814"/>
      <c r="K4" s="868" t="s">
        <v>2155</v>
      </c>
      <c r="L4" s="824"/>
      <c r="M4" s="814"/>
      <c r="N4" s="868" t="s">
        <v>2156</v>
      </c>
      <c r="O4" s="824"/>
      <c r="P4" s="814"/>
      <c r="Q4" s="726"/>
    </row>
    <row r="5" spans="1:17" ht="79.5" customHeight="1" x14ac:dyDescent="0.2">
      <c r="A5" s="727" t="s">
        <v>1925</v>
      </c>
      <c r="B5" s="728" t="s">
        <v>2157</v>
      </c>
      <c r="C5" s="728" t="s">
        <v>2158</v>
      </c>
      <c r="D5" s="656" t="s">
        <v>2159</v>
      </c>
      <c r="E5" s="729" t="s">
        <v>2160</v>
      </c>
      <c r="F5" s="727" t="s">
        <v>2161</v>
      </c>
      <c r="G5" s="656" t="s">
        <v>2162</v>
      </c>
      <c r="H5" s="656" t="s">
        <v>2163</v>
      </c>
      <c r="I5" s="728" t="s">
        <v>2164</v>
      </c>
      <c r="J5" s="730" t="s">
        <v>2165</v>
      </c>
      <c r="K5" s="731" t="s">
        <v>2166</v>
      </c>
      <c r="L5" s="732" t="s">
        <v>2167</v>
      </c>
      <c r="M5" s="733" t="s">
        <v>2168</v>
      </c>
      <c r="N5" s="731" t="s">
        <v>2166</v>
      </c>
      <c r="O5" s="732" t="s">
        <v>2167</v>
      </c>
      <c r="P5" s="733" t="s">
        <v>2168</v>
      </c>
      <c r="Q5" s="734"/>
    </row>
    <row r="6" spans="1:17" ht="12" customHeight="1" x14ac:dyDescent="0.2">
      <c r="A6" s="735" t="s">
        <v>2169</v>
      </c>
      <c r="B6" s="735" t="s">
        <v>2170</v>
      </c>
      <c r="C6" s="735" t="s">
        <v>451</v>
      </c>
      <c r="D6" s="644" t="s">
        <v>2171</v>
      </c>
      <c r="E6" s="736">
        <v>6000</v>
      </c>
      <c r="F6" s="737" t="s">
        <v>2172</v>
      </c>
      <c r="G6" s="738" t="s">
        <v>2173</v>
      </c>
      <c r="H6" s="644" t="s">
        <v>2174</v>
      </c>
      <c r="I6" s="636" t="s">
        <v>2175</v>
      </c>
      <c r="J6" s="644"/>
      <c r="K6" s="739"/>
      <c r="L6" s="735">
        <v>4</v>
      </c>
      <c r="M6" s="736">
        <v>25440.199999999997</v>
      </c>
      <c r="N6" s="739"/>
      <c r="O6" s="735">
        <v>6</v>
      </c>
      <c r="P6" s="736">
        <v>37209.560000000005</v>
      </c>
      <c r="Q6" s="214"/>
    </row>
    <row r="7" spans="1:17" ht="12" customHeight="1" x14ac:dyDescent="0.2">
      <c r="A7" s="735" t="s">
        <v>2169</v>
      </c>
      <c r="B7" s="735" t="s">
        <v>2170</v>
      </c>
      <c r="C7" s="735" t="s">
        <v>451</v>
      </c>
      <c r="D7" s="644" t="s">
        <v>2176</v>
      </c>
      <c r="E7" s="736">
        <v>8000</v>
      </c>
      <c r="F7" s="737" t="s">
        <v>2177</v>
      </c>
      <c r="G7" s="738" t="s">
        <v>2178</v>
      </c>
      <c r="H7" s="644" t="s">
        <v>2179</v>
      </c>
      <c r="I7" s="636" t="s">
        <v>2180</v>
      </c>
      <c r="J7" s="644" t="s">
        <v>2180</v>
      </c>
      <c r="K7" s="739"/>
      <c r="L7" s="735">
        <v>12</v>
      </c>
      <c r="M7" s="736">
        <v>97941.93</v>
      </c>
      <c r="N7" s="739"/>
      <c r="O7" s="735">
        <v>6</v>
      </c>
      <c r="P7" s="736">
        <v>48992.020000000004</v>
      </c>
      <c r="Q7" s="214"/>
    </row>
    <row r="8" spans="1:17" ht="12" customHeight="1" x14ac:dyDescent="0.2">
      <c r="A8" s="735" t="s">
        <v>2169</v>
      </c>
      <c r="B8" s="735" t="s">
        <v>2170</v>
      </c>
      <c r="C8" s="735" t="s">
        <v>451</v>
      </c>
      <c r="D8" s="644" t="s">
        <v>2181</v>
      </c>
      <c r="E8" s="736">
        <v>3000</v>
      </c>
      <c r="F8" s="737" t="s">
        <v>2182</v>
      </c>
      <c r="G8" s="738" t="s">
        <v>2183</v>
      </c>
      <c r="H8" s="644" t="s">
        <v>2184</v>
      </c>
      <c r="I8" s="636" t="s">
        <v>2185</v>
      </c>
      <c r="J8" s="644" t="s">
        <v>2184</v>
      </c>
      <c r="K8" s="739"/>
      <c r="L8" s="735">
        <v>12</v>
      </c>
      <c r="M8" s="736">
        <v>37940.050000000003</v>
      </c>
      <c r="N8" s="739"/>
      <c r="O8" s="735">
        <v>6</v>
      </c>
      <c r="P8" s="736">
        <v>19026.36</v>
      </c>
      <c r="Q8" s="214"/>
    </row>
    <row r="9" spans="1:17" ht="12" customHeight="1" x14ac:dyDescent="0.2">
      <c r="A9" s="735" t="s">
        <v>2169</v>
      </c>
      <c r="B9" s="735" t="s">
        <v>2170</v>
      </c>
      <c r="C9" s="735" t="s">
        <v>451</v>
      </c>
      <c r="D9" s="644" t="s">
        <v>2186</v>
      </c>
      <c r="E9" s="736">
        <v>7000</v>
      </c>
      <c r="F9" s="737" t="s">
        <v>2187</v>
      </c>
      <c r="G9" s="738" t="s">
        <v>2188</v>
      </c>
      <c r="H9" s="644" t="s">
        <v>2189</v>
      </c>
      <c r="I9" s="636" t="s">
        <v>2180</v>
      </c>
      <c r="J9" s="644" t="s">
        <v>2180</v>
      </c>
      <c r="K9" s="739"/>
      <c r="L9" s="735">
        <v>12</v>
      </c>
      <c r="M9" s="736">
        <v>86080.729999999981</v>
      </c>
      <c r="N9" s="739"/>
      <c r="O9" s="735">
        <v>6</v>
      </c>
      <c r="P9" s="736">
        <v>43043.39</v>
      </c>
      <c r="Q9" s="214"/>
    </row>
    <row r="10" spans="1:17" ht="12" customHeight="1" x14ac:dyDescent="0.2">
      <c r="A10" s="735" t="s">
        <v>2169</v>
      </c>
      <c r="B10" s="735" t="s">
        <v>2170</v>
      </c>
      <c r="C10" s="735" t="s">
        <v>451</v>
      </c>
      <c r="D10" s="644" t="s">
        <v>2190</v>
      </c>
      <c r="E10" s="736">
        <v>3000</v>
      </c>
      <c r="F10" s="737" t="s">
        <v>2191</v>
      </c>
      <c r="G10" s="738" t="s">
        <v>2192</v>
      </c>
      <c r="H10" s="644" t="s">
        <v>2184</v>
      </c>
      <c r="I10" s="636" t="s">
        <v>2193</v>
      </c>
      <c r="J10" s="644" t="s">
        <v>2184</v>
      </c>
      <c r="K10" s="739"/>
      <c r="L10" s="735">
        <v>12</v>
      </c>
      <c r="M10" s="736">
        <v>37747.400000000009</v>
      </c>
      <c r="N10" s="739"/>
      <c r="O10" s="735">
        <v>6</v>
      </c>
      <c r="P10" s="736">
        <v>19044.900000000001</v>
      </c>
      <c r="Q10" s="214"/>
    </row>
    <row r="11" spans="1:17" ht="12" customHeight="1" x14ac:dyDescent="0.2">
      <c r="A11" s="735" t="s">
        <v>2169</v>
      </c>
      <c r="B11" s="735" t="s">
        <v>2170</v>
      </c>
      <c r="C11" s="735" t="s">
        <v>451</v>
      </c>
      <c r="D11" s="644" t="s">
        <v>2194</v>
      </c>
      <c r="E11" s="736">
        <v>5500</v>
      </c>
      <c r="F11" s="737" t="s">
        <v>2195</v>
      </c>
      <c r="G11" s="738" t="s">
        <v>2196</v>
      </c>
      <c r="H11" s="644" t="s">
        <v>2197</v>
      </c>
      <c r="I11" s="636" t="s">
        <v>2175</v>
      </c>
      <c r="J11" s="644"/>
      <c r="K11" s="739"/>
      <c r="L11" s="735">
        <v>7</v>
      </c>
      <c r="M11" s="736">
        <v>37830.399999999994</v>
      </c>
      <c r="N11" s="739"/>
      <c r="O11" s="735">
        <v>6</v>
      </c>
      <c r="P11" s="736">
        <v>34039.370000000003</v>
      </c>
      <c r="Q11" s="214"/>
    </row>
    <row r="12" spans="1:17" ht="12" customHeight="1" x14ac:dyDescent="0.2">
      <c r="A12" s="735" t="s">
        <v>2169</v>
      </c>
      <c r="B12" s="735" t="s">
        <v>2170</v>
      </c>
      <c r="C12" s="735" t="s">
        <v>451</v>
      </c>
      <c r="D12" s="644" t="s">
        <v>2198</v>
      </c>
      <c r="E12" s="736">
        <v>15600</v>
      </c>
      <c r="F12" s="737" t="s">
        <v>2199</v>
      </c>
      <c r="G12" s="738" t="s">
        <v>2200</v>
      </c>
      <c r="H12" s="644" t="s">
        <v>2201</v>
      </c>
      <c r="I12" s="636" t="s">
        <v>2201</v>
      </c>
      <c r="J12" s="644"/>
      <c r="K12" s="739"/>
      <c r="L12" s="735">
        <v>3</v>
      </c>
      <c r="M12" s="736">
        <v>25800.399999999998</v>
      </c>
      <c r="N12" s="739"/>
      <c r="O12" s="735"/>
      <c r="P12" s="736"/>
      <c r="Q12" s="214"/>
    </row>
    <row r="13" spans="1:17" ht="12" customHeight="1" x14ac:dyDescent="0.2">
      <c r="A13" s="735" t="s">
        <v>2169</v>
      </c>
      <c r="B13" s="735" t="s">
        <v>2170</v>
      </c>
      <c r="C13" s="735" t="s">
        <v>451</v>
      </c>
      <c r="D13" s="644" t="s">
        <v>2202</v>
      </c>
      <c r="E13" s="736">
        <v>2700</v>
      </c>
      <c r="F13" s="737" t="s">
        <v>2203</v>
      </c>
      <c r="G13" s="738" t="s">
        <v>2204</v>
      </c>
      <c r="H13" s="644" t="s">
        <v>2201</v>
      </c>
      <c r="I13" s="636"/>
      <c r="J13" s="644"/>
      <c r="K13" s="739"/>
      <c r="L13" s="735">
        <v>12</v>
      </c>
      <c r="M13" s="736">
        <v>34540.80000000001</v>
      </c>
      <c r="N13" s="739"/>
      <c r="O13" s="735">
        <v>6</v>
      </c>
      <c r="P13" s="736">
        <v>17242.57</v>
      </c>
      <c r="Q13" s="214"/>
    </row>
    <row r="14" spans="1:17" ht="12" customHeight="1" x14ac:dyDescent="0.2">
      <c r="A14" s="735" t="s">
        <v>2169</v>
      </c>
      <c r="B14" s="735" t="s">
        <v>2170</v>
      </c>
      <c r="C14" s="735" t="s">
        <v>451</v>
      </c>
      <c r="D14" s="644" t="s">
        <v>2205</v>
      </c>
      <c r="E14" s="736">
        <v>10000</v>
      </c>
      <c r="F14" s="737" t="s">
        <v>2206</v>
      </c>
      <c r="G14" s="738" t="s">
        <v>2207</v>
      </c>
      <c r="H14" s="644" t="s">
        <v>2208</v>
      </c>
      <c r="I14" s="636" t="s">
        <v>2180</v>
      </c>
      <c r="J14" s="644" t="s">
        <v>2180</v>
      </c>
      <c r="K14" s="739"/>
      <c r="L14" s="735">
        <v>12</v>
      </c>
      <c r="M14" s="736">
        <v>121772.13999999997</v>
      </c>
      <c r="N14" s="739"/>
      <c r="O14" s="735">
        <v>1</v>
      </c>
      <c r="P14" s="736">
        <v>9646.369999999999</v>
      </c>
      <c r="Q14" s="214"/>
    </row>
    <row r="15" spans="1:17" ht="12" customHeight="1" x14ac:dyDescent="0.2">
      <c r="A15" s="735" t="s">
        <v>2169</v>
      </c>
      <c r="B15" s="735" t="s">
        <v>2170</v>
      </c>
      <c r="C15" s="735" t="s">
        <v>451</v>
      </c>
      <c r="D15" s="644" t="s">
        <v>2209</v>
      </c>
      <c r="E15" s="736">
        <v>2000</v>
      </c>
      <c r="F15" s="737" t="s">
        <v>2210</v>
      </c>
      <c r="G15" s="738" t="s">
        <v>2211</v>
      </c>
      <c r="H15" s="644" t="s">
        <v>2212</v>
      </c>
      <c r="I15" s="636" t="s">
        <v>2213</v>
      </c>
      <c r="J15" s="644" t="s">
        <v>2213</v>
      </c>
      <c r="K15" s="739"/>
      <c r="L15" s="735">
        <v>12</v>
      </c>
      <c r="M15" s="736">
        <v>25960.800000000007</v>
      </c>
      <c r="N15" s="739"/>
      <c r="O15" s="735">
        <v>6</v>
      </c>
      <c r="P15" s="736">
        <v>12978.08</v>
      </c>
      <c r="Q15" s="214"/>
    </row>
    <row r="16" spans="1:17" ht="12" customHeight="1" x14ac:dyDescent="0.2">
      <c r="A16" s="735" t="s">
        <v>2169</v>
      </c>
      <c r="B16" s="735" t="s">
        <v>2170</v>
      </c>
      <c r="C16" s="735" t="s">
        <v>451</v>
      </c>
      <c r="D16" s="644" t="s">
        <v>2214</v>
      </c>
      <c r="E16" s="736">
        <v>3000</v>
      </c>
      <c r="F16" s="737" t="s">
        <v>2215</v>
      </c>
      <c r="G16" s="738" t="s">
        <v>2216</v>
      </c>
      <c r="H16" s="644" t="s">
        <v>2217</v>
      </c>
      <c r="I16" s="636" t="s">
        <v>2218</v>
      </c>
      <c r="J16" s="644"/>
      <c r="K16" s="739"/>
      <c r="L16" s="735">
        <v>4</v>
      </c>
      <c r="M16" s="736">
        <v>12540.2</v>
      </c>
      <c r="N16" s="739"/>
      <c r="O16" s="735">
        <v>6</v>
      </c>
      <c r="P16" s="736">
        <v>19044.900000000001</v>
      </c>
      <c r="Q16" s="214"/>
    </row>
    <row r="17" spans="1:17" ht="12" customHeight="1" x14ac:dyDescent="0.2">
      <c r="A17" s="735" t="s">
        <v>2169</v>
      </c>
      <c r="B17" s="735" t="s">
        <v>2170</v>
      </c>
      <c r="C17" s="735" t="s">
        <v>451</v>
      </c>
      <c r="D17" s="644" t="s">
        <v>2214</v>
      </c>
      <c r="E17" s="736">
        <v>3000</v>
      </c>
      <c r="F17" s="737" t="s">
        <v>2219</v>
      </c>
      <c r="G17" s="738" t="s">
        <v>2220</v>
      </c>
      <c r="H17" s="644" t="s">
        <v>2221</v>
      </c>
      <c r="I17" s="636" t="s">
        <v>2218</v>
      </c>
      <c r="J17" s="644"/>
      <c r="K17" s="739"/>
      <c r="L17" s="735">
        <v>4</v>
      </c>
      <c r="M17" s="736">
        <v>12340.2</v>
      </c>
      <c r="N17" s="739"/>
      <c r="O17" s="735">
        <v>6</v>
      </c>
      <c r="P17" s="736">
        <v>19043.82</v>
      </c>
      <c r="Q17" s="214"/>
    </row>
    <row r="18" spans="1:17" ht="12" customHeight="1" x14ac:dyDescent="0.2">
      <c r="A18" s="735" t="s">
        <v>2169</v>
      </c>
      <c r="B18" s="735" t="s">
        <v>2170</v>
      </c>
      <c r="C18" s="735" t="s">
        <v>451</v>
      </c>
      <c r="D18" s="644" t="s">
        <v>2222</v>
      </c>
      <c r="E18" s="736">
        <v>4000</v>
      </c>
      <c r="F18" s="737" t="s">
        <v>2223</v>
      </c>
      <c r="G18" s="738" t="s">
        <v>2224</v>
      </c>
      <c r="H18" s="644" t="s">
        <v>2201</v>
      </c>
      <c r="I18" s="636"/>
      <c r="J18" s="644"/>
      <c r="K18" s="739"/>
      <c r="L18" s="735">
        <v>12</v>
      </c>
      <c r="M18" s="736">
        <v>49844.500000000007</v>
      </c>
      <c r="N18" s="735"/>
      <c r="O18" s="735">
        <v>6</v>
      </c>
      <c r="P18" s="736">
        <v>24959.550000000003</v>
      </c>
      <c r="Q18" s="214"/>
    </row>
    <row r="19" spans="1:17" ht="12" customHeight="1" x14ac:dyDescent="0.2">
      <c r="A19" s="735" t="s">
        <v>2169</v>
      </c>
      <c r="B19" s="735" t="s">
        <v>2170</v>
      </c>
      <c r="C19" s="735" t="s">
        <v>451</v>
      </c>
      <c r="D19" s="644" t="s">
        <v>2225</v>
      </c>
      <c r="E19" s="736">
        <v>13000</v>
      </c>
      <c r="F19" s="737" t="s">
        <v>2226</v>
      </c>
      <c r="G19" s="738" t="s">
        <v>2227</v>
      </c>
      <c r="H19" s="644" t="s">
        <v>2179</v>
      </c>
      <c r="I19" s="636" t="s">
        <v>2228</v>
      </c>
      <c r="J19" s="644"/>
      <c r="K19" s="739"/>
      <c r="L19" s="735">
        <v>2</v>
      </c>
      <c r="M19" s="736">
        <v>24926.799999999999</v>
      </c>
      <c r="N19" s="735"/>
      <c r="O19" s="735">
        <v>6</v>
      </c>
      <c r="P19" s="736">
        <v>78894.539999999994</v>
      </c>
      <c r="Q19" s="214"/>
    </row>
    <row r="20" spans="1:17" ht="12" customHeight="1" x14ac:dyDescent="0.2">
      <c r="A20" s="735" t="s">
        <v>2169</v>
      </c>
      <c r="B20" s="735" t="s">
        <v>2170</v>
      </c>
      <c r="C20" s="735" t="s">
        <v>451</v>
      </c>
      <c r="D20" s="644" t="s">
        <v>2229</v>
      </c>
      <c r="E20" s="736">
        <v>5000</v>
      </c>
      <c r="F20" s="737" t="s">
        <v>2230</v>
      </c>
      <c r="G20" s="738" t="s">
        <v>2231</v>
      </c>
      <c r="H20" s="644" t="s">
        <v>2184</v>
      </c>
      <c r="I20" s="636" t="s">
        <v>2185</v>
      </c>
      <c r="J20" s="644" t="s">
        <v>2184</v>
      </c>
      <c r="K20" s="739"/>
      <c r="L20" s="735">
        <v>12</v>
      </c>
      <c r="M20" s="736">
        <v>63375.80000000001</v>
      </c>
      <c r="N20" s="735"/>
      <c r="O20" s="735">
        <v>6</v>
      </c>
      <c r="P20" s="736">
        <v>31044.9</v>
      </c>
      <c r="Q20" s="214"/>
    </row>
    <row r="21" spans="1:17" ht="12" customHeight="1" x14ac:dyDescent="0.2">
      <c r="A21" s="735" t="s">
        <v>2169</v>
      </c>
      <c r="B21" s="735" t="s">
        <v>2232</v>
      </c>
      <c r="C21" s="735" t="s">
        <v>451</v>
      </c>
      <c r="D21" s="644" t="s">
        <v>2233</v>
      </c>
      <c r="E21" s="736">
        <v>9500</v>
      </c>
      <c r="F21" s="737" t="s">
        <v>2234</v>
      </c>
      <c r="G21" s="738" t="s">
        <v>2235</v>
      </c>
      <c r="H21" s="644" t="s">
        <v>2236</v>
      </c>
      <c r="I21" s="636" t="s">
        <v>2175</v>
      </c>
      <c r="J21" s="644" t="s">
        <v>2236</v>
      </c>
      <c r="K21" s="739"/>
      <c r="L21" s="735">
        <v>12</v>
      </c>
      <c r="M21" s="736">
        <v>116085.48999999998</v>
      </c>
      <c r="N21" s="735"/>
      <c r="O21" s="735">
        <v>5</v>
      </c>
      <c r="P21" s="736">
        <v>48344.14</v>
      </c>
      <c r="Q21" s="214"/>
    </row>
    <row r="22" spans="1:17" ht="12" customHeight="1" x14ac:dyDescent="0.2">
      <c r="A22" s="735" t="s">
        <v>2169</v>
      </c>
      <c r="B22" s="735" t="s">
        <v>2170</v>
      </c>
      <c r="C22" s="735" t="s">
        <v>451</v>
      </c>
      <c r="D22" s="644" t="s">
        <v>2237</v>
      </c>
      <c r="E22" s="736">
        <v>5500</v>
      </c>
      <c r="F22" s="737" t="s">
        <v>2238</v>
      </c>
      <c r="G22" s="738" t="s">
        <v>2239</v>
      </c>
      <c r="H22" s="644" t="s">
        <v>2240</v>
      </c>
      <c r="I22" s="636" t="s">
        <v>2241</v>
      </c>
      <c r="J22" s="644" t="s">
        <v>2241</v>
      </c>
      <c r="K22" s="739"/>
      <c r="L22" s="735">
        <v>12</v>
      </c>
      <c r="M22" s="736">
        <v>68157.19</v>
      </c>
      <c r="N22" s="735"/>
      <c r="O22" s="735">
        <v>6</v>
      </c>
      <c r="P22" s="736">
        <v>33640.71</v>
      </c>
      <c r="Q22" s="214"/>
    </row>
    <row r="23" spans="1:17" ht="12" customHeight="1" x14ac:dyDescent="0.2">
      <c r="A23" s="735" t="s">
        <v>2169</v>
      </c>
      <c r="B23" s="735" t="s">
        <v>2170</v>
      </c>
      <c r="C23" s="735" t="s">
        <v>451</v>
      </c>
      <c r="D23" s="644" t="s">
        <v>2242</v>
      </c>
      <c r="E23" s="736">
        <v>8000</v>
      </c>
      <c r="F23" s="737" t="s">
        <v>2243</v>
      </c>
      <c r="G23" s="738" t="s">
        <v>2244</v>
      </c>
      <c r="H23" s="644" t="s">
        <v>2245</v>
      </c>
      <c r="I23" s="636" t="s">
        <v>2246</v>
      </c>
      <c r="J23" s="644" t="s">
        <v>2245</v>
      </c>
      <c r="K23" s="739"/>
      <c r="L23" s="735">
        <v>12</v>
      </c>
      <c r="M23" s="736">
        <v>97960.799999999988</v>
      </c>
      <c r="N23" s="735"/>
      <c r="O23" s="735">
        <v>6</v>
      </c>
      <c r="P23" s="736">
        <v>49044.9</v>
      </c>
      <c r="Q23" s="214"/>
    </row>
    <row r="24" spans="1:17" ht="12" customHeight="1" x14ac:dyDescent="0.2">
      <c r="A24" s="735" t="s">
        <v>2169</v>
      </c>
      <c r="B24" s="735" t="s">
        <v>2170</v>
      </c>
      <c r="C24" s="735" t="s">
        <v>451</v>
      </c>
      <c r="D24" s="644" t="s">
        <v>2247</v>
      </c>
      <c r="E24" s="736">
        <v>6500</v>
      </c>
      <c r="F24" s="737" t="s">
        <v>2248</v>
      </c>
      <c r="G24" s="738" t="s">
        <v>2249</v>
      </c>
      <c r="H24" s="644" t="s">
        <v>2179</v>
      </c>
      <c r="I24" s="636" t="s">
        <v>2250</v>
      </c>
      <c r="J24" s="644" t="s">
        <v>2250</v>
      </c>
      <c r="K24" s="739"/>
      <c r="L24" s="735">
        <v>12</v>
      </c>
      <c r="M24" s="736">
        <v>79960.799999999988</v>
      </c>
      <c r="N24" s="735"/>
      <c r="O24" s="735">
        <v>6</v>
      </c>
      <c r="P24" s="736">
        <v>39946.840000000004</v>
      </c>
      <c r="Q24" s="214"/>
    </row>
    <row r="25" spans="1:17" ht="12" customHeight="1" x14ac:dyDescent="0.2">
      <c r="A25" s="735" t="s">
        <v>2169</v>
      </c>
      <c r="B25" s="735" t="s">
        <v>2170</v>
      </c>
      <c r="C25" s="735" t="s">
        <v>451</v>
      </c>
      <c r="D25" s="644" t="s">
        <v>2202</v>
      </c>
      <c r="E25" s="736">
        <v>2700</v>
      </c>
      <c r="F25" s="737" t="s">
        <v>2251</v>
      </c>
      <c r="G25" s="738" t="s">
        <v>2252</v>
      </c>
      <c r="H25" s="644" t="s">
        <v>2253</v>
      </c>
      <c r="I25" s="636" t="s">
        <v>2254</v>
      </c>
      <c r="J25" s="644" t="s">
        <v>2254</v>
      </c>
      <c r="K25" s="739"/>
      <c r="L25" s="735">
        <v>6</v>
      </c>
      <c r="M25" s="736">
        <v>16880.400000000001</v>
      </c>
      <c r="N25" s="735"/>
      <c r="O25" s="735"/>
      <c r="P25" s="736"/>
      <c r="Q25" s="214"/>
    </row>
    <row r="26" spans="1:17" ht="12" customHeight="1" x14ac:dyDescent="0.2">
      <c r="A26" s="735" t="s">
        <v>2169</v>
      </c>
      <c r="B26" s="735" t="s">
        <v>2170</v>
      </c>
      <c r="C26" s="735" t="s">
        <v>451</v>
      </c>
      <c r="D26" s="644" t="s">
        <v>2255</v>
      </c>
      <c r="E26" s="736">
        <v>8000</v>
      </c>
      <c r="F26" s="737" t="s">
        <v>2256</v>
      </c>
      <c r="G26" s="738" t="s">
        <v>2257</v>
      </c>
      <c r="H26" s="644" t="s">
        <v>2201</v>
      </c>
      <c r="I26" s="636"/>
      <c r="J26" s="644"/>
      <c r="K26" s="739"/>
      <c r="L26" s="735">
        <v>12</v>
      </c>
      <c r="M26" s="736">
        <v>97925.969999999987</v>
      </c>
      <c r="N26" s="735"/>
      <c r="O26" s="735">
        <v>6</v>
      </c>
      <c r="P26" s="736">
        <v>49014.44</v>
      </c>
      <c r="Q26" s="214"/>
    </row>
    <row r="27" spans="1:17" ht="12" customHeight="1" x14ac:dyDescent="0.2">
      <c r="A27" s="735" t="s">
        <v>2169</v>
      </c>
      <c r="B27" s="735" t="s">
        <v>2170</v>
      </c>
      <c r="C27" s="735" t="s">
        <v>451</v>
      </c>
      <c r="D27" s="644" t="s">
        <v>2258</v>
      </c>
      <c r="E27" s="736">
        <v>9000</v>
      </c>
      <c r="F27" s="737" t="s">
        <v>2259</v>
      </c>
      <c r="G27" s="738" t="s">
        <v>2260</v>
      </c>
      <c r="H27" s="644" t="s">
        <v>2201</v>
      </c>
      <c r="I27" s="636"/>
      <c r="J27" s="644"/>
      <c r="K27" s="739"/>
      <c r="L27" s="735">
        <v>12</v>
      </c>
      <c r="M27" s="736">
        <v>110695.96999999999</v>
      </c>
      <c r="N27" s="735"/>
      <c r="O27" s="735">
        <v>6</v>
      </c>
      <c r="P27" s="736">
        <v>54996.41</v>
      </c>
      <c r="Q27" s="214"/>
    </row>
    <row r="28" spans="1:17" ht="12" customHeight="1" x14ac:dyDescent="0.2">
      <c r="A28" s="735" t="s">
        <v>2169</v>
      </c>
      <c r="B28" s="735" t="s">
        <v>2170</v>
      </c>
      <c r="C28" s="735" t="s">
        <v>451</v>
      </c>
      <c r="D28" s="644" t="s">
        <v>2261</v>
      </c>
      <c r="E28" s="736">
        <v>2200</v>
      </c>
      <c r="F28" s="737" t="s">
        <v>2262</v>
      </c>
      <c r="G28" s="738" t="s">
        <v>2263</v>
      </c>
      <c r="H28" s="644" t="s">
        <v>2264</v>
      </c>
      <c r="I28" s="636" t="s">
        <v>2218</v>
      </c>
      <c r="J28" s="644" t="s">
        <v>2264</v>
      </c>
      <c r="K28" s="739"/>
      <c r="L28" s="735">
        <v>12</v>
      </c>
      <c r="M28" s="736">
        <v>28502.270000000004</v>
      </c>
      <c r="N28" s="735"/>
      <c r="O28" s="735">
        <v>6</v>
      </c>
      <c r="P28" s="736">
        <v>13987.13</v>
      </c>
      <c r="Q28" s="214"/>
    </row>
    <row r="29" spans="1:17" ht="12" customHeight="1" x14ac:dyDescent="0.2">
      <c r="A29" s="735" t="s">
        <v>2169</v>
      </c>
      <c r="B29" s="735" t="s">
        <v>2170</v>
      </c>
      <c r="C29" s="735" t="s">
        <v>451</v>
      </c>
      <c r="D29" s="644" t="s">
        <v>2265</v>
      </c>
      <c r="E29" s="736">
        <v>10000</v>
      </c>
      <c r="F29" s="737" t="s">
        <v>2266</v>
      </c>
      <c r="G29" s="738" t="s">
        <v>2267</v>
      </c>
      <c r="H29" s="644" t="s">
        <v>2268</v>
      </c>
      <c r="I29" s="636" t="s">
        <v>2228</v>
      </c>
      <c r="J29" s="644" t="s">
        <v>2268</v>
      </c>
      <c r="K29" s="739"/>
      <c r="L29" s="735">
        <v>12</v>
      </c>
      <c r="M29" s="736">
        <v>121960.79999999997</v>
      </c>
      <c r="N29" s="735"/>
      <c r="O29" s="735">
        <v>6</v>
      </c>
      <c r="P29" s="736">
        <v>61039.87</v>
      </c>
      <c r="Q29" s="214"/>
    </row>
    <row r="30" spans="1:17" ht="12" customHeight="1" x14ac:dyDescent="0.2">
      <c r="A30" s="735" t="s">
        <v>2169</v>
      </c>
      <c r="B30" s="735" t="s">
        <v>2170</v>
      </c>
      <c r="C30" s="735" t="s">
        <v>451</v>
      </c>
      <c r="D30" s="644" t="s">
        <v>2269</v>
      </c>
      <c r="E30" s="736">
        <v>11000</v>
      </c>
      <c r="F30" s="737" t="s">
        <v>2270</v>
      </c>
      <c r="G30" s="738" t="s">
        <v>2271</v>
      </c>
      <c r="H30" s="644" t="s">
        <v>2189</v>
      </c>
      <c r="I30" s="636" t="s">
        <v>2175</v>
      </c>
      <c r="J30" s="644" t="s">
        <v>2189</v>
      </c>
      <c r="K30" s="739"/>
      <c r="L30" s="735">
        <v>12</v>
      </c>
      <c r="M30" s="736">
        <v>133943.83999999997</v>
      </c>
      <c r="N30" s="735"/>
      <c r="O30" s="735">
        <v>6</v>
      </c>
      <c r="P30" s="736">
        <v>66935.070000000007</v>
      </c>
      <c r="Q30" s="214"/>
    </row>
    <row r="31" spans="1:17" ht="12" customHeight="1" x14ac:dyDescent="0.2">
      <c r="A31" s="735" t="s">
        <v>2169</v>
      </c>
      <c r="B31" s="735" t="s">
        <v>2232</v>
      </c>
      <c r="C31" s="735" t="s">
        <v>451</v>
      </c>
      <c r="D31" s="644" t="s">
        <v>2272</v>
      </c>
      <c r="E31" s="736">
        <v>9500</v>
      </c>
      <c r="F31" s="737" t="s">
        <v>2273</v>
      </c>
      <c r="G31" s="738" t="s">
        <v>2274</v>
      </c>
      <c r="H31" s="644" t="s">
        <v>2275</v>
      </c>
      <c r="I31" s="636" t="s">
        <v>2250</v>
      </c>
      <c r="J31" s="644" t="s">
        <v>2250</v>
      </c>
      <c r="K31" s="739"/>
      <c r="L31" s="735">
        <v>12</v>
      </c>
      <c r="M31" s="736">
        <v>115960.79999999999</v>
      </c>
      <c r="N31" s="735"/>
      <c r="O31" s="735">
        <v>5</v>
      </c>
      <c r="P31" s="736">
        <v>48368.020000000004</v>
      </c>
      <c r="Q31" s="214"/>
    </row>
    <row r="32" spans="1:17" ht="12" customHeight="1" x14ac:dyDescent="0.2">
      <c r="A32" s="735" t="s">
        <v>2169</v>
      </c>
      <c r="B32" s="735" t="s">
        <v>2170</v>
      </c>
      <c r="C32" s="735" t="s">
        <v>451</v>
      </c>
      <c r="D32" s="644" t="s">
        <v>2276</v>
      </c>
      <c r="E32" s="736">
        <v>4400</v>
      </c>
      <c r="F32" s="737" t="s">
        <v>2277</v>
      </c>
      <c r="G32" s="738" t="s">
        <v>2278</v>
      </c>
      <c r="H32" s="644" t="s">
        <v>2279</v>
      </c>
      <c r="I32" s="636" t="s">
        <v>2175</v>
      </c>
      <c r="J32" s="644" t="s">
        <v>2279</v>
      </c>
      <c r="K32" s="739"/>
      <c r="L32" s="735">
        <v>12</v>
      </c>
      <c r="M32" s="736">
        <v>54824.250000000007</v>
      </c>
      <c r="N32" s="735"/>
      <c r="O32" s="735">
        <v>6</v>
      </c>
      <c r="P32" s="736">
        <v>27274.520000000004</v>
      </c>
      <c r="Q32" s="214"/>
    </row>
    <row r="33" spans="1:17" ht="12" customHeight="1" x14ac:dyDescent="0.2">
      <c r="A33" s="735" t="s">
        <v>2169</v>
      </c>
      <c r="B33" s="735" t="s">
        <v>2170</v>
      </c>
      <c r="C33" s="735" t="s">
        <v>451</v>
      </c>
      <c r="D33" s="644" t="s">
        <v>2280</v>
      </c>
      <c r="E33" s="736">
        <v>5000</v>
      </c>
      <c r="F33" s="737" t="s">
        <v>2281</v>
      </c>
      <c r="G33" s="738" t="s">
        <v>2282</v>
      </c>
      <c r="H33" s="644" t="s">
        <v>2283</v>
      </c>
      <c r="I33" s="636" t="s">
        <v>2284</v>
      </c>
      <c r="J33" s="644" t="s">
        <v>2284</v>
      </c>
      <c r="K33" s="739"/>
      <c r="L33" s="735">
        <v>12</v>
      </c>
      <c r="M33" s="736">
        <v>61846.950000000004</v>
      </c>
      <c r="N33" s="735"/>
      <c r="O33" s="735">
        <v>6</v>
      </c>
      <c r="P33" s="736">
        <v>30831.53</v>
      </c>
      <c r="Q33" s="214"/>
    </row>
    <row r="34" spans="1:17" ht="12" customHeight="1" x14ac:dyDescent="0.2">
      <c r="A34" s="735" t="s">
        <v>2169</v>
      </c>
      <c r="B34" s="735" t="s">
        <v>2170</v>
      </c>
      <c r="C34" s="735" t="s">
        <v>451</v>
      </c>
      <c r="D34" s="644" t="s">
        <v>2285</v>
      </c>
      <c r="E34" s="736">
        <v>14000</v>
      </c>
      <c r="F34" s="737" t="s">
        <v>2286</v>
      </c>
      <c r="G34" s="738" t="s">
        <v>2287</v>
      </c>
      <c r="H34" s="644" t="s">
        <v>2201</v>
      </c>
      <c r="I34" s="636"/>
      <c r="J34" s="644"/>
      <c r="K34" s="739"/>
      <c r="L34" s="735">
        <v>12</v>
      </c>
      <c r="M34" s="736">
        <v>169847.39999999997</v>
      </c>
      <c r="N34" s="735"/>
      <c r="O34" s="735">
        <v>6</v>
      </c>
      <c r="P34" s="736">
        <v>85044.9</v>
      </c>
      <c r="Q34" s="214"/>
    </row>
    <row r="35" spans="1:17" ht="12" customHeight="1" x14ac:dyDescent="0.2">
      <c r="A35" s="735" t="s">
        <v>2169</v>
      </c>
      <c r="B35" s="735" t="s">
        <v>2170</v>
      </c>
      <c r="C35" s="735" t="s">
        <v>451</v>
      </c>
      <c r="D35" s="644" t="s">
        <v>2288</v>
      </c>
      <c r="E35" s="736">
        <v>3000</v>
      </c>
      <c r="F35" s="737" t="s">
        <v>2289</v>
      </c>
      <c r="G35" s="738" t="s">
        <v>2290</v>
      </c>
      <c r="H35" s="644" t="s">
        <v>2253</v>
      </c>
      <c r="I35" s="636" t="s">
        <v>2254</v>
      </c>
      <c r="J35" s="644" t="s">
        <v>2254</v>
      </c>
      <c r="K35" s="739"/>
      <c r="L35" s="735">
        <v>12</v>
      </c>
      <c r="M35" s="736">
        <v>37960.80000000001</v>
      </c>
      <c r="N35" s="735"/>
      <c r="O35" s="735">
        <v>6</v>
      </c>
      <c r="P35" s="736">
        <v>18941.88</v>
      </c>
      <c r="Q35" s="214"/>
    </row>
    <row r="36" spans="1:17" ht="12" customHeight="1" x14ac:dyDescent="0.2">
      <c r="A36" s="735" t="s">
        <v>2169</v>
      </c>
      <c r="B36" s="735" t="s">
        <v>2170</v>
      </c>
      <c r="C36" s="735" t="s">
        <v>451</v>
      </c>
      <c r="D36" s="644" t="s">
        <v>2291</v>
      </c>
      <c r="E36" s="736">
        <v>15600</v>
      </c>
      <c r="F36" s="737" t="s">
        <v>2292</v>
      </c>
      <c r="G36" s="738" t="s">
        <v>2293</v>
      </c>
      <c r="H36" s="644">
        <v>0</v>
      </c>
      <c r="I36" s="636">
        <v>0</v>
      </c>
      <c r="J36" s="644">
        <v>0</v>
      </c>
      <c r="K36" s="739"/>
      <c r="L36" s="735">
        <v>2</v>
      </c>
      <c r="M36" s="736">
        <v>13226.8</v>
      </c>
      <c r="N36" s="735"/>
      <c r="O36" s="735"/>
      <c r="P36" s="736"/>
      <c r="Q36" s="214"/>
    </row>
    <row r="37" spans="1:17" ht="12" customHeight="1" x14ac:dyDescent="0.2">
      <c r="A37" s="735" t="s">
        <v>2169</v>
      </c>
      <c r="B37" s="735" t="s">
        <v>2170</v>
      </c>
      <c r="C37" s="735" t="s">
        <v>451</v>
      </c>
      <c r="D37" s="644" t="s">
        <v>2208</v>
      </c>
      <c r="E37" s="736">
        <v>10000</v>
      </c>
      <c r="F37" s="737" t="s">
        <v>2294</v>
      </c>
      <c r="G37" s="738" t="s">
        <v>2295</v>
      </c>
      <c r="H37" s="644" t="s">
        <v>2208</v>
      </c>
      <c r="I37" s="636" t="s">
        <v>2296</v>
      </c>
      <c r="J37" s="644" t="s">
        <v>2296</v>
      </c>
      <c r="K37" s="739"/>
      <c r="L37" s="735">
        <v>12</v>
      </c>
      <c r="M37" s="736">
        <v>121578.93999999997</v>
      </c>
      <c r="N37" s="735"/>
      <c r="O37" s="735">
        <v>6</v>
      </c>
      <c r="P37" s="736">
        <v>60565.73</v>
      </c>
      <c r="Q37" s="214"/>
    </row>
    <row r="38" spans="1:17" ht="12" customHeight="1" x14ac:dyDescent="0.2">
      <c r="A38" s="735" t="s">
        <v>2169</v>
      </c>
      <c r="B38" s="735" t="s">
        <v>2170</v>
      </c>
      <c r="C38" s="735" t="s">
        <v>451</v>
      </c>
      <c r="D38" s="644" t="s">
        <v>2190</v>
      </c>
      <c r="E38" s="736">
        <v>2200</v>
      </c>
      <c r="F38" s="737" t="s">
        <v>2297</v>
      </c>
      <c r="G38" s="738" t="s">
        <v>2298</v>
      </c>
      <c r="H38" s="644" t="s">
        <v>2201</v>
      </c>
      <c r="I38" s="636"/>
      <c r="J38" s="644"/>
      <c r="K38" s="739"/>
      <c r="L38" s="735">
        <v>12</v>
      </c>
      <c r="M38" s="736">
        <v>28506.460000000006</v>
      </c>
      <c r="N38" s="735"/>
      <c r="O38" s="735">
        <v>6</v>
      </c>
      <c r="P38" s="736">
        <v>14239.679999999998</v>
      </c>
      <c r="Q38" s="214"/>
    </row>
    <row r="39" spans="1:17" ht="12" customHeight="1" x14ac:dyDescent="0.2">
      <c r="A39" s="735" t="s">
        <v>2169</v>
      </c>
      <c r="B39" s="735" t="s">
        <v>2170</v>
      </c>
      <c r="C39" s="735" t="s">
        <v>451</v>
      </c>
      <c r="D39" s="644" t="s">
        <v>2299</v>
      </c>
      <c r="E39" s="736">
        <v>15600</v>
      </c>
      <c r="F39" s="737" t="s">
        <v>2300</v>
      </c>
      <c r="G39" s="738" t="s">
        <v>2301</v>
      </c>
      <c r="H39" s="644" t="s">
        <v>2201</v>
      </c>
      <c r="I39" s="636" t="s">
        <v>2201</v>
      </c>
      <c r="J39" s="644"/>
      <c r="K39" s="739"/>
      <c r="L39" s="735">
        <v>8</v>
      </c>
      <c r="M39" s="736">
        <v>94993.799999999988</v>
      </c>
      <c r="N39" s="735"/>
      <c r="O39" s="735"/>
      <c r="P39" s="736"/>
      <c r="Q39" s="214"/>
    </row>
    <row r="40" spans="1:17" ht="12" customHeight="1" x14ac:dyDescent="0.2">
      <c r="A40" s="735" t="s">
        <v>2169</v>
      </c>
      <c r="B40" s="735" t="s">
        <v>2170</v>
      </c>
      <c r="C40" s="735" t="s">
        <v>451</v>
      </c>
      <c r="D40" s="644" t="s">
        <v>2225</v>
      </c>
      <c r="E40" s="736">
        <v>10000</v>
      </c>
      <c r="F40" s="737" t="s">
        <v>2302</v>
      </c>
      <c r="G40" s="738" t="s">
        <v>2303</v>
      </c>
      <c r="H40" s="644" t="s">
        <v>2201</v>
      </c>
      <c r="I40" s="636"/>
      <c r="J40" s="644"/>
      <c r="K40" s="739"/>
      <c r="L40" s="735">
        <v>5</v>
      </c>
      <c r="M40" s="736">
        <v>33798.07</v>
      </c>
      <c r="N40" s="735"/>
      <c r="O40" s="735">
        <v>3</v>
      </c>
      <c r="P40" s="736">
        <v>23151.040000000001</v>
      </c>
      <c r="Q40" s="214"/>
    </row>
    <row r="41" spans="1:17" ht="12" customHeight="1" x14ac:dyDescent="0.2">
      <c r="A41" s="735" t="s">
        <v>2169</v>
      </c>
      <c r="B41" s="735" t="s">
        <v>2170</v>
      </c>
      <c r="C41" s="735" t="s">
        <v>451</v>
      </c>
      <c r="D41" s="644" t="s">
        <v>2304</v>
      </c>
      <c r="E41" s="736">
        <v>6500</v>
      </c>
      <c r="F41" s="737" t="s">
        <v>2305</v>
      </c>
      <c r="G41" s="738" t="s">
        <v>2306</v>
      </c>
      <c r="H41" s="644" t="s">
        <v>2253</v>
      </c>
      <c r="I41" s="636" t="s">
        <v>2241</v>
      </c>
      <c r="J41" s="644" t="s">
        <v>2241</v>
      </c>
      <c r="K41" s="739"/>
      <c r="L41" s="735">
        <v>12</v>
      </c>
      <c r="M41" s="736">
        <v>79960.799999999988</v>
      </c>
      <c r="N41" s="735"/>
      <c r="O41" s="735">
        <v>6</v>
      </c>
      <c r="P41" s="736">
        <v>40044.9</v>
      </c>
      <c r="Q41" s="214"/>
    </row>
    <row r="42" spans="1:17" ht="12" customHeight="1" x14ac:dyDescent="0.2">
      <c r="A42" s="735" t="s">
        <v>2169</v>
      </c>
      <c r="B42" s="735" t="s">
        <v>2170</v>
      </c>
      <c r="C42" s="735" t="s">
        <v>451</v>
      </c>
      <c r="D42" s="644" t="s">
        <v>2307</v>
      </c>
      <c r="E42" s="736">
        <v>8000</v>
      </c>
      <c r="F42" s="737" t="s">
        <v>2308</v>
      </c>
      <c r="G42" s="738" t="s">
        <v>2309</v>
      </c>
      <c r="H42" s="644" t="s">
        <v>2310</v>
      </c>
      <c r="I42" s="636" t="s">
        <v>2180</v>
      </c>
      <c r="J42" s="644" t="s">
        <v>2180</v>
      </c>
      <c r="K42" s="739"/>
      <c r="L42" s="735">
        <v>12</v>
      </c>
      <c r="M42" s="736">
        <v>98839.939999999973</v>
      </c>
      <c r="N42" s="735"/>
      <c r="O42" s="735">
        <v>6</v>
      </c>
      <c r="P42" s="736">
        <v>49040.880000000005</v>
      </c>
      <c r="Q42" s="214"/>
    </row>
    <row r="43" spans="1:17" ht="12" customHeight="1" x14ac:dyDescent="0.2">
      <c r="A43" s="735" t="s">
        <v>2169</v>
      </c>
      <c r="B43" s="735" t="s">
        <v>2170</v>
      </c>
      <c r="C43" s="735" t="s">
        <v>451</v>
      </c>
      <c r="D43" s="644" t="s">
        <v>2311</v>
      </c>
      <c r="E43" s="736">
        <v>15600</v>
      </c>
      <c r="F43" s="737" t="s">
        <v>2312</v>
      </c>
      <c r="G43" s="738" t="s">
        <v>2313</v>
      </c>
      <c r="H43" s="644" t="s">
        <v>2208</v>
      </c>
      <c r="I43" s="636" t="s">
        <v>2250</v>
      </c>
      <c r="J43" s="644" t="s">
        <v>2250</v>
      </c>
      <c r="K43" s="739"/>
      <c r="L43" s="735">
        <v>9</v>
      </c>
      <c r="M43" s="736">
        <v>141720.59999999998</v>
      </c>
      <c r="N43" s="735"/>
      <c r="O43" s="735"/>
      <c r="P43" s="736"/>
      <c r="Q43" s="214"/>
    </row>
    <row r="44" spans="1:17" ht="12" customHeight="1" x14ac:dyDescent="0.2">
      <c r="A44" s="735" t="s">
        <v>2169</v>
      </c>
      <c r="B44" s="735" t="s">
        <v>2170</v>
      </c>
      <c r="C44" s="735" t="s">
        <v>451</v>
      </c>
      <c r="D44" s="644" t="s">
        <v>2314</v>
      </c>
      <c r="E44" s="736">
        <v>6000</v>
      </c>
      <c r="F44" s="737" t="s">
        <v>2315</v>
      </c>
      <c r="G44" s="738" t="s">
        <v>2316</v>
      </c>
      <c r="H44" s="644" t="s">
        <v>2317</v>
      </c>
      <c r="I44" s="636" t="s">
        <v>2180</v>
      </c>
      <c r="J44" s="644" t="s">
        <v>2180</v>
      </c>
      <c r="K44" s="739"/>
      <c r="L44" s="735">
        <v>12</v>
      </c>
      <c r="M44" s="736">
        <v>73896.039999999994</v>
      </c>
      <c r="N44" s="735"/>
      <c r="O44" s="735">
        <v>6</v>
      </c>
      <c r="P44" s="736">
        <v>36962.14</v>
      </c>
      <c r="Q44" s="214"/>
    </row>
    <row r="45" spans="1:17" ht="12" customHeight="1" x14ac:dyDescent="0.2">
      <c r="A45" s="735" t="s">
        <v>2169</v>
      </c>
      <c r="B45" s="735" t="s">
        <v>2170</v>
      </c>
      <c r="C45" s="735" t="s">
        <v>451</v>
      </c>
      <c r="D45" s="644" t="s">
        <v>2202</v>
      </c>
      <c r="E45" s="736">
        <v>3000</v>
      </c>
      <c r="F45" s="737" t="s">
        <v>2318</v>
      </c>
      <c r="G45" s="738" t="s">
        <v>2319</v>
      </c>
      <c r="H45" s="644" t="s">
        <v>2201</v>
      </c>
      <c r="I45" s="636"/>
      <c r="J45" s="644"/>
      <c r="K45" s="739"/>
      <c r="L45" s="735">
        <v>12</v>
      </c>
      <c r="M45" s="736">
        <v>37960.80000000001</v>
      </c>
      <c r="N45" s="735"/>
      <c r="O45" s="735">
        <v>6</v>
      </c>
      <c r="P45" s="736">
        <v>19044.900000000001</v>
      </c>
      <c r="Q45" s="214"/>
    </row>
    <row r="46" spans="1:17" ht="12" customHeight="1" x14ac:dyDescent="0.2">
      <c r="A46" s="735" t="s">
        <v>2169</v>
      </c>
      <c r="B46" s="735" t="s">
        <v>2170</v>
      </c>
      <c r="C46" s="735" t="s">
        <v>451</v>
      </c>
      <c r="D46" s="644" t="s">
        <v>2320</v>
      </c>
      <c r="E46" s="736">
        <v>8000</v>
      </c>
      <c r="F46" s="737" t="s">
        <v>2321</v>
      </c>
      <c r="G46" s="738" t="s">
        <v>2322</v>
      </c>
      <c r="H46" s="644" t="s">
        <v>2323</v>
      </c>
      <c r="I46" s="636" t="s">
        <v>2250</v>
      </c>
      <c r="J46" s="644" t="s">
        <v>2250</v>
      </c>
      <c r="K46" s="739"/>
      <c r="L46" s="735">
        <v>3</v>
      </c>
      <c r="M46" s="736">
        <v>24340.199999999997</v>
      </c>
      <c r="N46" s="735"/>
      <c r="O46" s="735"/>
      <c r="P46" s="736"/>
      <c r="Q46" s="214"/>
    </row>
    <row r="47" spans="1:17" ht="12" customHeight="1" x14ac:dyDescent="0.2">
      <c r="A47" s="735" t="s">
        <v>2169</v>
      </c>
      <c r="B47" s="735" t="s">
        <v>2170</v>
      </c>
      <c r="C47" s="735" t="s">
        <v>451</v>
      </c>
      <c r="D47" s="644" t="s">
        <v>2324</v>
      </c>
      <c r="E47" s="736">
        <v>13000</v>
      </c>
      <c r="F47" s="737" t="s">
        <v>2325</v>
      </c>
      <c r="G47" s="738" t="s">
        <v>2326</v>
      </c>
      <c r="H47" s="644" t="s">
        <v>2245</v>
      </c>
      <c r="I47" s="636" t="s">
        <v>2175</v>
      </c>
      <c r="J47" s="644"/>
      <c r="K47" s="739"/>
      <c r="L47" s="735">
        <v>4</v>
      </c>
      <c r="M47" s="736">
        <v>45606.87</v>
      </c>
      <c r="N47" s="735"/>
      <c r="O47" s="735">
        <v>6</v>
      </c>
      <c r="P47" s="736">
        <v>79044.899999999994</v>
      </c>
      <c r="Q47" s="214"/>
    </row>
    <row r="48" spans="1:17" ht="12" customHeight="1" x14ac:dyDescent="0.2">
      <c r="A48" s="735" t="s">
        <v>2169</v>
      </c>
      <c r="B48" s="735" t="s">
        <v>2170</v>
      </c>
      <c r="C48" s="735" t="s">
        <v>451</v>
      </c>
      <c r="D48" s="644" t="s">
        <v>2265</v>
      </c>
      <c r="E48" s="736">
        <v>8000</v>
      </c>
      <c r="F48" s="737" t="s">
        <v>2327</v>
      </c>
      <c r="G48" s="738" t="s">
        <v>2328</v>
      </c>
      <c r="H48" s="644" t="s">
        <v>2201</v>
      </c>
      <c r="I48" s="636"/>
      <c r="J48" s="644"/>
      <c r="K48" s="739"/>
      <c r="L48" s="735">
        <v>12</v>
      </c>
      <c r="M48" s="736">
        <v>98219.489999999991</v>
      </c>
      <c r="N48" s="735"/>
      <c r="O48" s="735">
        <v>6</v>
      </c>
      <c r="P48" s="736">
        <v>48877.66</v>
      </c>
      <c r="Q48" s="214"/>
    </row>
    <row r="49" spans="1:17" ht="12" customHeight="1" x14ac:dyDescent="0.2">
      <c r="A49" s="735" t="s">
        <v>2169</v>
      </c>
      <c r="B49" s="735" t="s">
        <v>2170</v>
      </c>
      <c r="C49" s="735" t="s">
        <v>451</v>
      </c>
      <c r="D49" s="644" t="s">
        <v>2329</v>
      </c>
      <c r="E49" s="736">
        <v>6000</v>
      </c>
      <c r="F49" s="737" t="s">
        <v>2330</v>
      </c>
      <c r="G49" s="738" t="s">
        <v>2331</v>
      </c>
      <c r="H49" s="644" t="s">
        <v>2189</v>
      </c>
      <c r="I49" s="636" t="s">
        <v>2180</v>
      </c>
      <c r="J49" s="644" t="s">
        <v>2180</v>
      </c>
      <c r="K49" s="739"/>
      <c r="L49" s="735">
        <v>12</v>
      </c>
      <c r="M49" s="736">
        <v>73960.800000000003</v>
      </c>
      <c r="N49" s="735"/>
      <c r="O49" s="735">
        <v>6</v>
      </c>
      <c r="P49" s="736">
        <v>36928.080000000002</v>
      </c>
      <c r="Q49" s="214"/>
    </row>
    <row r="50" spans="1:17" ht="12" customHeight="1" x14ac:dyDescent="0.2">
      <c r="A50" s="735" t="s">
        <v>2169</v>
      </c>
      <c r="B50" s="735" t="s">
        <v>2170</v>
      </c>
      <c r="C50" s="735" t="s">
        <v>451</v>
      </c>
      <c r="D50" s="644" t="s">
        <v>2261</v>
      </c>
      <c r="E50" s="736">
        <v>6000</v>
      </c>
      <c r="F50" s="737" t="s">
        <v>2332</v>
      </c>
      <c r="G50" s="738" t="s">
        <v>2333</v>
      </c>
      <c r="H50" s="644" t="s">
        <v>2184</v>
      </c>
      <c r="I50" s="636" t="s">
        <v>2334</v>
      </c>
      <c r="J50" s="644" t="s">
        <v>2184</v>
      </c>
      <c r="K50" s="739"/>
      <c r="L50" s="735">
        <v>12</v>
      </c>
      <c r="M50" s="736">
        <v>74047.400000000009</v>
      </c>
      <c r="N50" s="735"/>
      <c r="O50" s="735">
        <v>6</v>
      </c>
      <c r="P50" s="736">
        <v>37025.07</v>
      </c>
      <c r="Q50" s="214"/>
    </row>
    <row r="51" spans="1:17" ht="12" customHeight="1" x14ac:dyDescent="0.2">
      <c r="A51" s="735" t="s">
        <v>2169</v>
      </c>
      <c r="B51" s="735" t="s">
        <v>2170</v>
      </c>
      <c r="C51" s="735" t="s">
        <v>451</v>
      </c>
      <c r="D51" s="644" t="s">
        <v>2335</v>
      </c>
      <c r="E51" s="736">
        <v>14000</v>
      </c>
      <c r="F51" s="737" t="s">
        <v>2336</v>
      </c>
      <c r="G51" s="738" t="s">
        <v>2337</v>
      </c>
      <c r="H51" s="644" t="s">
        <v>2201</v>
      </c>
      <c r="I51" s="636"/>
      <c r="J51" s="644"/>
      <c r="K51" s="739"/>
      <c r="L51" s="735">
        <v>3</v>
      </c>
      <c r="M51" s="736">
        <v>42340.2</v>
      </c>
      <c r="N51" s="735"/>
      <c r="O51" s="735"/>
      <c r="P51" s="736"/>
      <c r="Q51" s="214"/>
    </row>
    <row r="52" spans="1:17" ht="12" customHeight="1" x14ac:dyDescent="0.2">
      <c r="A52" s="735" t="s">
        <v>2169</v>
      </c>
      <c r="B52" s="735" t="s">
        <v>2170</v>
      </c>
      <c r="C52" s="735" t="s">
        <v>451</v>
      </c>
      <c r="D52" s="644" t="s">
        <v>2338</v>
      </c>
      <c r="E52" s="736">
        <v>15600</v>
      </c>
      <c r="F52" s="737" t="s">
        <v>2339</v>
      </c>
      <c r="G52" s="738" t="s">
        <v>2340</v>
      </c>
      <c r="H52" s="644" t="s">
        <v>2201</v>
      </c>
      <c r="I52" s="636"/>
      <c r="J52" s="644"/>
      <c r="K52" s="739"/>
      <c r="L52" s="735">
        <v>8</v>
      </c>
      <c r="M52" s="736">
        <v>103647.19999999998</v>
      </c>
      <c r="N52" s="735"/>
      <c r="O52" s="735">
        <v>6</v>
      </c>
      <c r="P52" s="736">
        <v>93084.9</v>
      </c>
      <c r="Q52" s="214"/>
    </row>
    <row r="53" spans="1:17" ht="12" customHeight="1" x14ac:dyDescent="0.2">
      <c r="A53" s="735" t="s">
        <v>2169</v>
      </c>
      <c r="B53" s="735" t="s">
        <v>2170</v>
      </c>
      <c r="C53" s="735" t="s">
        <v>451</v>
      </c>
      <c r="D53" s="644" t="s">
        <v>2341</v>
      </c>
      <c r="E53" s="736">
        <v>9000</v>
      </c>
      <c r="F53" s="737" t="s">
        <v>2342</v>
      </c>
      <c r="G53" s="738" t="s">
        <v>2343</v>
      </c>
      <c r="H53" s="644" t="s">
        <v>2201</v>
      </c>
      <c r="I53" s="636"/>
      <c r="J53" s="644"/>
      <c r="K53" s="739"/>
      <c r="L53" s="735">
        <v>12</v>
      </c>
      <c r="M53" s="736">
        <v>109896.30999999998</v>
      </c>
      <c r="N53" s="735"/>
      <c r="O53" s="735">
        <v>6</v>
      </c>
      <c r="P53" s="736">
        <v>54906.530000000006</v>
      </c>
      <c r="Q53" s="214"/>
    </row>
    <row r="54" spans="1:17" ht="12" customHeight="1" x14ac:dyDescent="0.2">
      <c r="A54" s="735" t="s">
        <v>2169</v>
      </c>
      <c r="B54" s="735" t="s">
        <v>2170</v>
      </c>
      <c r="C54" s="735" t="s">
        <v>451</v>
      </c>
      <c r="D54" s="644" t="s">
        <v>2261</v>
      </c>
      <c r="E54" s="736">
        <v>4200</v>
      </c>
      <c r="F54" s="737" t="s">
        <v>2344</v>
      </c>
      <c r="G54" s="738" t="s">
        <v>2345</v>
      </c>
      <c r="H54" s="644" t="s">
        <v>2346</v>
      </c>
      <c r="I54" s="636" t="s">
        <v>2241</v>
      </c>
      <c r="J54" s="644" t="s">
        <v>2241</v>
      </c>
      <c r="K54" s="739"/>
      <c r="L54" s="735">
        <v>12</v>
      </c>
      <c r="M54" s="736">
        <v>39524.61</v>
      </c>
      <c r="N54" s="735"/>
      <c r="O54" s="735">
        <v>2</v>
      </c>
      <c r="P54" s="736">
        <v>3781.1800000000003</v>
      </c>
      <c r="Q54" s="214"/>
    </row>
    <row r="55" spans="1:17" ht="12" customHeight="1" x14ac:dyDescent="0.2">
      <c r="A55" s="735" t="s">
        <v>2169</v>
      </c>
      <c r="B55" s="735" t="s">
        <v>2170</v>
      </c>
      <c r="C55" s="735" t="s">
        <v>451</v>
      </c>
      <c r="D55" s="644" t="s">
        <v>2347</v>
      </c>
      <c r="E55" s="736">
        <v>8500</v>
      </c>
      <c r="F55" s="737" t="s">
        <v>2348</v>
      </c>
      <c r="G55" s="738" t="s">
        <v>2349</v>
      </c>
      <c r="H55" s="644" t="s">
        <v>2179</v>
      </c>
      <c r="I55" s="636" t="s">
        <v>2250</v>
      </c>
      <c r="J55" s="644" t="s">
        <v>2250</v>
      </c>
      <c r="K55" s="739"/>
      <c r="L55" s="735">
        <v>9</v>
      </c>
      <c r="M55" s="736">
        <v>77817.52</v>
      </c>
      <c r="N55" s="735"/>
      <c r="O55" s="735"/>
      <c r="P55" s="736"/>
      <c r="Q55" s="214"/>
    </row>
    <row r="56" spans="1:17" ht="12" customHeight="1" x14ac:dyDescent="0.2">
      <c r="A56" s="735" t="s">
        <v>2169</v>
      </c>
      <c r="B56" s="735" t="s">
        <v>2170</v>
      </c>
      <c r="C56" s="735" t="s">
        <v>451</v>
      </c>
      <c r="D56" s="644" t="s">
        <v>2261</v>
      </c>
      <c r="E56" s="736">
        <v>4000</v>
      </c>
      <c r="F56" s="737" t="s">
        <v>2350</v>
      </c>
      <c r="G56" s="738" t="s">
        <v>2351</v>
      </c>
      <c r="H56" s="644" t="s">
        <v>2352</v>
      </c>
      <c r="I56" s="636" t="s">
        <v>2284</v>
      </c>
      <c r="J56" s="644" t="s">
        <v>2284</v>
      </c>
      <c r="K56" s="739"/>
      <c r="L56" s="735">
        <v>12</v>
      </c>
      <c r="M56" s="736">
        <v>49958.990000000013</v>
      </c>
      <c r="N56" s="735"/>
      <c r="O56" s="735">
        <v>6</v>
      </c>
      <c r="P56" s="736">
        <v>25021.910000000003</v>
      </c>
      <c r="Q56" s="214"/>
    </row>
    <row r="57" spans="1:17" ht="12" customHeight="1" x14ac:dyDescent="0.2">
      <c r="A57" s="735" t="s">
        <v>2169</v>
      </c>
      <c r="B57" s="735" t="s">
        <v>2170</v>
      </c>
      <c r="C57" s="735" t="s">
        <v>451</v>
      </c>
      <c r="D57" s="644" t="s">
        <v>2353</v>
      </c>
      <c r="E57" s="736">
        <v>12500</v>
      </c>
      <c r="F57" s="737" t="s">
        <v>2354</v>
      </c>
      <c r="G57" s="738" t="s">
        <v>2355</v>
      </c>
      <c r="H57" s="644" t="s">
        <v>2189</v>
      </c>
      <c r="I57" s="636" t="s">
        <v>2180</v>
      </c>
      <c r="J57" s="644" t="s">
        <v>2180</v>
      </c>
      <c r="K57" s="739"/>
      <c r="L57" s="735">
        <v>12</v>
      </c>
      <c r="M57" s="736">
        <v>151960.79999999996</v>
      </c>
      <c r="N57" s="735"/>
      <c r="O57" s="735">
        <v>6</v>
      </c>
      <c r="P57" s="736">
        <v>76044.899999999994</v>
      </c>
      <c r="Q57" s="214"/>
    </row>
    <row r="58" spans="1:17" ht="12" customHeight="1" x14ac:dyDescent="0.2">
      <c r="A58" s="735" t="s">
        <v>2169</v>
      </c>
      <c r="B58" s="735" t="s">
        <v>2170</v>
      </c>
      <c r="C58" s="735" t="s">
        <v>451</v>
      </c>
      <c r="D58" s="644" t="s">
        <v>2356</v>
      </c>
      <c r="E58" s="736">
        <v>10000</v>
      </c>
      <c r="F58" s="737" t="s">
        <v>2357</v>
      </c>
      <c r="G58" s="738" t="s">
        <v>2358</v>
      </c>
      <c r="H58" s="644" t="s">
        <v>2201</v>
      </c>
      <c r="I58" s="636"/>
      <c r="J58" s="644"/>
      <c r="K58" s="739"/>
      <c r="L58" s="735">
        <v>6</v>
      </c>
      <c r="M58" s="736">
        <v>61338.91</v>
      </c>
      <c r="N58" s="735"/>
      <c r="O58" s="735"/>
      <c r="P58" s="736"/>
      <c r="Q58" s="214"/>
    </row>
    <row r="59" spans="1:17" ht="12" customHeight="1" x14ac:dyDescent="0.2">
      <c r="A59" s="735" t="s">
        <v>2169</v>
      </c>
      <c r="B59" s="735" t="s">
        <v>2170</v>
      </c>
      <c r="C59" s="735" t="s">
        <v>451</v>
      </c>
      <c r="D59" s="644" t="s">
        <v>2359</v>
      </c>
      <c r="E59" s="736">
        <v>8000</v>
      </c>
      <c r="F59" s="737" t="s">
        <v>2360</v>
      </c>
      <c r="G59" s="738" t="s">
        <v>2361</v>
      </c>
      <c r="H59" s="644" t="s">
        <v>2323</v>
      </c>
      <c r="I59" s="636" t="s">
        <v>2175</v>
      </c>
      <c r="J59" s="644" t="s">
        <v>2323</v>
      </c>
      <c r="K59" s="739"/>
      <c r="L59" s="735">
        <v>12</v>
      </c>
      <c r="M59" s="736">
        <v>99401.559999999969</v>
      </c>
      <c r="N59" s="735"/>
      <c r="O59" s="735">
        <v>6</v>
      </c>
      <c r="P59" s="736">
        <v>49044.9</v>
      </c>
      <c r="Q59" s="214"/>
    </row>
    <row r="60" spans="1:17" ht="12" customHeight="1" x14ac:dyDescent="0.2">
      <c r="A60" s="735" t="s">
        <v>2169</v>
      </c>
      <c r="B60" s="735" t="s">
        <v>2170</v>
      </c>
      <c r="C60" s="735" t="s">
        <v>451</v>
      </c>
      <c r="D60" s="644" t="s">
        <v>2362</v>
      </c>
      <c r="E60" s="736">
        <v>10000</v>
      </c>
      <c r="F60" s="737" t="s">
        <v>2363</v>
      </c>
      <c r="G60" s="738" t="s">
        <v>2364</v>
      </c>
      <c r="H60" s="644" t="s">
        <v>2365</v>
      </c>
      <c r="I60" s="636" t="s">
        <v>2250</v>
      </c>
      <c r="J60" s="644" t="s">
        <v>2250</v>
      </c>
      <c r="K60" s="739"/>
      <c r="L60" s="735">
        <v>12</v>
      </c>
      <c r="M60" s="736">
        <v>121960.79999999997</v>
      </c>
      <c r="N60" s="735"/>
      <c r="O60" s="735">
        <v>6</v>
      </c>
      <c r="P60" s="736">
        <v>60705.82</v>
      </c>
      <c r="Q60" s="214"/>
    </row>
    <row r="61" spans="1:17" ht="12" customHeight="1" x14ac:dyDescent="0.2">
      <c r="A61" s="735" t="s">
        <v>2169</v>
      </c>
      <c r="B61" s="735" t="s">
        <v>2170</v>
      </c>
      <c r="C61" s="735" t="s">
        <v>451</v>
      </c>
      <c r="D61" s="644" t="s">
        <v>2366</v>
      </c>
      <c r="E61" s="736">
        <v>15600</v>
      </c>
      <c r="F61" s="737" t="s">
        <v>2367</v>
      </c>
      <c r="G61" s="738" t="s">
        <v>2368</v>
      </c>
      <c r="H61" s="644" t="s">
        <v>2201</v>
      </c>
      <c r="I61" s="636" t="s">
        <v>2201</v>
      </c>
      <c r="J61" s="644"/>
      <c r="K61" s="739"/>
      <c r="L61" s="735">
        <v>3</v>
      </c>
      <c r="M61" s="736">
        <v>25820.199999999997</v>
      </c>
      <c r="N61" s="735"/>
      <c r="O61" s="735"/>
      <c r="P61" s="736"/>
      <c r="Q61" s="214"/>
    </row>
    <row r="62" spans="1:17" ht="12" customHeight="1" x14ac:dyDescent="0.2">
      <c r="A62" s="735" t="s">
        <v>2169</v>
      </c>
      <c r="B62" s="735" t="s">
        <v>2170</v>
      </c>
      <c r="C62" s="735" t="s">
        <v>451</v>
      </c>
      <c r="D62" s="644" t="s">
        <v>2369</v>
      </c>
      <c r="E62" s="736">
        <v>3800</v>
      </c>
      <c r="F62" s="737" t="s">
        <v>2370</v>
      </c>
      <c r="G62" s="738" t="s">
        <v>2371</v>
      </c>
      <c r="H62" s="644" t="s">
        <v>2372</v>
      </c>
      <c r="I62" s="636" t="s">
        <v>2284</v>
      </c>
      <c r="J62" s="644" t="s">
        <v>2284</v>
      </c>
      <c r="K62" s="739"/>
      <c r="L62" s="735">
        <v>12</v>
      </c>
      <c r="M62" s="736">
        <v>43006.020000000004</v>
      </c>
      <c r="N62" s="735"/>
      <c r="O62" s="735">
        <v>6</v>
      </c>
      <c r="P62" s="736">
        <v>23659.81</v>
      </c>
      <c r="Q62" s="214"/>
    </row>
    <row r="63" spans="1:17" ht="12" customHeight="1" x14ac:dyDescent="0.2">
      <c r="A63" s="735" t="s">
        <v>2169</v>
      </c>
      <c r="B63" s="735" t="s">
        <v>2170</v>
      </c>
      <c r="C63" s="735" t="s">
        <v>451</v>
      </c>
      <c r="D63" s="644" t="s">
        <v>2373</v>
      </c>
      <c r="E63" s="736">
        <v>4000</v>
      </c>
      <c r="F63" s="737" t="s">
        <v>2374</v>
      </c>
      <c r="G63" s="738" t="s">
        <v>2375</v>
      </c>
      <c r="H63" s="644">
        <v>0</v>
      </c>
      <c r="I63" s="636">
        <v>0</v>
      </c>
      <c r="J63" s="644">
        <v>0</v>
      </c>
      <c r="K63" s="739"/>
      <c r="L63" s="735">
        <v>4</v>
      </c>
      <c r="M63" s="736">
        <v>16516.07</v>
      </c>
      <c r="N63" s="735"/>
      <c r="O63" s="735"/>
      <c r="P63" s="736"/>
      <c r="Q63" s="214"/>
    </row>
    <row r="64" spans="1:17" ht="12" customHeight="1" x14ac:dyDescent="0.2">
      <c r="A64" s="735" t="s">
        <v>2169</v>
      </c>
      <c r="B64" s="735" t="s">
        <v>2170</v>
      </c>
      <c r="C64" s="735" t="s">
        <v>451</v>
      </c>
      <c r="D64" s="644" t="s">
        <v>2190</v>
      </c>
      <c r="E64" s="736">
        <v>3000</v>
      </c>
      <c r="F64" s="737" t="s">
        <v>2376</v>
      </c>
      <c r="G64" s="738" t="s">
        <v>2377</v>
      </c>
      <c r="H64" s="644">
        <v>0</v>
      </c>
      <c r="I64" s="636">
        <v>0</v>
      </c>
      <c r="J64" s="644">
        <v>0</v>
      </c>
      <c r="K64" s="739"/>
      <c r="L64" s="735">
        <v>3</v>
      </c>
      <c r="M64" s="736">
        <v>9240.2000000000007</v>
      </c>
      <c r="N64" s="735"/>
      <c r="O64" s="735"/>
      <c r="P64" s="736"/>
      <c r="Q64" s="214"/>
    </row>
    <row r="65" spans="1:17" ht="12" customHeight="1" x14ac:dyDescent="0.2">
      <c r="A65" s="735" t="s">
        <v>2169</v>
      </c>
      <c r="B65" s="735" t="s">
        <v>2170</v>
      </c>
      <c r="C65" s="735" t="s">
        <v>451</v>
      </c>
      <c r="D65" s="644" t="s">
        <v>2378</v>
      </c>
      <c r="E65" s="736">
        <v>7000</v>
      </c>
      <c r="F65" s="737" t="s">
        <v>2379</v>
      </c>
      <c r="G65" s="738" t="s">
        <v>2380</v>
      </c>
      <c r="H65" s="644" t="s">
        <v>2189</v>
      </c>
      <c r="I65" s="636" t="s">
        <v>2180</v>
      </c>
      <c r="J65" s="644" t="s">
        <v>2180</v>
      </c>
      <c r="K65" s="739"/>
      <c r="L65" s="735">
        <v>12</v>
      </c>
      <c r="M65" s="736">
        <v>85960.799999999988</v>
      </c>
      <c r="N65" s="735"/>
      <c r="O65" s="735">
        <v>6</v>
      </c>
      <c r="P65" s="736">
        <v>42975.51</v>
      </c>
      <c r="Q65" s="214"/>
    </row>
    <row r="66" spans="1:17" ht="12" customHeight="1" x14ac:dyDescent="0.2">
      <c r="A66" s="735" t="s">
        <v>2169</v>
      </c>
      <c r="B66" s="735" t="s">
        <v>2170</v>
      </c>
      <c r="C66" s="735" t="s">
        <v>451</v>
      </c>
      <c r="D66" s="644" t="s">
        <v>2381</v>
      </c>
      <c r="E66" s="736">
        <v>5000</v>
      </c>
      <c r="F66" s="737" t="s">
        <v>2382</v>
      </c>
      <c r="G66" s="738" t="s">
        <v>2383</v>
      </c>
      <c r="H66" s="644" t="s">
        <v>2384</v>
      </c>
      <c r="I66" s="636" t="s">
        <v>2385</v>
      </c>
      <c r="J66" s="644" t="s">
        <v>2385</v>
      </c>
      <c r="K66" s="739"/>
      <c r="L66" s="735">
        <v>12</v>
      </c>
      <c r="M66" s="736">
        <v>61847.400000000009</v>
      </c>
      <c r="N66" s="735"/>
      <c r="O66" s="735">
        <v>6</v>
      </c>
      <c r="P66" s="736">
        <v>31028.380000000005</v>
      </c>
      <c r="Q66" s="214"/>
    </row>
    <row r="67" spans="1:17" ht="12" customHeight="1" x14ac:dyDescent="0.2">
      <c r="A67" s="735" t="s">
        <v>2169</v>
      </c>
      <c r="B67" s="735" t="s">
        <v>2170</v>
      </c>
      <c r="C67" s="735" t="s">
        <v>451</v>
      </c>
      <c r="D67" s="644" t="s">
        <v>2386</v>
      </c>
      <c r="E67" s="736">
        <v>15600</v>
      </c>
      <c r="F67" s="737" t="s">
        <v>2387</v>
      </c>
      <c r="G67" s="738" t="s">
        <v>2388</v>
      </c>
      <c r="H67" s="644" t="s">
        <v>2201</v>
      </c>
      <c r="I67" s="636" t="s">
        <v>2201</v>
      </c>
      <c r="J67" s="644"/>
      <c r="K67" s="739"/>
      <c r="L67" s="735">
        <v>1</v>
      </c>
      <c r="M67" s="736">
        <v>13633.4</v>
      </c>
      <c r="N67" s="735"/>
      <c r="O67" s="735"/>
      <c r="P67" s="736"/>
      <c r="Q67" s="214"/>
    </row>
    <row r="68" spans="1:17" ht="12" customHeight="1" x14ac:dyDescent="0.2">
      <c r="A68" s="735" t="s">
        <v>2169</v>
      </c>
      <c r="B68" s="735" t="s">
        <v>2170</v>
      </c>
      <c r="C68" s="735" t="s">
        <v>451</v>
      </c>
      <c r="D68" s="644" t="s">
        <v>2389</v>
      </c>
      <c r="E68" s="736">
        <v>7000</v>
      </c>
      <c r="F68" s="737" t="s">
        <v>2390</v>
      </c>
      <c r="G68" s="738" t="s">
        <v>2391</v>
      </c>
      <c r="H68" s="644" t="s">
        <v>2392</v>
      </c>
      <c r="I68" s="636" t="s">
        <v>2393</v>
      </c>
      <c r="J68" s="644" t="s">
        <v>2393</v>
      </c>
      <c r="K68" s="739"/>
      <c r="L68" s="735">
        <v>12</v>
      </c>
      <c r="M68" s="736">
        <v>86111.59</v>
      </c>
      <c r="N68" s="735"/>
      <c r="O68" s="735">
        <v>6</v>
      </c>
      <c r="P68" s="736">
        <v>42949.36</v>
      </c>
      <c r="Q68" s="214"/>
    </row>
    <row r="69" spans="1:17" ht="12" customHeight="1" x14ac:dyDescent="0.2">
      <c r="A69" s="735" t="s">
        <v>2169</v>
      </c>
      <c r="B69" s="735" t="s">
        <v>2170</v>
      </c>
      <c r="C69" s="735" t="s">
        <v>451</v>
      </c>
      <c r="D69" s="644" t="s">
        <v>2394</v>
      </c>
      <c r="E69" s="736">
        <v>10000</v>
      </c>
      <c r="F69" s="737" t="s">
        <v>2395</v>
      </c>
      <c r="G69" s="738" t="s">
        <v>2396</v>
      </c>
      <c r="H69" s="644" t="s">
        <v>2197</v>
      </c>
      <c r="I69" s="636" t="s">
        <v>2250</v>
      </c>
      <c r="J69" s="644" t="s">
        <v>2250</v>
      </c>
      <c r="K69" s="739"/>
      <c r="L69" s="735">
        <v>12</v>
      </c>
      <c r="M69" s="736">
        <v>122294.12999999998</v>
      </c>
      <c r="N69" s="735"/>
      <c r="O69" s="735">
        <v>6</v>
      </c>
      <c r="P69" s="736">
        <v>60980.240000000005</v>
      </c>
      <c r="Q69" s="214"/>
    </row>
    <row r="70" spans="1:17" ht="12" customHeight="1" x14ac:dyDescent="0.2">
      <c r="A70" s="735" t="s">
        <v>2169</v>
      </c>
      <c r="B70" s="735" t="s">
        <v>2170</v>
      </c>
      <c r="C70" s="735" t="s">
        <v>451</v>
      </c>
      <c r="D70" s="644" t="s">
        <v>2225</v>
      </c>
      <c r="E70" s="736">
        <v>10000</v>
      </c>
      <c r="F70" s="737" t="s">
        <v>2397</v>
      </c>
      <c r="G70" s="738" t="s">
        <v>2398</v>
      </c>
      <c r="H70" s="644" t="s">
        <v>2179</v>
      </c>
      <c r="I70" s="636" t="s">
        <v>2246</v>
      </c>
      <c r="J70" s="644" t="s">
        <v>2179</v>
      </c>
      <c r="K70" s="739"/>
      <c r="L70" s="735">
        <v>8</v>
      </c>
      <c r="M70" s="736">
        <v>81207.199999999997</v>
      </c>
      <c r="N70" s="735"/>
      <c r="O70" s="735"/>
      <c r="P70" s="736"/>
      <c r="Q70" s="214"/>
    </row>
    <row r="71" spans="1:17" ht="12" customHeight="1" x14ac:dyDescent="0.2">
      <c r="A71" s="735" t="s">
        <v>2169</v>
      </c>
      <c r="B71" s="735" t="s">
        <v>2170</v>
      </c>
      <c r="C71" s="735" t="s">
        <v>451</v>
      </c>
      <c r="D71" s="644" t="s">
        <v>2399</v>
      </c>
      <c r="E71" s="736">
        <v>5000</v>
      </c>
      <c r="F71" s="737" t="s">
        <v>2400</v>
      </c>
      <c r="G71" s="738" t="s">
        <v>2401</v>
      </c>
      <c r="H71" s="644" t="s">
        <v>2402</v>
      </c>
      <c r="I71" s="636" t="s">
        <v>2403</v>
      </c>
      <c r="J71" s="644" t="s">
        <v>2403</v>
      </c>
      <c r="K71" s="739"/>
      <c r="L71" s="735">
        <v>12</v>
      </c>
      <c r="M71" s="736">
        <v>68303.429999999993</v>
      </c>
      <c r="N71" s="735"/>
      <c r="O71" s="735">
        <v>3</v>
      </c>
      <c r="P71" s="736">
        <v>14455.789999999999</v>
      </c>
      <c r="Q71" s="214"/>
    </row>
    <row r="72" spans="1:17" ht="12" customHeight="1" x14ac:dyDescent="0.2">
      <c r="A72" s="735" t="s">
        <v>2169</v>
      </c>
      <c r="B72" s="735" t="s">
        <v>2170</v>
      </c>
      <c r="C72" s="735" t="s">
        <v>451</v>
      </c>
      <c r="D72" s="644" t="s">
        <v>2404</v>
      </c>
      <c r="E72" s="736">
        <v>8000</v>
      </c>
      <c r="F72" s="737" t="s">
        <v>2405</v>
      </c>
      <c r="G72" s="738" t="s">
        <v>2406</v>
      </c>
      <c r="H72" s="644">
        <v>0</v>
      </c>
      <c r="I72" s="636">
        <v>0</v>
      </c>
      <c r="J72" s="644">
        <v>0</v>
      </c>
      <c r="K72" s="739"/>
      <c r="L72" s="735">
        <v>7</v>
      </c>
      <c r="M72" s="736">
        <v>57359.020000000004</v>
      </c>
      <c r="N72" s="735"/>
      <c r="O72" s="735"/>
      <c r="P72" s="736"/>
      <c r="Q72" s="214"/>
    </row>
    <row r="73" spans="1:17" ht="12" customHeight="1" x14ac:dyDescent="0.2">
      <c r="A73" s="735" t="s">
        <v>2169</v>
      </c>
      <c r="B73" s="735" t="s">
        <v>2170</v>
      </c>
      <c r="C73" s="735" t="s">
        <v>451</v>
      </c>
      <c r="D73" s="644" t="s">
        <v>2407</v>
      </c>
      <c r="E73" s="736">
        <v>3000</v>
      </c>
      <c r="F73" s="737" t="s">
        <v>2408</v>
      </c>
      <c r="G73" s="738" t="s">
        <v>2409</v>
      </c>
      <c r="H73" s="644" t="s">
        <v>2268</v>
      </c>
      <c r="I73" s="636" t="s">
        <v>2180</v>
      </c>
      <c r="J73" s="644" t="s">
        <v>2180</v>
      </c>
      <c r="K73" s="739"/>
      <c r="L73" s="735">
        <v>2</v>
      </c>
      <c r="M73" s="736">
        <v>4517.3999999999996</v>
      </c>
      <c r="N73" s="735"/>
      <c r="O73" s="735"/>
      <c r="P73" s="736"/>
      <c r="Q73" s="214"/>
    </row>
    <row r="74" spans="1:17" ht="12" customHeight="1" x14ac:dyDescent="0.2">
      <c r="A74" s="735" t="s">
        <v>2169</v>
      </c>
      <c r="B74" s="735" t="s">
        <v>2170</v>
      </c>
      <c r="C74" s="735" t="s">
        <v>451</v>
      </c>
      <c r="D74" s="644" t="s">
        <v>2410</v>
      </c>
      <c r="E74" s="736">
        <v>6000</v>
      </c>
      <c r="F74" s="737" t="s">
        <v>2411</v>
      </c>
      <c r="G74" s="738" t="s">
        <v>2412</v>
      </c>
      <c r="H74" s="644" t="s">
        <v>2268</v>
      </c>
      <c r="I74" s="636" t="s">
        <v>2175</v>
      </c>
      <c r="J74" s="644"/>
      <c r="K74" s="739"/>
      <c r="L74" s="735">
        <v>2</v>
      </c>
      <c r="M74" s="736">
        <v>13726.8</v>
      </c>
      <c r="N74" s="735"/>
      <c r="O74" s="735">
        <v>6</v>
      </c>
      <c r="P74" s="736">
        <v>37043.61</v>
      </c>
      <c r="Q74" s="214"/>
    </row>
    <row r="75" spans="1:17" ht="12" customHeight="1" x14ac:dyDescent="0.2">
      <c r="A75" s="735" t="s">
        <v>2169</v>
      </c>
      <c r="B75" s="735" t="s">
        <v>2170</v>
      </c>
      <c r="C75" s="735" t="s">
        <v>451</v>
      </c>
      <c r="D75" s="644" t="s">
        <v>2413</v>
      </c>
      <c r="E75" s="736">
        <v>10000</v>
      </c>
      <c r="F75" s="737" t="s">
        <v>2414</v>
      </c>
      <c r="G75" s="738" t="s">
        <v>2415</v>
      </c>
      <c r="H75" s="644" t="s">
        <v>2416</v>
      </c>
      <c r="I75" s="636" t="s">
        <v>2175</v>
      </c>
      <c r="J75" s="644"/>
      <c r="K75" s="739"/>
      <c r="L75" s="735">
        <v>3</v>
      </c>
      <c r="M75" s="736">
        <v>31873.53</v>
      </c>
      <c r="N75" s="735"/>
      <c r="O75" s="735">
        <v>6</v>
      </c>
      <c r="P75" s="736">
        <v>61032.680000000008</v>
      </c>
      <c r="Q75" s="214"/>
    </row>
    <row r="76" spans="1:17" ht="12" customHeight="1" x14ac:dyDescent="0.2">
      <c r="A76" s="735" t="s">
        <v>2169</v>
      </c>
      <c r="B76" s="735" t="s">
        <v>2170</v>
      </c>
      <c r="C76" s="735" t="s">
        <v>451</v>
      </c>
      <c r="D76" s="644" t="s">
        <v>2417</v>
      </c>
      <c r="E76" s="736">
        <v>9000</v>
      </c>
      <c r="F76" s="737" t="s">
        <v>2418</v>
      </c>
      <c r="G76" s="738" t="s">
        <v>2419</v>
      </c>
      <c r="H76" s="644" t="s">
        <v>2420</v>
      </c>
      <c r="I76" s="636" t="s">
        <v>2175</v>
      </c>
      <c r="J76" s="644"/>
      <c r="K76" s="739"/>
      <c r="L76" s="735">
        <v>6</v>
      </c>
      <c r="M76" s="736">
        <v>57380.4</v>
      </c>
      <c r="N76" s="735"/>
      <c r="O76" s="735">
        <v>6</v>
      </c>
      <c r="P76" s="736">
        <v>55037.79</v>
      </c>
      <c r="Q76" s="214"/>
    </row>
    <row r="77" spans="1:17" ht="12" customHeight="1" x14ac:dyDescent="0.2">
      <c r="A77" s="735" t="s">
        <v>2169</v>
      </c>
      <c r="B77" s="735" t="s">
        <v>2170</v>
      </c>
      <c r="C77" s="735" t="s">
        <v>451</v>
      </c>
      <c r="D77" s="644" t="s">
        <v>2421</v>
      </c>
      <c r="E77" s="736">
        <v>4600</v>
      </c>
      <c r="F77" s="737" t="s">
        <v>2422</v>
      </c>
      <c r="G77" s="738" t="s">
        <v>2423</v>
      </c>
      <c r="H77" s="644" t="s">
        <v>2201</v>
      </c>
      <c r="I77" s="636"/>
      <c r="J77" s="644"/>
      <c r="K77" s="739"/>
      <c r="L77" s="735">
        <v>12</v>
      </c>
      <c r="M77" s="736">
        <v>58462.600000000013</v>
      </c>
      <c r="N77" s="735"/>
      <c r="O77" s="735">
        <v>6</v>
      </c>
      <c r="P77" s="736">
        <v>28644.9</v>
      </c>
      <c r="Q77" s="214"/>
    </row>
    <row r="78" spans="1:17" ht="12" customHeight="1" x14ac:dyDescent="0.2">
      <c r="A78" s="735" t="s">
        <v>2169</v>
      </c>
      <c r="B78" s="735" t="s">
        <v>2170</v>
      </c>
      <c r="C78" s="735" t="s">
        <v>451</v>
      </c>
      <c r="D78" s="644" t="s">
        <v>2424</v>
      </c>
      <c r="E78" s="736">
        <v>10000</v>
      </c>
      <c r="F78" s="737" t="s">
        <v>2425</v>
      </c>
      <c r="G78" s="738" t="s">
        <v>2426</v>
      </c>
      <c r="H78" s="644" t="s">
        <v>2427</v>
      </c>
      <c r="I78" s="636" t="s">
        <v>2428</v>
      </c>
      <c r="J78" s="644"/>
      <c r="K78" s="739"/>
      <c r="L78" s="735">
        <v>6</v>
      </c>
      <c r="M78" s="736">
        <v>56200.33</v>
      </c>
      <c r="N78" s="735"/>
      <c r="O78" s="735">
        <v>6</v>
      </c>
      <c r="P78" s="736">
        <v>61011.140000000007</v>
      </c>
      <c r="Q78" s="214"/>
    </row>
    <row r="79" spans="1:17" ht="12" customHeight="1" x14ac:dyDescent="0.2">
      <c r="A79" s="735" t="s">
        <v>2169</v>
      </c>
      <c r="B79" s="735" t="s">
        <v>2170</v>
      </c>
      <c r="C79" s="735" t="s">
        <v>451</v>
      </c>
      <c r="D79" s="644" t="s">
        <v>2429</v>
      </c>
      <c r="E79" s="736">
        <v>9000</v>
      </c>
      <c r="F79" s="737" t="s">
        <v>2430</v>
      </c>
      <c r="G79" s="738" t="s">
        <v>2431</v>
      </c>
      <c r="H79" s="644" t="s">
        <v>2201</v>
      </c>
      <c r="I79" s="636" t="s">
        <v>2201</v>
      </c>
      <c r="J79" s="644"/>
      <c r="K79" s="739"/>
      <c r="L79" s="735">
        <v>11</v>
      </c>
      <c r="M79" s="736">
        <v>90233.999999999985</v>
      </c>
      <c r="N79" s="735"/>
      <c r="O79" s="735">
        <v>1</v>
      </c>
      <c r="P79" s="736">
        <v>7549.15</v>
      </c>
      <c r="Q79" s="214"/>
    </row>
    <row r="80" spans="1:17" ht="12" customHeight="1" x14ac:dyDescent="0.2">
      <c r="A80" s="735" t="s">
        <v>2169</v>
      </c>
      <c r="B80" s="735" t="s">
        <v>2170</v>
      </c>
      <c r="C80" s="735" t="s">
        <v>451</v>
      </c>
      <c r="D80" s="644" t="s">
        <v>2432</v>
      </c>
      <c r="E80" s="736">
        <v>5000</v>
      </c>
      <c r="F80" s="737" t="s">
        <v>2433</v>
      </c>
      <c r="G80" s="738" t="s">
        <v>2434</v>
      </c>
      <c r="H80" s="644" t="s">
        <v>2201</v>
      </c>
      <c r="I80" s="636"/>
      <c r="J80" s="644"/>
      <c r="K80" s="739"/>
      <c r="L80" s="735">
        <v>12</v>
      </c>
      <c r="M80" s="736">
        <v>62875.80000000001</v>
      </c>
      <c r="N80" s="735"/>
      <c r="O80" s="735">
        <v>6</v>
      </c>
      <c r="P80" s="736">
        <v>30711.57</v>
      </c>
      <c r="Q80" s="214"/>
    </row>
    <row r="81" spans="1:17" ht="12" customHeight="1" x14ac:dyDescent="0.2">
      <c r="A81" s="735" t="s">
        <v>2169</v>
      </c>
      <c r="B81" s="735" t="s">
        <v>2170</v>
      </c>
      <c r="C81" s="735" t="s">
        <v>451</v>
      </c>
      <c r="D81" s="644" t="s">
        <v>2435</v>
      </c>
      <c r="E81" s="736">
        <v>4500</v>
      </c>
      <c r="F81" s="737" t="s">
        <v>2436</v>
      </c>
      <c r="G81" s="738" t="s">
        <v>2437</v>
      </c>
      <c r="H81" s="644" t="s">
        <v>2438</v>
      </c>
      <c r="I81" s="636" t="s">
        <v>2250</v>
      </c>
      <c r="J81" s="644" t="s">
        <v>2250</v>
      </c>
      <c r="K81" s="739"/>
      <c r="L81" s="735">
        <v>12</v>
      </c>
      <c r="M81" s="736">
        <v>55960.80000000001</v>
      </c>
      <c r="N81" s="735"/>
      <c r="O81" s="735">
        <v>6</v>
      </c>
      <c r="P81" s="736">
        <v>28027.120000000003</v>
      </c>
      <c r="Q81" s="214"/>
    </row>
    <row r="82" spans="1:17" ht="12" customHeight="1" x14ac:dyDescent="0.2">
      <c r="A82" s="735" t="s">
        <v>2169</v>
      </c>
      <c r="B82" s="735" t="s">
        <v>2170</v>
      </c>
      <c r="C82" s="735" t="s">
        <v>451</v>
      </c>
      <c r="D82" s="644" t="s">
        <v>2439</v>
      </c>
      <c r="E82" s="736">
        <v>8000</v>
      </c>
      <c r="F82" s="737" t="s">
        <v>2440</v>
      </c>
      <c r="G82" s="738" t="s">
        <v>2441</v>
      </c>
      <c r="H82" s="644" t="s">
        <v>2201</v>
      </c>
      <c r="I82" s="636"/>
      <c r="J82" s="644"/>
      <c r="K82" s="739"/>
      <c r="L82" s="735">
        <v>12</v>
      </c>
      <c r="M82" s="736">
        <v>98227.469999999987</v>
      </c>
      <c r="N82" s="735"/>
      <c r="O82" s="735">
        <v>6</v>
      </c>
      <c r="P82" s="736">
        <v>48778.23</v>
      </c>
      <c r="Q82" s="214"/>
    </row>
    <row r="83" spans="1:17" ht="12" customHeight="1" x14ac:dyDescent="0.2">
      <c r="A83" s="735" t="s">
        <v>2169</v>
      </c>
      <c r="B83" s="735" t="s">
        <v>2170</v>
      </c>
      <c r="C83" s="735" t="s">
        <v>451</v>
      </c>
      <c r="D83" s="644" t="s">
        <v>2442</v>
      </c>
      <c r="E83" s="736">
        <v>6000</v>
      </c>
      <c r="F83" s="737" t="s">
        <v>2443</v>
      </c>
      <c r="G83" s="738" t="s">
        <v>2444</v>
      </c>
      <c r="H83" s="644" t="s">
        <v>2445</v>
      </c>
      <c r="I83" s="636" t="s">
        <v>2180</v>
      </c>
      <c r="J83" s="644" t="s">
        <v>2180</v>
      </c>
      <c r="K83" s="739"/>
      <c r="L83" s="735">
        <v>12</v>
      </c>
      <c r="M83" s="736">
        <v>73960.800000000003</v>
      </c>
      <c r="N83" s="735"/>
      <c r="O83" s="735">
        <v>6</v>
      </c>
      <c r="P83" s="736">
        <v>37014.300000000003</v>
      </c>
      <c r="Q83" s="214"/>
    </row>
    <row r="84" spans="1:17" ht="12" customHeight="1" x14ac:dyDescent="0.2">
      <c r="A84" s="735" t="s">
        <v>2169</v>
      </c>
      <c r="B84" s="735" t="s">
        <v>2170</v>
      </c>
      <c r="C84" s="735" t="s">
        <v>451</v>
      </c>
      <c r="D84" s="644" t="s">
        <v>2446</v>
      </c>
      <c r="E84" s="736">
        <v>2500</v>
      </c>
      <c r="F84" s="737" t="s">
        <v>2447</v>
      </c>
      <c r="G84" s="738" t="s">
        <v>2448</v>
      </c>
      <c r="H84" s="644" t="s">
        <v>2253</v>
      </c>
      <c r="I84" s="636" t="s">
        <v>2254</v>
      </c>
      <c r="J84" s="644" t="s">
        <v>2254</v>
      </c>
      <c r="K84" s="739"/>
      <c r="L84" s="735">
        <v>12</v>
      </c>
      <c r="M84" s="736">
        <v>31960.800000000007</v>
      </c>
      <c r="N84" s="735"/>
      <c r="O84" s="735">
        <v>6</v>
      </c>
      <c r="P84" s="736">
        <v>16040.41</v>
      </c>
      <c r="Q84" s="214"/>
    </row>
    <row r="85" spans="1:17" ht="12" customHeight="1" x14ac:dyDescent="0.2">
      <c r="A85" s="735" t="s">
        <v>2169</v>
      </c>
      <c r="B85" s="735" t="s">
        <v>2170</v>
      </c>
      <c r="C85" s="735" t="s">
        <v>451</v>
      </c>
      <c r="D85" s="644" t="s">
        <v>2449</v>
      </c>
      <c r="E85" s="736">
        <v>3500</v>
      </c>
      <c r="F85" s="737" t="s">
        <v>2450</v>
      </c>
      <c r="G85" s="738" t="s">
        <v>2451</v>
      </c>
      <c r="H85" s="644" t="s">
        <v>2253</v>
      </c>
      <c r="I85" s="636" t="s">
        <v>2254</v>
      </c>
      <c r="J85" s="644" t="s">
        <v>2254</v>
      </c>
      <c r="K85" s="739"/>
      <c r="L85" s="735">
        <v>12</v>
      </c>
      <c r="M85" s="736">
        <v>43960.80000000001</v>
      </c>
      <c r="N85" s="735"/>
      <c r="O85" s="735">
        <v>6</v>
      </c>
      <c r="P85" s="736">
        <v>22040.63</v>
      </c>
      <c r="Q85" s="214"/>
    </row>
    <row r="86" spans="1:17" ht="12" customHeight="1" x14ac:dyDescent="0.2">
      <c r="A86" s="735" t="s">
        <v>2169</v>
      </c>
      <c r="B86" s="735" t="s">
        <v>2170</v>
      </c>
      <c r="C86" s="735" t="s">
        <v>451</v>
      </c>
      <c r="D86" s="644" t="s">
        <v>2190</v>
      </c>
      <c r="E86" s="736">
        <v>2500</v>
      </c>
      <c r="F86" s="737" t="s">
        <v>2452</v>
      </c>
      <c r="G86" s="738" t="s">
        <v>2453</v>
      </c>
      <c r="H86" s="644" t="s">
        <v>2184</v>
      </c>
      <c r="I86" s="636" t="s">
        <v>2454</v>
      </c>
      <c r="J86" s="644" t="s">
        <v>2184</v>
      </c>
      <c r="K86" s="739"/>
      <c r="L86" s="735">
        <v>12</v>
      </c>
      <c r="M86" s="736">
        <v>32014.060000000005</v>
      </c>
      <c r="N86" s="735"/>
      <c r="O86" s="735">
        <v>6</v>
      </c>
      <c r="P86" s="736">
        <v>16036.46</v>
      </c>
      <c r="Q86" s="214"/>
    </row>
    <row r="87" spans="1:17" ht="12" customHeight="1" x14ac:dyDescent="0.2">
      <c r="A87" s="735" t="s">
        <v>2169</v>
      </c>
      <c r="B87" s="735" t="s">
        <v>2170</v>
      </c>
      <c r="C87" s="735" t="s">
        <v>451</v>
      </c>
      <c r="D87" s="644" t="s">
        <v>2455</v>
      </c>
      <c r="E87" s="736">
        <v>8000</v>
      </c>
      <c r="F87" s="737" t="s">
        <v>2456</v>
      </c>
      <c r="G87" s="738" t="s">
        <v>2457</v>
      </c>
      <c r="H87" s="644" t="s">
        <v>2245</v>
      </c>
      <c r="I87" s="636" t="s">
        <v>2246</v>
      </c>
      <c r="J87" s="644" t="s">
        <v>2245</v>
      </c>
      <c r="K87" s="739"/>
      <c r="L87" s="735">
        <v>12</v>
      </c>
      <c r="M87" s="736">
        <v>97777.00999999998</v>
      </c>
      <c r="N87" s="735"/>
      <c r="O87" s="735">
        <v>2</v>
      </c>
      <c r="P87" s="736">
        <v>17114.96</v>
      </c>
      <c r="Q87" s="214"/>
    </row>
    <row r="88" spans="1:17" ht="12" customHeight="1" x14ac:dyDescent="0.2">
      <c r="A88" s="735" t="s">
        <v>2169</v>
      </c>
      <c r="B88" s="735" t="s">
        <v>2170</v>
      </c>
      <c r="C88" s="735" t="s">
        <v>451</v>
      </c>
      <c r="D88" s="644" t="s">
        <v>2458</v>
      </c>
      <c r="E88" s="736">
        <v>7000</v>
      </c>
      <c r="F88" s="737" t="s">
        <v>2459</v>
      </c>
      <c r="G88" s="738" t="s">
        <v>2460</v>
      </c>
      <c r="H88" s="644" t="s">
        <v>2461</v>
      </c>
      <c r="I88" s="636" t="s">
        <v>2250</v>
      </c>
      <c r="J88" s="644" t="s">
        <v>2250</v>
      </c>
      <c r="K88" s="739"/>
      <c r="L88" s="735">
        <v>12</v>
      </c>
      <c r="M88" s="736">
        <v>85960.799999999988</v>
      </c>
      <c r="N88" s="735"/>
      <c r="O88" s="735">
        <v>6</v>
      </c>
      <c r="P88" s="736">
        <v>43044.9</v>
      </c>
      <c r="Q88" s="214"/>
    </row>
    <row r="89" spans="1:17" ht="12" customHeight="1" x14ac:dyDescent="0.2">
      <c r="A89" s="735" t="s">
        <v>2169</v>
      </c>
      <c r="B89" s="735" t="s">
        <v>2170</v>
      </c>
      <c r="C89" s="735" t="s">
        <v>451</v>
      </c>
      <c r="D89" s="644" t="s">
        <v>2462</v>
      </c>
      <c r="E89" s="736">
        <v>2500</v>
      </c>
      <c r="F89" s="737" t="s">
        <v>2463</v>
      </c>
      <c r="G89" s="738" t="s">
        <v>2464</v>
      </c>
      <c r="H89" s="644" t="s">
        <v>2201</v>
      </c>
      <c r="I89" s="636"/>
      <c r="J89" s="644"/>
      <c r="K89" s="739"/>
      <c r="L89" s="735">
        <v>12</v>
      </c>
      <c r="M89" s="736">
        <v>31954.900000000005</v>
      </c>
      <c r="N89" s="735"/>
      <c r="O89" s="735">
        <v>6</v>
      </c>
      <c r="P89" s="736">
        <v>16002.689999999999</v>
      </c>
      <c r="Q89" s="214"/>
    </row>
    <row r="90" spans="1:17" ht="12" customHeight="1" x14ac:dyDescent="0.2">
      <c r="A90" s="735" t="s">
        <v>2169</v>
      </c>
      <c r="B90" s="735" t="s">
        <v>2170</v>
      </c>
      <c r="C90" s="735" t="s">
        <v>451</v>
      </c>
      <c r="D90" s="644" t="s">
        <v>2465</v>
      </c>
      <c r="E90" s="736">
        <v>8000</v>
      </c>
      <c r="F90" s="737" t="s">
        <v>2466</v>
      </c>
      <c r="G90" s="738" t="s">
        <v>2467</v>
      </c>
      <c r="H90" s="644" t="s">
        <v>2468</v>
      </c>
      <c r="I90" s="636" t="s">
        <v>2250</v>
      </c>
      <c r="J90" s="644" t="s">
        <v>2250</v>
      </c>
      <c r="K90" s="739"/>
      <c r="L90" s="735">
        <v>12</v>
      </c>
      <c r="M90" s="736">
        <v>97960.799999999988</v>
      </c>
      <c r="N90" s="735"/>
      <c r="O90" s="735">
        <v>6</v>
      </c>
      <c r="P90" s="736">
        <v>49043.75</v>
      </c>
      <c r="Q90" s="214"/>
    </row>
    <row r="91" spans="1:17" ht="12" customHeight="1" x14ac:dyDescent="0.2">
      <c r="A91" s="735" t="s">
        <v>2169</v>
      </c>
      <c r="B91" s="735" t="s">
        <v>2170</v>
      </c>
      <c r="C91" s="735" t="s">
        <v>451</v>
      </c>
      <c r="D91" s="644" t="s">
        <v>2469</v>
      </c>
      <c r="E91" s="736">
        <v>2500</v>
      </c>
      <c r="F91" s="737" t="s">
        <v>2470</v>
      </c>
      <c r="G91" s="738" t="s">
        <v>2471</v>
      </c>
      <c r="H91" s="644" t="s">
        <v>2201</v>
      </c>
      <c r="I91" s="636"/>
      <c r="J91" s="644"/>
      <c r="K91" s="739"/>
      <c r="L91" s="735">
        <v>12</v>
      </c>
      <c r="M91" s="736">
        <v>31845.590000000004</v>
      </c>
      <c r="N91" s="735"/>
      <c r="O91" s="735">
        <v>6</v>
      </c>
      <c r="P91" s="736">
        <v>15944.32</v>
      </c>
      <c r="Q91" s="214"/>
    </row>
    <row r="92" spans="1:17" ht="12" customHeight="1" x14ac:dyDescent="0.2">
      <c r="A92" s="735" t="s">
        <v>2169</v>
      </c>
      <c r="B92" s="735" t="s">
        <v>2170</v>
      </c>
      <c r="C92" s="735" t="s">
        <v>451</v>
      </c>
      <c r="D92" s="644" t="s">
        <v>2472</v>
      </c>
      <c r="E92" s="736">
        <v>15600</v>
      </c>
      <c r="F92" s="737" t="s">
        <v>2473</v>
      </c>
      <c r="G92" s="738" t="s">
        <v>2474</v>
      </c>
      <c r="H92" s="644" t="s">
        <v>2201</v>
      </c>
      <c r="I92" s="636"/>
      <c r="J92" s="644"/>
      <c r="K92" s="739"/>
      <c r="L92" s="735">
        <v>1</v>
      </c>
      <c r="M92" s="736">
        <v>5313.4</v>
      </c>
      <c r="N92" s="735"/>
      <c r="O92" s="735"/>
      <c r="P92" s="736"/>
      <c r="Q92" s="214"/>
    </row>
    <row r="93" spans="1:17" ht="12" customHeight="1" x14ac:dyDescent="0.2">
      <c r="A93" s="735" t="s">
        <v>2169</v>
      </c>
      <c r="B93" s="735" t="s">
        <v>2170</v>
      </c>
      <c r="C93" s="735" t="s">
        <v>451</v>
      </c>
      <c r="D93" s="644" t="s">
        <v>2475</v>
      </c>
      <c r="E93" s="736">
        <v>10000</v>
      </c>
      <c r="F93" s="737" t="s">
        <v>2476</v>
      </c>
      <c r="G93" s="738" t="s">
        <v>2477</v>
      </c>
      <c r="H93" s="644" t="s">
        <v>2478</v>
      </c>
      <c r="I93" s="636" t="s">
        <v>2250</v>
      </c>
      <c r="J93" s="644" t="s">
        <v>2250</v>
      </c>
      <c r="K93" s="739"/>
      <c r="L93" s="735">
        <v>12</v>
      </c>
      <c r="M93" s="736">
        <v>121960.79999999997</v>
      </c>
      <c r="N93" s="735"/>
      <c r="O93" s="735">
        <v>6</v>
      </c>
      <c r="P93" s="736">
        <v>59886.14</v>
      </c>
      <c r="Q93" s="214"/>
    </row>
    <row r="94" spans="1:17" ht="12" customHeight="1" x14ac:dyDescent="0.2">
      <c r="A94" s="735" t="s">
        <v>2169</v>
      </c>
      <c r="B94" s="735" t="s">
        <v>2170</v>
      </c>
      <c r="C94" s="735" t="s">
        <v>451</v>
      </c>
      <c r="D94" s="644" t="s">
        <v>2479</v>
      </c>
      <c r="E94" s="736">
        <v>11000</v>
      </c>
      <c r="F94" s="737" t="s">
        <v>2480</v>
      </c>
      <c r="G94" s="738" t="s">
        <v>2481</v>
      </c>
      <c r="H94" s="644" t="s">
        <v>2174</v>
      </c>
      <c r="I94" s="636" t="s">
        <v>2175</v>
      </c>
      <c r="J94" s="644" t="s">
        <v>2174</v>
      </c>
      <c r="K94" s="739"/>
      <c r="L94" s="735">
        <v>12</v>
      </c>
      <c r="M94" s="736">
        <v>134214.06999999995</v>
      </c>
      <c r="N94" s="735"/>
      <c r="O94" s="735">
        <v>6</v>
      </c>
      <c r="P94" s="736">
        <v>67044.899999999994</v>
      </c>
      <c r="Q94" s="214"/>
    </row>
    <row r="95" spans="1:17" ht="12" customHeight="1" x14ac:dyDescent="0.2">
      <c r="A95" s="735" t="s">
        <v>2169</v>
      </c>
      <c r="B95" s="735" t="s">
        <v>2170</v>
      </c>
      <c r="C95" s="735" t="s">
        <v>451</v>
      </c>
      <c r="D95" s="644" t="s">
        <v>2482</v>
      </c>
      <c r="E95" s="736">
        <v>9000</v>
      </c>
      <c r="F95" s="737" t="s">
        <v>2483</v>
      </c>
      <c r="G95" s="738" t="s">
        <v>2484</v>
      </c>
      <c r="H95" s="644" t="s">
        <v>2189</v>
      </c>
      <c r="I95" s="636" t="s">
        <v>2180</v>
      </c>
      <c r="J95" s="644" t="s">
        <v>2180</v>
      </c>
      <c r="K95" s="739"/>
      <c r="L95" s="735">
        <v>9</v>
      </c>
      <c r="M95" s="736">
        <v>76012.44</v>
      </c>
      <c r="N95" s="735"/>
      <c r="O95" s="735"/>
      <c r="P95" s="736"/>
      <c r="Q95" s="214"/>
    </row>
    <row r="96" spans="1:17" ht="12" customHeight="1" x14ac:dyDescent="0.2">
      <c r="A96" s="735" t="s">
        <v>2169</v>
      </c>
      <c r="B96" s="735" t="s">
        <v>2170</v>
      </c>
      <c r="C96" s="735" t="s">
        <v>451</v>
      </c>
      <c r="D96" s="644" t="s">
        <v>2485</v>
      </c>
      <c r="E96" s="736">
        <v>14000</v>
      </c>
      <c r="F96" s="737" t="s">
        <v>2486</v>
      </c>
      <c r="G96" s="738" t="s">
        <v>2487</v>
      </c>
      <c r="H96" s="644" t="s">
        <v>2174</v>
      </c>
      <c r="I96" s="636" t="s">
        <v>2180</v>
      </c>
      <c r="J96" s="644" t="s">
        <v>2180</v>
      </c>
      <c r="K96" s="739"/>
      <c r="L96" s="735">
        <v>12</v>
      </c>
      <c r="M96" s="736">
        <v>169847.39999999997</v>
      </c>
      <c r="N96" s="735"/>
      <c r="O96" s="735">
        <v>6</v>
      </c>
      <c r="P96" s="736">
        <v>85044.9</v>
      </c>
      <c r="Q96" s="214"/>
    </row>
    <row r="97" spans="1:17" ht="12" customHeight="1" x14ac:dyDescent="0.2">
      <c r="A97" s="735" t="s">
        <v>2169</v>
      </c>
      <c r="B97" s="735" t="s">
        <v>2170</v>
      </c>
      <c r="C97" s="735" t="s">
        <v>451</v>
      </c>
      <c r="D97" s="644" t="s">
        <v>2488</v>
      </c>
      <c r="E97" s="736">
        <v>8000</v>
      </c>
      <c r="F97" s="737" t="s">
        <v>2489</v>
      </c>
      <c r="G97" s="738" t="s">
        <v>2490</v>
      </c>
      <c r="H97" s="644" t="s">
        <v>2201</v>
      </c>
      <c r="I97" s="636"/>
      <c r="J97" s="644"/>
      <c r="K97" s="739"/>
      <c r="L97" s="735">
        <v>12</v>
      </c>
      <c r="M97" s="736">
        <v>97960.799999999988</v>
      </c>
      <c r="N97" s="735"/>
      <c r="O97" s="735">
        <v>6</v>
      </c>
      <c r="P97" s="736">
        <v>49044.9</v>
      </c>
      <c r="Q97" s="214"/>
    </row>
    <row r="98" spans="1:17" ht="12" customHeight="1" x14ac:dyDescent="0.2">
      <c r="A98" s="735" t="s">
        <v>2169</v>
      </c>
      <c r="B98" s="735" t="s">
        <v>2170</v>
      </c>
      <c r="C98" s="735" t="s">
        <v>451</v>
      </c>
      <c r="D98" s="644" t="s">
        <v>2491</v>
      </c>
      <c r="E98" s="736">
        <v>6000</v>
      </c>
      <c r="F98" s="737" t="s">
        <v>2492</v>
      </c>
      <c r="G98" s="738" t="s">
        <v>2493</v>
      </c>
      <c r="H98" s="644" t="s">
        <v>2494</v>
      </c>
      <c r="I98" s="636" t="s">
        <v>2180</v>
      </c>
      <c r="J98" s="644" t="s">
        <v>2180</v>
      </c>
      <c r="K98" s="739"/>
      <c r="L98" s="735">
        <v>3</v>
      </c>
      <c r="M98" s="736">
        <v>18340.199999999997</v>
      </c>
      <c r="N98" s="735"/>
      <c r="O98" s="735"/>
      <c r="P98" s="736"/>
      <c r="Q98" s="214"/>
    </row>
    <row r="99" spans="1:17" ht="12" customHeight="1" x14ac:dyDescent="0.2">
      <c r="A99" s="735" t="s">
        <v>2169</v>
      </c>
      <c r="B99" s="735" t="s">
        <v>2170</v>
      </c>
      <c r="C99" s="735" t="s">
        <v>451</v>
      </c>
      <c r="D99" s="644" t="s">
        <v>2495</v>
      </c>
      <c r="E99" s="736">
        <v>8000</v>
      </c>
      <c r="F99" s="737" t="s">
        <v>2496</v>
      </c>
      <c r="G99" s="738" t="s">
        <v>2497</v>
      </c>
      <c r="H99" s="644" t="s">
        <v>2201</v>
      </c>
      <c r="I99" s="636"/>
      <c r="J99" s="644"/>
      <c r="K99" s="739"/>
      <c r="L99" s="735">
        <v>12</v>
      </c>
      <c r="M99" s="736">
        <v>100224.79999999999</v>
      </c>
      <c r="N99" s="735"/>
      <c r="O99" s="735">
        <v>6</v>
      </c>
      <c r="P99" s="736">
        <v>49044.9</v>
      </c>
      <c r="Q99" s="214"/>
    </row>
    <row r="100" spans="1:17" ht="12" customHeight="1" x14ac:dyDescent="0.2">
      <c r="A100" s="735" t="s">
        <v>2169</v>
      </c>
      <c r="B100" s="735" t="s">
        <v>2170</v>
      </c>
      <c r="C100" s="735" t="s">
        <v>451</v>
      </c>
      <c r="D100" s="644" t="s">
        <v>2498</v>
      </c>
      <c r="E100" s="736">
        <v>14000</v>
      </c>
      <c r="F100" s="737" t="s">
        <v>2499</v>
      </c>
      <c r="G100" s="738" t="s">
        <v>2500</v>
      </c>
      <c r="H100" s="644" t="s">
        <v>2189</v>
      </c>
      <c r="I100" s="636" t="s">
        <v>2250</v>
      </c>
      <c r="J100" s="644" t="s">
        <v>2250</v>
      </c>
      <c r="K100" s="739"/>
      <c r="L100" s="735">
        <v>9</v>
      </c>
      <c r="M100" s="736">
        <v>116520.59999999998</v>
      </c>
      <c r="N100" s="735"/>
      <c r="O100" s="735">
        <v>6</v>
      </c>
      <c r="P100" s="736">
        <v>85044.9</v>
      </c>
      <c r="Q100" s="214"/>
    </row>
    <row r="101" spans="1:17" ht="12" customHeight="1" x14ac:dyDescent="0.2">
      <c r="A101" s="735" t="s">
        <v>2169</v>
      </c>
      <c r="B101" s="735" t="s">
        <v>2170</v>
      </c>
      <c r="C101" s="735" t="s">
        <v>451</v>
      </c>
      <c r="D101" s="644" t="s">
        <v>2501</v>
      </c>
      <c r="E101" s="736">
        <v>4000</v>
      </c>
      <c r="F101" s="737" t="s">
        <v>2502</v>
      </c>
      <c r="G101" s="738" t="s">
        <v>2503</v>
      </c>
      <c r="H101" s="644" t="s">
        <v>2504</v>
      </c>
      <c r="I101" s="636" t="s">
        <v>2254</v>
      </c>
      <c r="J101" s="644" t="s">
        <v>2254</v>
      </c>
      <c r="K101" s="739"/>
      <c r="L101" s="735">
        <v>12</v>
      </c>
      <c r="M101" s="736">
        <v>49826.380000000005</v>
      </c>
      <c r="N101" s="735"/>
      <c r="O101" s="735">
        <v>6</v>
      </c>
      <c r="P101" s="736">
        <v>25044.9</v>
      </c>
      <c r="Q101" s="214"/>
    </row>
    <row r="102" spans="1:17" ht="12" customHeight="1" x14ac:dyDescent="0.2">
      <c r="A102" s="735" t="s">
        <v>2169</v>
      </c>
      <c r="B102" s="735" t="s">
        <v>2170</v>
      </c>
      <c r="C102" s="735" t="s">
        <v>451</v>
      </c>
      <c r="D102" s="644" t="s">
        <v>2505</v>
      </c>
      <c r="E102" s="736">
        <v>3200</v>
      </c>
      <c r="F102" s="737" t="s">
        <v>2506</v>
      </c>
      <c r="G102" s="738" t="s">
        <v>2507</v>
      </c>
      <c r="H102" s="644" t="s">
        <v>2508</v>
      </c>
      <c r="I102" s="636" t="s">
        <v>2284</v>
      </c>
      <c r="J102" s="644" t="s">
        <v>2284</v>
      </c>
      <c r="K102" s="739"/>
      <c r="L102" s="735">
        <v>12</v>
      </c>
      <c r="M102" s="736">
        <v>40360.80000000001</v>
      </c>
      <c r="N102" s="735"/>
      <c r="O102" s="735">
        <v>6</v>
      </c>
      <c r="P102" s="736">
        <v>20244.900000000001</v>
      </c>
      <c r="Q102" s="214"/>
    </row>
    <row r="103" spans="1:17" ht="12" customHeight="1" x14ac:dyDescent="0.2">
      <c r="A103" s="735" t="s">
        <v>2169</v>
      </c>
      <c r="B103" s="735" t="s">
        <v>2170</v>
      </c>
      <c r="C103" s="735" t="s">
        <v>451</v>
      </c>
      <c r="D103" s="644" t="s">
        <v>2225</v>
      </c>
      <c r="E103" s="736">
        <v>9500</v>
      </c>
      <c r="F103" s="737" t="s">
        <v>2509</v>
      </c>
      <c r="G103" s="738" t="s">
        <v>2510</v>
      </c>
      <c r="H103" s="644" t="s">
        <v>2179</v>
      </c>
      <c r="I103" s="636" t="s">
        <v>2250</v>
      </c>
      <c r="J103" s="644" t="s">
        <v>2250</v>
      </c>
      <c r="K103" s="739"/>
      <c r="L103" s="735">
        <v>12</v>
      </c>
      <c r="M103" s="736">
        <v>116277.46999999997</v>
      </c>
      <c r="N103" s="735"/>
      <c r="O103" s="735">
        <v>6</v>
      </c>
      <c r="P103" s="736">
        <v>58044.9</v>
      </c>
      <c r="Q103" s="214"/>
    </row>
    <row r="104" spans="1:17" ht="12" customHeight="1" x14ac:dyDescent="0.2">
      <c r="A104" s="735" t="s">
        <v>2169</v>
      </c>
      <c r="B104" s="735" t="s">
        <v>2170</v>
      </c>
      <c r="C104" s="735" t="s">
        <v>451</v>
      </c>
      <c r="D104" s="644" t="s">
        <v>2511</v>
      </c>
      <c r="E104" s="736">
        <v>3500</v>
      </c>
      <c r="F104" s="737" t="s">
        <v>2512</v>
      </c>
      <c r="G104" s="738" t="s">
        <v>2513</v>
      </c>
      <c r="H104" s="644" t="s">
        <v>2184</v>
      </c>
      <c r="I104" s="636" t="s">
        <v>2254</v>
      </c>
      <c r="J104" s="644" t="s">
        <v>2254</v>
      </c>
      <c r="K104" s="739"/>
      <c r="L104" s="735">
        <v>12</v>
      </c>
      <c r="M104" s="736">
        <v>43960.80000000001</v>
      </c>
      <c r="N104" s="735"/>
      <c r="O104" s="735">
        <v>6</v>
      </c>
      <c r="P104" s="736">
        <v>22044.9</v>
      </c>
      <c r="Q104" s="214"/>
    </row>
    <row r="105" spans="1:17" ht="12" customHeight="1" x14ac:dyDescent="0.2">
      <c r="A105" s="735" t="s">
        <v>2169</v>
      </c>
      <c r="B105" s="735" t="s">
        <v>2170</v>
      </c>
      <c r="C105" s="735" t="s">
        <v>451</v>
      </c>
      <c r="D105" s="644" t="s">
        <v>2511</v>
      </c>
      <c r="E105" s="736">
        <v>3500</v>
      </c>
      <c r="F105" s="737" t="s">
        <v>2514</v>
      </c>
      <c r="G105" s="738" t="s">
        <v>2515</v>
      </c>
      <c r="H105" s="644" t="s">
        <v>2201</v>
      </c>
      <c r="I105" s="636"/>
      <c r="J105" s="644"/>
      <c r="K105" s="739"/>
      <c r="L105" s="735">
        <v>12</v>
      </c>
      <c r="M105" s="736">
        <v>43960.80000000001</v>
      </c>
      <c r="N105" s="735"/>
      <c r="O105" s="735">
        <v>6</v>
      </c>
      <c r="P105" s="736">
        <v>22044.9</v>
      </c>
      <c r="Q105" s="214"/>
    </row>
    <row r="106" spans="1:17" ht="12" customHeight="1" x14ac:dyDescent="0.2">
      <c r="A106" s="735" t="s">
        <v>2169</v>
      </c>
      <c r="B106" s="735" t="s">
        <v>2170</v>
      </c>
      <c r="C106" s="735" t="s">
        <v>451</v>
      </c>
      <c r="D106" s="644" t="s">
        <v>2446</v>
      </c>
      <c r="E106" s="736">
        <v>2500</v>
      </c>
      <c r="F106" s="737" t="s">
        <v>2516</v>
      </c>
      <c r="G106" s="738" t="s">
        <v>2517</v>
      </c>
      <c r="H106" s="644" t="s">
        <v>2518</v>
      </c>
      <c r="I106" s="636" t="s">
        <v>2213</v>
      </c>
      <c r="J106" s="644" t="s">
        <v>2213</v>
      </c>
      <c r="K106" s="739"/>
      <c r="L106" s="735">
        <v>12</v>
      </c>
      <c r="M106" s="736">
        <v>31960.800000000007</v>
      </c>
      <c r="N106" s="735"/>
      <c r="O106" s="735">
        <v>6</v>
      </c>
      <c r="P106" s="736">
        <v>16044.9</v>
      </c>
      <c r="Q106" s="214"/>
    </row>
    <row r="107" spans="1:17" ht="12" customHeight="1" x14ac:dyDescent="0.2">
      <c r="A107" s="735" t="s">
        <v>2169</v>
      </c>
      <c r="B107" s="735" t="s">
        <v>2232</v>
      </c>
      <c r="C107" s="735" t="s">
        <v>451</v>
      </c>
      <c r="D107" s="644" t="s">
        <v>2519</v>
      </c>
      <c r="E107" s="736">
        <v>6000</v>
      </c>
      <c r="F107" s="737" t="s">
        <v>2520</v>
      </c>
      <c r="G107" s="738" t="s">
        <v>2521</v>
      </c>
      <c r="H107" s="644" t="s">
        <v>2522</v>
      </c>
      <c r="I107" s="636" t="s">
        <v>2284</v>
      </c>
      <c r="J107" s="644" t="s">
        <v>2284</v>
      </c>
      <c r="K107" s="739"/>
      <c r="L107" s="735">
        <v>12</v>
      </c>
      <c r="M107" s="736">
        <v>73958.62</v>
      </c>
      <c r="N107" s="735"/>
      <c r="O107" s="735">
        <v>5</v>
      </c>
      <c r="P107" s="736">
        <v>30869.89</v>
      </c>
      <c r="Q107" s="214"/>
    </row>
    <row r="108" spans="1:17" ht="12" customHeight="1" x14ac:dyDescent="0.2">
      <c r="A108" s="735" t="s">
        <v>2169</v>
      </c>
      <c r="B108" s="735" t="s">
        <v>2232</v>
      </c>
      <c r="C108" s="735" t="s">
        <v>451</v>
      </c>
      <c r="D108" s="644" t="s">
        <v>2523</v>
      </c>
      <c r="E108" s="736">
        <v>9000</v>
      </c>
      <c r="F108" s="737" t="s">
        <v>2524</v>
      </c>
      <c r="G108" s="738" t="s">
        <v>2525</v>
      </c>
      <c r="H108" s="644" t="s">
        <v>2317</v>
      </c>
      <c r="I108" s="636" t="s">
        <v>2175</v>
      </c>
      <c r="J108" s="644" t="s">
        <v>2317</v>
      </c>
      <c r="K108" s="739"/>
      <c r="L108" s="735">
        <v>12</v>
      </c>
      <c r="M108" s="736">
        <v>110255.08999999998</v>
      </c>
      <c r="N108" s="735"/>
      <c r="O108" s="735">
        <v>5</v>
      </c>
      <c r="P108" s="736">
        <v>45869.46</v>
      </c>
      <c r="Q108" s="214"/>
    </row>
    <row r="109" spans="1:17" ht="12" customHeight="1" x14ac:dyDescent="0.2">
      <c r="A109" s="735" t="s">
        <v>2169</v>
      </c>
      <c r="B109" s="735" t="s">
        <v>2170</v>
      </c>
      <c r="C109" s="735" t="s">
        <v>451</v>
      </c>
      <c r="D109" s="644" t="s">
        <v>2526</v>
      </c>
      <c r="E109" s="736">
        <v>15600</v>
      </c>
      <c r="F109" s="737" t="s">
        <v>2527</v>
      </c>
      <c r="G109" s="738" t="s">
        <v>2528</v>
      </c>
      <c r="H109" s="644" t="s">
        <v>2236</v>
      </c>
      <c r="I109" s="636" t="s">
        <v>2175</v>
      </c>
      <c r="J109" s="644"/>
      <c r="K109" s="739"/>
      <c r="L109" s="735">
        <v>8</v>
      </c>
      <c r="M109" s="736">
        <v>117787.19999999998</v>
      </c>
      <c r="N109" s="735"/>
      <c r="O109" s="735">
        <v>3</v>
      </c>
      <c r="P109" s="736">
        <v>40649.119999999995</v>
      </c>
      <c r="Q109" s="214"/>
    </row>
    <row r="110" spans="1:17" ht="12" customHeight="1" x14ac:dyDescent="0.2">
      <c r="A110" s="735" t="s">
        <v>2169</v>
      </c>
      <c r="B110" s="735" t="s">
        <v>2170</v>
      </c>
      <c r="C110" s="735" t="s">
        <v>451</v>
      </c>
      <c r="D110" s="644" t="s">
        <v>2529</v>
      </c>
      <c r="E110" s="736">
        <v>15600</v>
      </c>
      <c r="F110" s="737" t="s">
        <v>2530</v>
      </c>
      <c r="G110" s="738" t="s">
        <v>2531</v>
      </c>
      <c r="H110" s="644" t="s">
        <v>2532</v>
      </c>
      <c r="I110" s="636" t="s">
        <v>2175</v>
      </c>
      <c r="J110" s="644" t="s">
        <v>2532</v>
      </c>
      <c r="K110" s="739"/>
      <c r="L110" s="735">
        <v>12</v>
      </c>
      <c r="M110" s="736">
        <v>189047.39999999997</v>
      </c>
      <c r="N110" s="735"/>
      <c r="O110" s="735">
        <v>6</v>
      </c>
      <c r="P110" s="736">
        <v>93084.9</v>
      </c>
      <c r="Q110" s="214"/>
    </row>
    <row r="111" spans="1:17" ht="12" customHeight="1" x14ac:dyDescent="0.2">
      <c r="A111" s="735" t="s">
        <v>2169</v>
      </c>
      <c r="B111" s="735" t="s">
        <v>2170</v>
      </c>
      <c r="C111" s="735" t="s">
        <v>451</v>
      </c>
      <c r="D111" s="644" t="s">
        <v>2533</v>
      </c>
      <c r="E111" s="736">
        <v>3000</v>
      </c>
      <c r="F111" s="737" t="s">
        <v>2534</v>
      </c>
      <c r="G111" s="738" t="s">
        <v>2535</v>
      </c>
      <c r="H111" s="644" t="s">
        <v>2536</v>
      </c>
      <c r="I111" s="636" t="s">
        <v>2393</v>
      </c>
      <c r="J111" s="644" t="s">
        <v>2393</v>
      </c>
      <c r="K111" s="739"/>
      <c r="L111" s="735">
        <v>12</v>
      </c>
      <c r="M111" s="736">
        <v>37960.80000000001</v>
      </c>
      <c r="N111" s="735"/>
      <c r="O111" s="735">
        <v>6</v>
      </c>
      <c r="P111" s="736">
        <v>19033.7</v>
      </c>
      <c r="Q111" s="214"/>
    </row>
    <row r="112" spans="1:17" ht="12" customHeight="1" x14ac:dyDescent="0.2">
      <c r="A112" s="735" t="s">
        <v>2169</v>
      </c>
      <c r="B112" s="735" t="s">
        <v>2170</v>
      </c>
      <c r="C112" s="735" t="s">
        <v>451</v>
      </c>
      <c r="D112" s="644" t="s">
        <v>2537</v>
      </c>
      <c r="E112" s="736">
        <v>13000</v>
      </c>
      <c r="F112" s="737" t="s">
        <v>2538</v>
      </c>
      <c r="G112" s="738" t="s">
        <v>2539</v>
      </c>
      <c r="H112" s="644" t="s">
        <v>2201</v>
      </c>
      <c r="I112" s="636" t="s">
        <v>2201</v>
      </c>
      <c r="J112" s="644"/>
      <c r="K112" s="739"/>
      <c r="L112" s="735">
        <v>5</v>
      </c>
      <c r="M112" s="736">
        <v>57086.93</v>
      </c>
      <c r="N112" s="735"/>
      <c r="O112" s="735"/>
      <c r="P112" s="736"/>
      <c r="Q112" s="214"/>
    </row>
    <row r="113" spans="1:17" ht="12" customHeight="1" x14ac:dyDescent="0.2">
      <c r="A113" s="735" t="s">
        <v>2169</v>
      </c>
      <c r="B113" s="735" t="s">
        <v>2170</v>
      </c>
      <c r="C113" s="735" t="s">
        <v>451</v>
      </c>
      <c r="D113" s="644" t="s">
        <v>2540</v>
      </c>
      <c r="E113" s="736">
        <v>13000</v>
      </c>
      <c r="F113" s="737" t="s">
        <v>2541</v>
      </c>
      <c r="G113" s="738" t="s">
        <v>2542</v>
      </c>
      <c r="H113" s="644" t="s">
        <v>2543</v>
      </c>
      <c r="I113" s="636" t="s">
        <v>2544</v>
      </c>
      <c r="J113" s="644" t="s">
        <v>2544</v>
      </c>
      <c r="K113" s="739"/>
      <c r="L113" s="735">
        <v>12</v>
      </c>
      <c r="M113" s="736">
        <v>129227.39999999998</v>
      </c>
      <c r="N113" s="735"/>
      <c r="O113" s="735">
        <v>6</v>
      </c>
      <c r="P113" s="736">
        <v>78955.25</v>
      </c>
      <c r="Q113" s="214"/>
    </row>
    <row r="114" spans="1:17" ht="12" customHeight="1" x14ac:dyDescent="0.2">
      <c r="A114" s="735" t="s">
        <v>2169</v>
      </c>
      <c r="B114" s="735" t="s">
        <v>2170</v>
      </c>
      <c r="C114" s="735" t="s">
        <v>451</v>
      </c>
      <c r="D114" s="644" t="s">
        <v>2545</v>
      </c>
      <c r="E114" s="736">
        <v>8000</v>
      </c>
      <c r="F114" s="737" t="s">
        <v>2546</v>
      </c>
      <c r="G114" s="738" t="s">
        <v>2547</v>
      </c>
      <c r="H114" s="644" t="s">
        <v>2201</v>
      </c>
      <c r="I114" s="636"/>
      <c r="J114" s="644"/>
      <c r="K114" s="739"/>
      <c r="L114" s="735">
        <v>12</v>
      </c>
      <c r="M114" s="736">
        <v>97936.12999999999</v>
      </c>
      <c r="N114" s="735"/>
      <c r="O114" s="735">
        <v>6</v>
      </c>
      <c r="P114" s="736">
        <v>49021.91</v>
      </c>
      <c r="Q114" s="214"/>
    </row>
    <row r="115" spans="1:17" ht="12" customHeight="1" x14ac:dyDescent="0.2">
      <c r="A115" s="735" t="s">
        <v>2169</v>
      </c>
      <c r="B115" s="735" t="s">
        <v>2170</v>
      </c>
      <c r="C115" s="735" t="s">
        <v>451</v>
      </c>
      <c r="D115" s="644" t="s">
        <v>2548</v>
      </c>
      <c r="E115" s="736">
        <v>3000</v>
      </c>
      <c r="F115" s="737" t="s">
        <v>2549</v>
      </c>
      <c r="G115" s="738" t="s">
        <v>2550</v>
      </c>
      <c r="H115" s="644" t="s">
        <v>2551</v>
      </c>
      <c r="I115" s="636" t="s">
        <v>2218</v>
      </c>
      <c r="J115" s="644"/>
      <c r="K115" s="739"/>
      <c r="L115" s="735">
        <v>5</v>
      </c>
      <c r="M115" s="736">
        <v>13223.9</v>
      </c>
      <c r="N115" s="735"/>
      <c r="O115" s="735">
        <v>6</v>
      </c>
      <c r="P115" s="736">
        <v>18806.54</v>
      </c>
      <c r="Q115" s="214"/>
    </row>
    <row r="116" spans="1:17" ht="12" customHeight="1" x14ac:dyDescent="0.2">
      <c r="A116" s="735" t="s">
        <v>2169</v>
      </c>
      <c r="B116" s="735" t="s">
        <v>2170</v>
      </c>
      <c r="C116" s="735" t="s">
        <v>451</v>
      </c>
      <c r="D116" s="644" t="s">
        <v>2552</v>
      </c>
      <c r="E116" s="736">
        <v>13000</v>
      </c>
      <c r="F116" s="737" t="s">
        <v>2553</v>
      </c>
      <c r="G116" s="738" t="s">
        <v>2554</v>
      </c>
      <c r="H116" s="644" t="s">
        <v>2555</v>
      </c>
      <c r="I116" s="636" t="s">
        <v>2180</v>
      </c>
      <c r="J116" s="644" t="s">
        <v>2180</v>
      </c>
      <c r="K116" s="739"/>
      <c r="L116" s="735">
        <v>9</v>
      </c>
      <c r="M116" s="736">
        <v>106620.58999999998</v>
      </c>
      <c r="N116" s="735"/>
      <c r="O116" s="735"/>
      <c r="P116" s="736"/>
      <c r="Q116" s="214"/>
    </row>
    <row r="117" spans="1:17" ht="12" customHeight="1" x14ac:dyDescent="0.2">
      <c r="A117" s="735" t="s">
        <v>2169</v>
      </c>
      <c r="B117" s="735" t="s">
        <v>2170</v>
      </c>
      <c r="C117" s="735" t="s">
        <v>451</v>
      </c>
      <c r="D117" s="644" t="s">
        <v>2556</v>
      </c>
      <c r="E117" s="736">
        <v>8500</v>
      </c>
      <c r="F117" s="737" t="s">
        <v>2557</v>
      </c>
      <c r="G117" s="738" t="s">
        <v>2558</v>
      </c>
      <c r="H117" s="644" t="s">
        <v>2559</v>
      </c>
      <c r="I117" s="636" t="s">
        <v>2180</v>
      </c>
      <c r="J117" s="644" t="s">
        <v>2180</v>
      </c>
      <c r="K117" s="739"/>
      <c r="L117" s="735">
        <v>12</v>
      </c>
      <c r="M117" s="736">
        <v>105094.12999999998</v>
      </c>
      <c r="N117" s="735"/>
      <c r="O117" s="735">
        <v>6</v>
      </c>
      <c r="P117" s="736">
        <v>51477.630000000005</v>
      </c>
      <c r="Q117" s="214"/>
    </row>
    <row r="118" spans="1:17" ht="12" customHeight="1" x14ac:dyDescent="0.2">
      <c r="A118" s="735" t="s">
        <v>2169</v>
      </c>
      <c r="B118" s="735" t="s">
        <v>2170</v>
      </c>
      <c r="C118" s="735" t="s">
        <v>451</v>
      </c>
      <c r="D118" s="644" t="s">
        <v>2560</v>
      </c>
      <c r="E118" s="736">
        <v>3500</v>
      </c>
      <c r="F118" s="737" t="s">
        <v>2561</v>
      </c>
      <c r="G118" s="738" t="s">
        <v>2562</v>
      </c>
      <c r="H118" s="644" t="s">
        <v>2384</v>
      </c>
      <c r="I118" s="636" t="s">
        <v>2241</v>
      </c>
      <c r="J118" s="644" t="s">
        <v>2241</v>
      </c>
      <c r="K118" s="739"/>
      <c r="L118" s="735">
        <v>12</v>
      </c>
      <c r="M118" s="736">
        <v>43847.400000000009</v>
      </c>
      <c r="N118" s="735"/>
      <c r="O118" s="735">
        <v>6</v>
      </c>
      <c r="P118" s="736">
        <v>22044.9</v>
      </c>
      <c r="Q118" s="214"/>
    </row>
    <row r="119" spans="1:17" ht="12" customHeight="1" x14ac:dyDescent="0.2">
      <c r="A119" s="735" t="s">
        <v>2169</v>
      </c>
      <c r="B119" s="735" t="s">
        <v>2170</v>
      </c>
      <c r="C119" s="735" t="s">
        <v>451</v>
      </c>
      <c r="D119" s="644" t="s">
        <v>2563</v>
      </c>
      <c r="E119" s="736">
        <v>8000</v>
      </c>
      <c r="F119" s="737" t="s">
        <v>2564</v>
      </c>
      <c r="G119" s="738" t="s">
        <v>2565</v>
      </c>
      <c r="H119" s="644" t="s">
        <v>2179</v>
      </c>
      <c r="I119" s="636" t="s">
        <v>2180</v>
      </c>
      <c r="J119" s="644" t="s">
        <v>2180</v>
      </c>
      <c r="K119" s="739"/>
      <c r="L119" s="735">
        <v>12</v>
      </c>
      <c r="M119" s="736">
        <v>97959.349999999991</v>
      </c>
      <c r="N119" s="735"/>
      <c r="O119" s="735">
        <v>6</v>
      </c>
      <c r="P119" s="736">
        <v>49031.68</v>
      </c>
      <c r="Q119" s="214"/>
    </row>
    <row r="120" spans="1:17" ht="12" customHeight="1" x14ac:dyDescent="0.2">
      <c r="A120" s="735" t="s">
        <v>2169</v>
      </c>
      <c r="B120" s="735" t="s">
        <v>2170</v>
      </c>
      <c r="C120" s="735" t="s">
        <v>451</v>
      </c>
      <c r="D120" s="644" t="s">
        <v>2566</v>
      </c>
      <c r="E120" s="736">
        <v>5000</v>
      </c>
      <c r="F120" s="737" t="s">
        <v>2567</v>
      </c>
      <c r="G120" s="738" t="s">
        <v>2568</v>
      </c>
      <c r="H120" s="644" t="s">
        <v>2569</v>
      </c>
      <c r="I120" s="636" t="s">
        <v>2284</v>
      </c>
      <c r="J120" s="644" t="s">
        <v>2284</v>
      </c>
      <c r="K120" s="739"/>
      <c r="L120" s="735">
        <v>12</v>
      </c>
      <c r="M120" s="736">
        <v>61798.87000000001</v>
      </c>
      <c r="N120" s="735"/>
      <c r="O120" s="735">
        <v>6</v>
      </c>
      <c r="P120" s="736">
        <v>30862.78</v>
      </c>
      <c r="Q120" s="214"/>
    </row>
    <row r="121" spans="1:17" ht="12" customHeight="1" x14ac:dyDescent="0.2">
      <c r="A121" s="735" t="s">
        <v>2169</v>
      </c>
      <c r="B121" s="735" t="s">
        <v>2170</v>
      </c>
      <c r="C121" s="735" t="s">
        <v>451</v>
      </c>
      <c r="D121" s="644" t="s">
        <v>2570</v>
      </c>
      <c r="E121" s="736">
        <v>6000</v>
      </c>
      <c r="F121" s="737" t="s">
        <v>2571</v>
      </c>
      <c r="G121" s="738" t="s">
        <v>2572</v>
      </c>
      <c r="H121" s="644" t="s">
        <v>2346</v>
      </c>
      <c r="I121" s="636" t="s">
        <v>2284</v>
      </c>
      <c r="J121" s="644" t="s">
        <v>2284</v>
      </c>
      <c r="K121" s="739"/>
      <c r="L121" s="735">
        <v>12</v>
      </c>
      <c r="M121" s="736">
        <v>74160.800000000003</v>
      </c>
      <c r="N121" s="735"/>
      <c r="O121" s="735">
        <v>6</v>
      </c>
      <c r="P121" s="736">
        <v>37044.9</v>
      </c>
      <c r="Q121" s="214"/>
    </row>
    <row r="122" spans="1:17" ht="12" customHeight="1" x14ac:dyDescent="0.2">
      <c r="A122" s="735" t="s">
        <v>2169</v>
      </c>
      <c r="B122" s="735" t="s">
        <v>2170</v>
      </c>
      <c r="C122" s="735" t="s">
        <v>451</v>
      </c>
      <c r="D122" s="644" t="s">
        <v>2573</v>
      </c>
      <c r="E122" s="736">
        <v>6000</v>
      </c>
      <c r="F122" s="737" t="s">
        <v>2574</v>
      </c>
      <c r="G122" s="738" t="s">
        <v>2575</v>
      </c>
      <c r="H122" s="644" t="s">
        <v>2201</v>
      </c>
      <c r="I122" s="636"/>
      <c r="J122" s="644"/>
      <c r="K122" s="739"/>
      <c r="L122" s="735">
        <v>10</v>
      </c>
      <c r="M122" s="736">
        <v>61416.040000000008</v>
      </c>
      <c r="N122" s="735"/>
      <c r="O122" s="735"/>
      <c r="P122" s="736"/>
      <c r="Q122" s="214"/>
    </row>
    <row r="123" spans="1:17" ht="12" customHeight="1" x14ac:dyDescent="0.2">
      <c r="A123" s="735" t="s">
        <v>2169</v>
      </c>
      <c r="B123" s="735" t="s">
        <v>2170</v>
      </c>
      <c r="C123" s="735" t="s">
        <v>451</v>
      </c>
      <c r="D123" s="644" t="s">
        <v>2576</v>
      </c>
      <c r="E123" s="736">
        <v>10500</v>
      </c>
      <c r="F123" s="737" t="s">
        <v>2577</v>
      </c>
      <c r="G123" s="738" t="s">
        <v>2578</v>
      </c>
      <c r="H123" s="644" t="s">
        <v>2197</v>
      </c>
      <c r="I123" s="636" t="s">
        <v>2180</v>
      </c>
      <c r="J123" s="644" t="s">
        <v>2180</v>
      </c>
      <c r="K123" s="739"/>
      <c r="L123" s="735">
        <v>12</v>
      </c>
      <c r="M123" s="736">
        <v>127847.39999999998</v>
      </c>
      <c r="N123" s="735"/>
      <c r="O123" s="735">
        <v>6</v>
      </c>
      <c r="P123" s="736">
        <v>64044.15</v>
      </c>
      <c r="Q123" s="214"/>
    </row>
    <row r="124" spans="1:17" ht="12" customHeight="1" x14ac:dyDescent="0.2">
      <c r="A124" s="735" t="s">
        <v>2169</v>
      </c>
      <c r="B124" s="735" t="s">
        <v>2170</v>
      </c>
      <c r="C124" s="735" t="s">
        <v>451</v>
      </c>
      <c r="D124" s="644" t="s">
        <v>2579</v>
      </c>
      <c r="E124" s="736">
        <v>9500</v>
      </c>
      <c r="F124" s="737" t="s">
        <v>2580</v>
      </c>
      <c r="G124" s="738" t="s">
        <v>2581</v>
      </c>
      <c r="H124" s="644" t="s">
        <v>2189</v>
      </c>
      <c r="I124" s="636" t="s">
        <v>2180</v>
      </c>
      <c r="J124" s="644" t="s">
        <v>2180</v>
      </c>
      <c r="K124" s="739"/>
      <c r="L124" s="735">
        <v>12</v>
      </c>
      <c r="M124" s="736">
        <v>115960.79999999997</v>
      </c>
      <c r="N124" s="735"/>
      <c r="O124" s="735">
        <v>6</v>
      </c>
      <c r="P124" s="736">
        <v>58044.9</v>
      </c>
      <c r="Q124" s="214"/>
    </row>
    <row r="125" spans="1:17" ht="12" customHeight="1" x14ac:dyDescent="0.2">
      <c r="A125" s="735" t="s">
        <v>2169</v>
      </c>
      <c r="B125" s="735" t="s">
        <v>2170</v>
      </c>
      <c r="C125" s="735" t="s">
        <v>451</v>
      </c>
      <c r="D125" s="644" t="s">
        <v>2582</v>
      </c>
      <c r="E125" s="736">
        <v>12000</v>
      </c>
      <c r="F125" s="737" t="s">
        <v>2583</v>
      </c>
      <c r="G125" s="738" t="s">
        <v>2584</v>
      </c>
      <c r="H125" s="644" t="s">
        <v>2420</v>
      </c>
      <c r="I125" s="636" t="s">
        <v>2175</v>
      </c>
      <c r="J125" s="644"/>
      <c r="K125" s="739"/>
      <c r="L125" s="735">
        <v>9</v>
      </c>
      <c r="M125" s="736">
        <v>110020.59999999998</v>
      </c>
      <c r="N125" s="735"/>
      <c r="O125" s="735">
        <v>6</v>
      </c>
      <c r="P125" s="736">
        <v>73004.39</v>
      </c>
      <c r="Q125" s="214"/>
    </row>
    <row r="126" spans="1:17" ht="12" customHeight="1" x14ac:dyDescent="0.2">
      <c r="A126" s="735" t="s">
        <v>2169</v>
      </c>
      <c r="B126" s="735" t="s">
        <v>2170</v>
      </c>
      <c r="C126" s="735" t="s">
        <v>451</v>
      </c>
      <c r="D126" s="644" t="s">
        <v>2585</v>
      </c>
      <c r="E126" s="736">
        <v>4600</v>
      </c>
      <c r="F126" s="737" t="s">
        <v>2586</v>
      </c>
      <c r="G126" s="738" t="s">
        <v>2587</v>
      </c>
      <c r="H126" s="644" t="s">
        <v>2201</v>
      </c>
      <c r="I126" s="636"/>
      <c r="J126" s="644"/>
      <c r="K126" s="739"/>
      <c r="L126" s="735">
        <v>12</v>
      </c>
      <c r="M126" s="736">
        <v>58462.600000000013</v>
      </c>
      <c r="N126" s="735"/>
      <c r="O126" s="735">
        <v>3</v>
      </c>
      <c r="P126" s="736">
        <v>17555.23</v>
      </c>
      <c r="Q126" s="214"/>
    </row>
    <row r="127" spans="1:17" ht="12" customHeight="1" x14ac:dyDescent="0.2">
      <c r="A127" s="735" t="s">
        <v>2169</v>
      </c>
      <c r="B127" s="735" t="s">
        <v>2170</v>
      </c>
      <c r="C127" s="735" t="s">
        <v>451</v>
      </c>
      <c r="D127" s="644" t="s">
        <v>2588</v>
      </c>
      <c r="E127" s="736">
        <v>9500</v>
      </c>
      <c r="F127" s="737" t="s">
        <v>2589</v>
      </c>
      <c r="G127" s="738" t="s">
        <v>2590</v>
      </c>
      <c r="H127" s="644" t="s">
        <v>2268</v>
      </c>
      <c r="I127" s="636" t="s">
        <v>2180</v>
      </c>
      <c r="J127" s="644" t="s">
        <v>2180</v>
      </c>
      <c r="K127" s="739"/>
      <c r="L127" s="735">
        <v>11</v>
      </c>
      <c r="M127" s="736">
        <v>106047.39999999998</v>
      </c>
      <c r="N127" s="735"/>
      <c r="O127" s="735">
        <v>1</v>
      </c>
      <c r="P127" s="736">
        <v>174.15</v>
      </c>
      <c r="Q127" s="214"/>
    </row>
    <row r="128" spans="1:17" ht="12" customHeight="1" x14ac:dyDescent="0.2">
      <c r="A128" s="735" t="s">
        <v>2169</v>
      </c>
      <c r="B128" s="735" t="s">
        <v>2170</v>
      </c>
      <c r="C128" s="735" t="s">
        <v>451</v>
      </c>
      <c r="D128" s="644" t="s">
        <v>2591</v>
      </c>
      <c r="E128" s="736">
        <v>15600</v>
      </c>
      <c r="F128" s="737" t="s">
        <v>2592</v>
      </c>
      <c r="G128" s="738" t="s">
        <v>2593</v>
      </c>
      <c r="H128" s="644" t="s">
        <v>2201</v>
      </c>
      <c r="I128" s="636"/>
      <c r="J128" s="644"/>
      <c r="K128" s="739"/>
      <c r="L128" s="735">
        <v>12</v>
      </c>
      <c r="M128" s="736">
        <v>189160.79999999996</v>
      </c>
      <c r="N128" s="735"/>
      <c r="O128" s="735">
        <v>6</v>
      </c>
      <c r="P128" s="736">
        <v>93084.9</v>
      </c>
      <c r="Q128" s="214"/>
    </row>
    <row r="129" spans="1:17" ht="12" customHeight="1" x14ac:dyDescent="0.2">
      <c r="A129" s="735" t="s">
        <v>2169</v>
      </c>
      <c r="B129" s="735" t="s">
        <v>2170</v>
      </c>
      <c r="C129" s="735" t="s">
        <v>451</v>
      </c>
      <c r="D129" s="644" t="s">
        <v>2225</v>
      </c>
      <c r="E129" s="736">
        <v>10000</v>
      </c>
      <c r="F129" s="737" t="s">
        <v>2594</v>
      </c>
      <c r="G129" s="738" t="s">
        <v>2595</v>
      </c>
      <c r="H129" s="644" t="s">
        <v>2236</v>
      </c>
      <c r="I129" s="636" t="s">
        <v>2246</v>
      </c>
      <c r="J129" s="644" t="s">
        <v>2236</v>
      </c>
      <c r="K129" s="739"/>
      <c r="L129" s="735">
        <v>12</v>
      </c>
      <c r="M129" s="736">
        <v>122116.32999999999</v>
      </c>
      <c r="N129" s="735"/>
      <c r="O129" s="735">
        <v>6</v>
      </c>
      <c r="P129" s="736">
        <v>61044.9</v>
      </c>
      <c r="Q129" s="214"/>
    </row>
    <row r="130" spans="1:17" ht="12" customHeight="1" x14ac:dyDescent="0.2">
      <c r="A130" s="735" t="s">
        <v>2169</v>
      </c>
      <c r="B130" s="735" t="s">
        <v>2170</v>
      </c>
      <c r="C130" s="735" t="s">
        <v>451</v>
      </c>
      <c r="D130" s="644" t="s">
        <v>2596</v>
      </c>
      <c r="E130" s="736">
        <v>8000</v>
      </c>
      <c r="F130" s="737" t="s">
        <v>2597</v>
      </c>
      <c r="G130" s="738" t="s">
        <v>2598</v>
      </c>
      <c r="H130" s="644" t="s">
        <v>2189</v>
      </c>
      <c r="I130" s="636" t="s">
        <v>2180</v>
      </c>
      <c r="J130" s="644" t="s">
        <v>2180</v>
      </c>
      <c r="K130" s="739"/>
      <c r="L130" s="735">
        <v>12</v>
      </c>
      <c r="M130" s="736">
        <v>97847.39999999998</v>
      </c>
      <c r="N130" s="735"/>
      <c r="O130" s="735">
        <v>6</v>
      </c>
      <c r="P130" s="736">
        <v>49044.9</v>
      </c>
      <c r="Q130" s="214"/>
    </row>
    <row r="131" spans="1:17" ht="12" customHeight="1" x14ac:dyDescent="0.2">
      <c r="A131" s="735" t="s">
        <v>2169</v>
      </c>
      <c r="B131" s="735" t="s">
        <v>2170</v>
      </c>
      <c r="C131" s="735" t="s">
        <v>451</v>
      </c>
      <c r="D131" s="644" t="s">
        <v>2599</v>
      </c>
      <c r="E131" s="736">
        <v>4600</v>
      </c>
      <c r="F131" s="737" t="s">
        <v>2600</v>
      </c>
      <c r="G131" s="738" t="s">
        <v>2601</v>
      </c>
      <c r="H131" s="644" t="s">
        <v>2253</v>
      </c>
      <c r="I131" s="636" t="s">
        <v>2185</v>
      </c>
      <c r="J131" s="644"/>
      <c r="K131" s="739"/>
      <c r="L131" s="735">
        <v>2</v>
      </c>
      <c r="M131" s="736">
        <v>9833.4699999999993</v>
      </c>
      <c r="N131" s="735"/>
      <c r="O131" s="735">
        <v>6</v>
      </c>
      <c r="P131" s="736">
        <v>28644.9</v>
      </c>
      <c r="Q131" s="214"/>
    </row>
    <row r="132" spans="1:17" ht="12" customHeight="1" x14ac:dyDescent="0.2">
      <c r="A132" s="735" t="s">
        <v>2169</v>
      </c>
      <c r="B132" s="735" t="s">
        <v>2170</v>
      </c>
      <c r="C132" s="735" t="s">
        <v>451</v>
      </c>
      <c r="D132" s="644" t="s">
        <v>2602</v>
      </c>
      <c r="E132" s="736">
        <v>4000</v>
      </c>
      <c r="F132" s="737" t="s">
        <v>2603</v>
      </c>
      <c r="G132" s="738" t="s">
        <v>2604</v>
      </c>
      <c r="H132" s="644" t="s">
        <v>2201</v>
      </c>
      <c r="I132" s="636"/>
      <c r="J132" s="644"/>
      <c r="K132" s="739"/>
      <c r="L132" s="735">
        <v>11</v>
      </c>
      <c r="M132" s="736">
        <v>45547.400000000009</v>
      </c>
      <c r="N132" s="735"/>
      <c r="O132" s="735"/>
      <c r="P132" s="736"/>
      <c r="Q132" s="214"/>
    </row>
    <row r="133" spans="1:17" ht="12" customHeight="1" x14ac:dyDescent="0.2">
      <c r="A133" s="735" t="s">
        <v>2169</v>
      </c>
      <c r="B133" s="735" t="s">
        <v>2170</v>
      </c>
      <c r="C133" s="735" t="s">
        <v>451</v>
      </c>
      <c r="D133" s="644" t="s">
        <v>2605</v>
      </c>
      <c r="E133" s="736">
        <v>13000</v>
      </c>
      <c r="F133" s="737" t="s">
        <v>2606</v>
      </c>
      <c r="G133" s="738" t="s">
        <v>2607</v>
      </c>
      <c r="H133" s="644" t="s">
        <v>2201</v>
      </c>
      <c r="I133" s="636"/>
      <c r="J133" s="644"/>
      <c r="K133" s="739"/>
      <c r="L133" s="735">
        <v>12</v>
      </c>
      <c r="M133" s="736">
        <v>157960.79999999996</v>
      </c>
      <c r="N133" s="735"/>
      <c r="O133" s="735">
        <v>6</v>
      </c>
      <c r="P133" s="736">
        <v>79029.03</v>
      </c>
      <c r="Q133" s="214"/>
    </row>
    <row r="134" spans="1:17" ht="12" customHeight="1" x14ac:dyDescent="0.2">
      <c r="A134" s="735" t="s">
        <v>2169</v>
      </c>
      <c r="B134" s="735" t="s">
        <v>2170</v>
      </c>
      <c r="C134" s="735" t="s">
        <v>451</v>
      </c>
      <c r="D134" s="644" t="s">
        <v>2608</v>
      </c>
      <c r="E134" s="736">
        <v>4000</v>
      </c>
      <c r="F134" s="737" t="s">
        <v>2609</v>
      </c>
      <c r="G134" s="738" t="s">
        <v>2610</v>
      </c>
      <c r="H134" s="644" t="s">
        <v>2201</v>
      </c>
      <c r="I134" s="636"/>
      <c r="J134" s="644"/>
      <c r="K134" s="739"/>
      <c r="L134" s="735">
        <v>12</v>
      </c>
      <c r="M134" s="736">
        <v>49847.400000000009</v>
      </c>
      <c r="N134" s="735"/>
      <c r="O134" s="735">
        <v>6</v>
      </c>
      <c r="P134" s="736">
        <v>25044.9</v>
      </c>
      <c r="Q134" s="214"/>
    </row>
    <row r="135" spans="1:17" ht="12" customHeight="1" x14ac:dyDescent="0.2">
      <c r="A135" s="735" t="s">
        <v>2169</v>
      </c>
      <c r="B135" s="735" t="s">
        <v>2170</v>
      </c>
      <c r="C135" s="735" t="s">
        <v>451</v>
      </c>
      <c r="D135" s="644" t="s">
        <v>2611</v>
      </c>
      <c r="E135" s="736">
        <v>5500</v>
      </c>
      <c r="F135" s="737" t="s">
        <v>2612</v>
      </c>
      <c r="G135" s="738" t="s">
        <v>2613</v>
      </c>
      <c r="H135" s="644" t="s">
        <v>2614</v>
      </c>
      <c r="I135" s="636" t="s">
        <v>2284</v>
      </c>
      <c r="J135" s="644" t="s">
        <v>2284</v>
      </c>
      <c r="K135" s="739"/>
      <c r="L135" s="735">
        <v>12</v>
      </c>
      <c r="M135" s="736">
        <v>67960.800000000003</v>
      </c>
      <c r="N135" s="735"/>
      <c r="O135" s="735">
        <v>6</v>
      </c>
      <c r="P135" s="736">
        <v>34044.9</v>
      </c>
      <c r="Q135" s="214"/>
    </row>
    <row r="136" spans="1:17" ht="12" customHeight="1" x14ac:dyDescent="0.2">
      <c r="A136" s="735" t="s">
        <v>2169</v>
      </c>
      <c r="B136" s="735" t="s">
        <v>2170</v>
      </c>
      <c r="C136" s="735" t="s">
        <v>451</v>
      </c>
      <c r="D136" s="644" t="s">
        <v>2615</v>
      </c>
      <c r="E136" s="736">
        <v>10000</v>
      </c>
      <c r="F136" s="737" t="s">
        <v>2616</v>
      </c>
      <c r="G136" s="738" t="s">
        <v>2617</v>
      </c>
      <c r="H136" s="644" t="s">
        <v>2618</v>
      </c>
      <c r="I136" s="636" t="s">
        <v>2180</v>
      </c>
      <c r="J136" s="644" t="s">
        <v>2180</v>
      </c>
      <c r="K136" s="739"/>
      <c r="L136" s="735">
        <v>12</v>
      </c>
      <c r="M136" s="736">
        <v>125738.55999999997</v>
      </c>
      <c r="N136" s="735"/>
      <c r="O136" s="735">
        <v>6</v>
      </c>
      <c r="P136" s="736">
        <v>60120.33</v>
      </c>
      <c r="Q136" s="214"/>
    </row>
    <row r="137" spans="1:17" ht="12" customHeight="1" x14ac:dyDescent="0.2">
      <c r="A137" s="735" t="s">
        <v>2169</v>
      </c>
      <c r="B137" s="735" t="s">
        <v>2170</v>
      </c>
      <c r="C137" s="735" t="s">
        <v>451</v>
      </c>
      <c r="D137" s="644" t="s">
        <v>2619</v>
      </c>
      <c r="E137" s="736">
        <v>13000</v>
      </c>
      <c r="F137" s="737" t="s">
        <v>2620</v>
      </c>
      <c r="G137" s="738" t="s">
        <v>2621</v>
      </c>
      <c r="H137" s="644" t="s">
        <v>2201</v>
      </c>
      <c r="I137" s="636" t="s">
        <v>2201</v>
      </c>
      <c r="J137" s="644"/>
      <c r="K137" s="739"/>
      <c r="L137" s="735">
        <v>6</v>
      </c>
      <c r="M137" s="736">
        <v>77247.070000000007</v>
      </c>
      <c r="N137" s="735"/>
      <c r="O137" s="735">
        <v>6</v>
      </c>
      <c r="P137" s="736">
        <v>79044.899999999994</v>
      </c>
      <c r="Q137" s="214"/>
    </row>
    <row r="138" spans="1:17" ht="12" customHeight="1" x14ac:dyDescent="0.2">
      <c r="A138" s="735" t="s">
        <v>2169</v>
      </c>
      <c r="B138" s="735" t="s">
        <v>2170</v>
      </c>
      <c r="C138" s="735" t="s">
        <v>451</v>
      </c>
      <c r="D138" s="644" t="s">
        <v>2622</v>
      </c>
      <c r="E138" s="736">
        <v>4000</v>
      </c>
      <c r="F138" s="737" t="s">
        <v>2623</v>
      </c>
      <c r="G138" s="738" t="s">
        <v>2624</v>
      </c>
      <c r="H138" s="644" t="s">
        <v>2625</v>
      </c>
      <c r="I138" s="636" t="s">
        <v>2180</v>
      </c>
      <c r="J138" s="644" t="s">
        <v>2180</v>
      </c>
      <c r="K138" s="739"/>
      <c r="L138" s="735">
        <v>12</v>
      </c>
      <c r="M138" s="736">
        <v>49828.530000000006</v>
      </c>
      <c r="N138" s="735"/>
      <c r="O138" s="735">
        <v>6</v>
      </c>
      <c r="P138" s="736">
        <v>25013.870000000003</v>
      </c>
      <c r="Q138" s="214"/>
    </row>
    <row r="139" spans="1:17" ht="12" customHeight="1" x14ac:dyDescent="0.2">
      <c r="A139" s="735" t="s">
        <v>2169</v>
      </c>
      <c r="B139" s="735" t="s">
        <v>2170</v>
      </c>
      <c r="C139" s="735" t="s">
        <v>451</v>
      </c>
      <c r="D139" s="644" t="s">
        <v>2626</v>
      </c>
      <c r="E139" s="736">
        <v>8000</v>
      </c>
      <c r="F139" s="737" t="s">
        <v>2627</v>
      </c>
      <c r="G139" s="738" t="s">
        <v>2628</v>
      </c>
      <c r="H139" s="644" t="s">
        <v>2629</v>
      </c>
      <c r="I139" s="636" t="s">
        <v>2180</v>
      </c>
      <c r="J139" s="644" t="s">
        <v>2180</v>
      </c>
      <c r="K139" s="739"/>
      <c r="L139" s="735">
        <v>12</v>
      </c>
      <c r="M139" s="736">
        <v>97847.4</v>
      </c>
      <c r="N139" s="735"/>
      <c r="O139" s="735">
        <v>6</v>
      </c>
      <c r="P139" s="736">
        <v>49042.03</v>
      </c>
      <c r="Q139" s="214"/>
    </row>
    <row r="140" spans="1:17" ht="12" customHeight="1" x14ac:dyDescent="0.2">
      <c r="A140" s="735" t="s">
        <v>2169</v>
      </c>
      <c r="B140" s="735" t="s">
        <v>2170</v>
      </c>
      <c r="C140" s="735" t="s">
        <v>451</v>
      </c>
      <c r="D140" s="644" t="s">
        <v>2630</v>
      </c>
      <c r="E140" s="736">
        <v>8000</v>
      </c>
      <c r="F140" s="737" t="s">
        <v>2631</v>
      </c>
      <c r="G140" s="738" t="s">
        <v>2632</v>
      </c>
      <c r="H140" s="644" t="s">
        <v>2201</v>
      </c>
      <c r="I140" s="636"/>
      <c r="J140" s="644"/>
      <c r="K140" s="739"/>
      <c r="L140" s="735">
        <v>3</v>
      </c>
      <c r="M140" s="736">
        <v>24067.729999999996</v>
      </c>
      <c r="N140" s="735"/>
      <c r="O140" s="735"/>
      <c r="P140" s="736"/>
      <c r="Q140" s="214"/>
    </row>
    <row r="141" spans="1:17" ht="12" customHeight="1" x14ac:dyDescent="0.2">
      <c r="A141" s="735" t="s">
        <v>2169</v>
      </c>
      <c r="B141" s="735" t="s">
        <v>2170</v>
      </c>
      <c r="C141" s="735" t="s">
        <v>451</v>
      </c>
      <c r="D141" s="644" t="s">
        <v>2633</v>
      </c>
      <c r="E141" s="736">
        <v>3500</v>
      </c>
      <c r="F141" s="737" t="s">
        <v>2634</v>
      </c>
      <c r="G141" s="738" t="s">
        <v>2635</v>
      </c>
      <c r="H141" s="644" t="s">
        <v>2346</v>
      </c>
      <c r="I141" s="636" t="s">
        <v>2241</v>
      </c>
      <c r="J141" s="644" t="s">
        <v>2241</v>
      </c>
      <c r="K141" s="739"/>
      <c r="L141" s="735">
        <v>12</v>
      </c>
      <c r="M141" s="736">
        <v>44045.090000000011</v>
      </c>
      <c r="N141" s="735"/>
      <c r="O141" s="735">
        <v>6</v>
      </c>
      <c r="P141" s="736">
        <v>21904.84</v>
      </c>
      <c r="Q141" s="214"/>
    </row>
    <row r="142" spans="1:17" ht="12" customHeight="1" x14ac:dyDescent="0.2">
      <c r="A142" s="735" t="s">
        <v>2169</v>
      </c>
      <c r="B142" s="735" t="s">
        <v>2170</v>
      </c>
      <c r="C142" s="735" t="s">
        <v>451</v>
      </c>
      <c r="D142" s="644" t="s">
        <v>2636</v>
      </c>
      <c r="E142" s="736">
        <v>7000</v>
      </c>
      <c r="F142" s="737" t="s">
        <v>2637</v>
      </c>
      <c r="G142" s="738" t="s">
        <v>2638</v>
      </c>
      <c r="H142" s="644" t="s">
        <v>2201</v>
      </c>
      <c r="I142" s="636"/>
      <c r="J142" s="644"/>
      <c r="K142" s="739"/>
      <c r="L142" s="735">
        <v>12</v>
      </c>
      <c r="M142" s="736">
        <v>86268.349999999991</v>
      </c>
      <c r="N142" s="735"/>
      <c r="O142" s="735">
        <v>6</v>
      </c>
      <c r="P142" s="736">
        <v>42896.56</v>
      </c>
      <c r="Q142" s="214"/>
    </row>
    <row r="143" spans="1:17" ht="12" customHeight="1" x14ac:dyDescent="0.2">
      <c r="A143" s="735" t="s">
        <v>2169</v>
      </c>
      <c r="B143" s="735" t="s">
        <v>2170</v>
      </c>
      <c r="C143" s="735" t="s">
        <v>451</v>
      </c>
      <c r="D143" s="644" t="s">
        <v>2639</v>
      </c>
      <c r="E143" s="736">
        <v>15600</v>
      </c>
      <c r="F143" s="737" t="s">
        <v>2640</v>
      </c>
      <c r="G143" s="738" t="s">
        <v>2641</v>
      </c>
      <c r="H143" s="644" t="s">
        <v>2201</v>
      </c>
      <c r="I143" s="636"/>
      <c r="J143" s="644"/>
      <c r="K143" s="739"/>
      <c r="L143" s="735">
        <v>12</v>
      </c>
      <c r="M143" s="736">
        <v>189047.39999999997</v>
      </c>
      <c r="N143" s="735"/>
      <c r="O143" s="735">
        <v>6</v>
      </c>
      <c r="P143" s="736">
        <v>93084.9</v>
      </c>
      <c r="Q143" s="214"/>
    </row>
    <row r="144" spans="1:17" ht="12" customHeight="1" x14ac:dyDescent="0.2">
      <c r="A144" s="735" t="s">
        <v>2169</v>
      </c>
      <c r="B144" s="735" t="s">
        <v>2170</v>
      </c>
      <c r="C144" s="735" t="s">
        <v>451</v>
      </c>
      <c r="D144" s="644" t="s">
        <v>2439</v>
      </c>
      <c r="E144" s="736">
        <v>8000</v>
      </c>
      <c r="F144" s="737" t="s">
        <v>2642</v>
      </c>
      <c r="G144" s="738" t="s">
        <v>2643</v>
      </c>
      <c r="H144" s="644" t="s">
        <v>2201</v>
      </c>
      <c r="I144" s="636"/>
      <c r="J144" s="644"/>
      <c r="K144" s="739"/>
      <c r="L144" s="735">
        <v>2</v>
      </c>
      <c r="M144" s="736">
        <v>10360.129999999999</v>
      </c>
      <c r="N144" s="735"/>
      <c r="O144" s="735"/>
      <c r="P144" s="736"/>
      <c r="Q144" s="214"/>
    </row>
    <row r="145" spans="1:17" ht="12" customHeight="1" x14ac:dyDescent="0.2">
      <c r="A145" s="735" t="s">
        <v>2169</v>
      </c>
      <c r="B145" s="735" t="s">
        <v>2170</v>
      </c>
      <c r="C145" s="735" t="s">
        <v>451</v>
      </c>
      <c r="D145" s="644" t="s">
        <v>2644</v>
      </c>
      <c r="E145" s="736">
        <v>5000</v>
      </c>
      <c r="F145" s="737" t="s">
        <v>2645</v>
      </c>
      <c r="G145" s="738" t="s">
        <v>2646</v>
      </c>
      <c r="H145" s="644" t="s">
        <v>2647</v>
      </c>
      <c r="I145" s="636" t="s">
        <v>2393</v>
      </c>
      <c r="J145" s="644" t="s">
        <v>2393</v>
      </c>
      <c r="K145" s="739"/>
      <c r="L145" s="735">
        <v>12</v>
      </c>
      <c r="M145" s="736">
        <v>61957.630000000012</v>
      </c>
      <c r="N145" s="735"/>
      <c r="O145" s="735">
        <v>6</v>
      </c>
      <c r="P145" s="736">
        <v>31025.5</v>
      </c>
      <c r="Q145" s="214"/>
    </row>
    <row r="146" spans="1:17" ht="12" customHeight="1" x14ac:dyDescent="0.2">
      <c r="A146" s="735" t="s">
        <v>2169</v>
      </c>
      <c r="B146" s="735" t="s">
        <v>2170</v>
      </c>
      <c r="C146" s="735" t="s">
        <v>451</v>
      </c>
      <c r="D146" s="644" t="s">
        <v>2648</v>
      </c>
      <c r="E146" s="736">
        <v>14000</v>
      </c>
      <c r="F146" s="737" t="s">
        <v>2649</v>
      </c>
      <c r="G146" s="738" t="s">
        <v>2650</v>
      </c>
      <c r="H146" s="644" t="s">
        <v>2651</v>
      </c>
      <c r="I146" s="636" t="s">
        <v>2652</v>
      </c>
      <c r="J146" s="644"/>
      <c r="K146" s="739"/>
      <c r="L146" s="735">
        <v>4</v>
      </c>
      <c r="M146" s="736">
        <v>52353.599999999999</v>
      </c>
      <c r="N146" s="735"/>
      <c r="O146" s="735">
        <v>6</v>
      </c>
      <c r="P146" s="736">
        <v>85044.9</v>
      </c>
      <c r="Q146" s="214"/>
    </row>
    <row r="147" spans="1:17" ht="12" customHeight="1" x14ac:dyDescent="0.2">
      <c r="A147" s="735" t="s">
        <v>2169</v>
      </c>
      <c r="B147" s="735" t="s">
        <v>2170</v>
      </c>
      <c r="C147" s="735" t="s">
        <v>451</v>
      </c>
      <c r="D147" s="644" t="s">
        <v>2653</v>
      </c>
      <c r="E147" s="736">
        <v>13000</v>
      </c>
      <c r="F147" s="737" t="s">
        <v>2654</v>
      </c>
      <c r="G147" s="738" t="s">
        <v>2655</v>
      </c>
      <c r="H147" s="644" t="s">
        <v>2189</v>
      </c>
      <c r="I147" s="636" t="s">
        <v>2175</v>
      </c>
      <c r="J147" s="644" t="s">
        <v>2189</v>
      </c>
      <c r="K147" s="739"/>
      <c r="L147" s="735">
        <v>12</v>
      </c>
      <c r="M147" s="736">
        <v>157847.39999999997</v>
      </c>
      <c r="N147" s="735"/>
      <c r="O147" s="735">
        <v>6</v>
      </c>
      <c r="P147" s="736">
        <v>79044.899999999994</v>
      </c>
      <c r="Q147" s="214"/>
    </row>
    <row r="148" spans="1:17" ht="12" customHeight="1" x14ac:dyDescent="0.2">
      <c r="A148" s="735" t="s">
        <v>2169</v>
      </c>
      <c r="B148" s="735" t="s">
        <v>2170</v>
      </c>
      <c r="C148" s="735" t="s">
        <v>451</v>
      </c>
      <c r="D148" s="644" t="s">
        <v>2656</v>
      </c>
      <c r="E148" s="736">
        <v>5000</v>
      </c>
      <c r="F148" s="737" t="s">
        <v>2657</v>
      </c>
      <c r="G148" s="738" t="s">
        <v>2658</v>
      </c>
      <c r="H148" s="644" t="s">
        <v>2184</v>
      </c>
      <c r="I148" s="636" t="s">
        <v>2185</v>
      </c>
      <c r="J148" s="644" t="s">
        <v>2184</v>
      </c>
      <c r="K148" s="739"/>
      <c r="L148" s="735">
        <v>12</v>
      </c>
      <c r="M148" s="736">
        <v>63375.80000000001</v>
      </c>
      <c r="N148" s="735"/>
      <c r="O148" s="735">
        <v>6</v>
      </c>
      <c r="P148" s="736">
        <v>31044.9</v>
      </c>
      <c r="Q148" s="214"/>
    </row>
    <row r="149" spans="1:17" ht="12" customHeight="1" x14ac:dyDescent="0.2">
      <c r="A149" s="735" t="s">
        <v>2169</v>
      </c>
      <c r="B149" s="735" t="s">
        <v>2170</v>
      </c>
      <c r="C149" s="735" t="s">
        <v>451</v>
      </c>
      <c r="D149" s="644" t="s">
        <v>2659</v>
      </c>
      <c r="E149" s="736">
        <v>7000</v>
      </c>
      <c r="F149" s="737" t="s">
        <v>2660</v>
      </c>
      <c r="G149" s="738" t="s">
        <v>2661</v>
      </c>
      <c r="H149" s="644" t="s">
        <v>2174</v>
      </c>
      <c r="I149" s="636" t="s">
        <v>2180</v>
      </c>
      <c r="J149" s="644" t="s">
        <v>2180</v>
      </c>
      <c r="K149" s="739"/>
      <c r="L149" s="735">
        <v>12</v>
      </c>
      <c r="M149" s="736">
        <v>85847.4</v>
      </c>
      <c r="N149" s="735"/>
      <c r="O149" s="735">
        <v>6</v>
      </c>
      <c r="P149" s="736">
        <v>43037.350000000006</v>
      </c>
      <c r="Q149" s="214"/>
    </row>
    <row r="150" spans="1:17" ht="12" customHeight="1" x14ac:dyDescent="0.2">
      <c r="A150" s="735" t="s">
        <v>2169</v>
      </c>
      <c r="B150" s="735" t="s">
        <v>2170</v>
      </c>
      <c r="C150" s="735" t="s">
        <v>451</v>
      </c>
      <c r="D150" s="644" t="s">
        <v>2548</v>
      </c>
      <c r="E150" s="736">
        <v>4000</v>
      </c>
      <c r="F150" s="737" t="s">
        <v>2662</v>
      </c>
      <c r="G150" s="738" t="s">
        <v>2663</v>
      </c>
      <c r="H150" s="644" t="s">
        <v>643</v>
      </c>
      <c r="I150" s="636" t="s">
        <v>2664</v>
      </c>
      <c r="J150" s="644" t="s">
        <v>2664</v>
      </c>
      <c r="K150" s="739"/>
      <c r="L150" s="735">
        <v>12</v>
      </c>
      <c r="M150" s="736">
        <v>49960.80000000001</v>
      </c>
      <c r="N150" s="735"/>
      <c r="O150" s="735">
        <v>6</v>
      </c>
      <c r="P150" s="736">
        <v>25044.9</v>
      </c>
      <c r="Q150" s="214"/>
    </row>
    <row r="151" spans="1:17" ht="12" customHeight="1" x14ac:dyDescent="0.2">
      <c r="A151" s="735" t="s">
        <v>2169</v>
      </c>
      <c r="B151" s="735" t="s">
        <v>2170</v>
      </c>
      <c r="C151" s="735" t="s">
        <v>451</v>
      </c>
      <c r="D151" s="644" t="s">
        <v>2225</v>
      </c>
      <c r="E151" s="736">
        <v>10000</v>
      </c>
      <c r="F151" s="737" t="s">
        <v>2665</v>
      </c>
      <c r="G151" s="738" t="s">
        <v>2666</v>
      </c>
      <c r="H151" s="644" t="s">
        <v>2236</v>
      </c>
      <c r="I151" s="636" t="s">
        <v>2428</v>
      </c>
      <c r="J151" s="644"/>
      <c r="K151" s="739"/>
      <c r="L151" s="735">
        <v>6</v>
      </c>
      <c r="M151" s="736">
        <v>59867</v>
      </c>
      <c r="N151" s="735"/>
      <c r="O151" s="735">
        <v>6</v>
      </c>
      <c r="P151" s="736">
        <v>60761.86</v>
      </c>
      <c r="Q151" s="214"/>
    </row>
    <row r="152" spans="1:17" ht="12" customHeight="1" x14ac:dyDescent="0.2">
      <c r="A152" s="735" t="s">
        <v>2169</v>
      </c>
      <c r="B152" s="735" t="s">
        <v>2170</v>
      </c>
      <c r="C152" s="735" t="s">
        <v>451</v>
      </c>
      <c r="D152" s="644" t="s">
        <v>2225</v>
      </c>
      <c r="E152" s="736">
        <v>10500</v>
      </c>
      <c r="F152" s="737" t="s">
        <v>2667</v>
      </c>
      <c r="G152" s="738" t="s">
        <v>2668</v>
      </c>
      <c r="H152" s="644" t="s">
        <v>2236</v>
      </c>
      <c r="I152" s="636" t="s">
        <v>2180</v>
      </c>
      <c r="J152" s="644" t="s">
        <v>2180</v>
      </c>
      <c r="K152" s="739"/>
      <c r="L152" s="735">
        <v>12</v>
      </c>
      <c r="M152" s="736">
        <v>127821.68999999997</v>
      </c>
      <c r="N152" s="735"/>
      <c r="O152" s="735">
        <v>6</v>
      </c>
      <c r="P152" s="736">
        <v>64042.640000000007</v>
      </c>
      <c r="Q152" s="214"/>
    </row>
    <row r="153" spans="1:17" ht="12" customHeight="1" x14ac:dyDescent="0.2">
      <c r="A153" s="735" t="s">
        <v>2169</v>
      </c>
      <c r="B153" s="735" t="s">
        <v>2170</v>
      </c>
      <c r="C153" s="735" t="s">
        <v>451</v>
      </c>
      <c r="D153" s="644" t="s">
        <v>2669</v>
      </c>
      <c r="E153" s="736">
        <v>4000</v>
      </c>
      <c r="F153" s="737" t="s">
        <v>2670</v>
      </c>
      <c r="G153" s="738" t="s">
        <v>2671</v>
      </c>
      <c r="H153" s="644" t="s">
        <v>2201</v>
      </c>
      <c r="I153" s="636"/>
      <c r="J153" s="644"/>
      <c r="K153" s="739"/>
      <c r="L153" s="735">
        <v>12</v>
      </c>
      <c r="M153" s="736">
        <v>50247.4</v>
      </c>
      <c r="N153" s="735"/>
      <c r="O153" s="735">
        <v>6</v>
      </c>
      <c r="P153" s="736">
        <v>25044.33</v>
      </c>
      <c r="Q153" s="214"/>
    </row>
    <row r="154" spans="1:17" ht="12" customHeight="1" x14ac:dyDescent="0.2">
      <c r="A154" s="735" t="s">
        <v>2169</v>
      </c>
      <c r="B154" s="735" t="s">
        <v>2170</v>
      </c>
      <c r="C154" s="735" t="s">
        <v>451</v>
      </c>
      <c r="D154" s="644" t="s">
        <v>2672</v>
      </c>
      <c r="E154" s="736">
        <v>13000</v>
      </c>
      <c r="F154" s="737" t="s">
        <v>2673</v>
      </c>
      <c r="G154" s="738" t="s">
        <v>2674</v>
      </c>
      <c r="H154" s="644" t="s">
        <v>2201</v>
      </c>
      <c r="I154" s="636"/>
      <c r="J154" s="644"/>
      <c r="K154" s="739"/>
      <c r="L154" s="735">
        <v>4</v>
      </c>
      <c r="M154" s="736">
        <v>46386.929999999993</v>
      </c>
      <c r="N154" s="735"/>
      <c r="O154" s="735"/>
      <c r="P154" s="736"/>
      <c r="Q154" s="214"/>
    </row>
    <row r="155" spans="1:17" ht="12" customHeight="1" x14ac:dyDescent="0.2">
      <c r="A155" s="735" t="s">
        <v>2169</v>
      </c>
      <c r="B155" s="735" t="s">
        <v>2170</v>
      </c>
      <c r="C155" s="735" t="s">
        <v>451</v>
      </c>
      <c r="D155" s="644" t="s">
        <v>2675</v>
      </c>
      <c r="E155" s="736">
        <v>8000</v>
      </c>
      <c r="F155" s="737" t="s">
        <v>2676</v>
      </c>
      <c r="G155" s="738" t="s">
        <v>2677</v>
      </c>
      <c r="H155" s="644" t="s">
        <v>2678</v>
      </c>
      <c r="I155" s="636" t="s">
        <v>2403</v>
      </c>
      <c r="J155" s="644" t="s">
        <v>2403</v>
      </c>
      <c r="K155" s="739"/>
      <c r="L155" s="735">
        <v>3</v>
      </c>
      <c r="M155" s="736">
        <v>23979.919999999998</v>
      </c>
      <c r="N155" s="735"/>
      <c r="O155" s="735"/>
      <c r="P155" s="736"/>
      <c r="Q155" s="214"/>
    </row>
    <row r="156" spans="1:17" ht="12" customHeight="1" x14ac:dyDescent="0.2">
      <c r="A156" s="735" t="s">
        <v>2169</v>
      </c>
      <c r="B156" s="735" t="s">
        <v>2232</v>
      </c>
      <c r="C156" s="735" t="s">
        <v>451</v>
      </c>
      <c r="D156" s="644" t="s">
        <v>2272</v>
      </c>
      <c r="E156" s="736">
        <v>9500</v>
      </c>
      <c r="F156" s="737" t="s">
        <v>2679</v>
      </c>
      <c r="G156" s="738" t="s">
        <v>2680</v>
      </c>
      <c r="H156" s="644" t="s">
        <v>2317</v>
      </c>
      <c r="I156" s="636" t="s">
        <v>2250</v>
      </c>
      <c r="J156" s="644" t="s">
        <v>2250</v>
      </c>
      <c r="K156" s="739"/>
      <c r="L156" s="735">
        <v>12</v>
      </c>
      <c r="M156" s="736">
        <v>116277.46999999997</v>
      </c>
      <c r="N156" s="735"/>
      <c r="O156" s="735">
        <v>5</v>
      </c>
      <c r="P156" s="736">
        <v>48370.75</v>
      </c>
      <c r="Q156" s="214"/>
    </row>
    <row r="157" spans="1:17" ht="12" customHeight="1" x14ac:dyDescent="0.2">
      <c r="A157" s="735" t="s">
        <v>2169</v>
      </c>
      <c r="B157" s="735" t="s">
        <v>2170</v>
      </c>
      <c r="C157" s="735" t="s">
        <v>451</v>
      </c>
      <c r="D157" s="644" t="s">
        <v>2681</v>
      </c>
      <c r="E157" s="736">
        <v>9500</v>
      </c>
      <c r="F157" s="737" t="s">
        <v>2682</v>
      </c>
      <c r="G157" s="738" t="s">
        <v>2683</v>
      </c>
      <c r="H157" s="644" t="s">
        <v>2201</v>
      </c>
      <c r="I157" s="636"/>
      <c r="J157" s="644"/>
      <c r="K157" s="739"/>
      <c r="L157" s="735">
        <v>12</v>
      </c>
      <c r="M157" s="736">
        <v>115960.79999999997</v>
      </c>
      <c r="N157" s="735"/>
      <c r="O157" s="735">
        <v>6</v>
      </c>
      <c r="P157" s="736">
        <v>57962.999999999993</v>
      </c>
      <c r="Q157" s="214"/>
    </row>
    <row r="158" spans="1:17" ht="12" customHeight="1" x14ac:dyDescent="0.2">
      <c r="A158" s="735" t="s">
        <v>2169</v>
      </c>
      <c r="B158" s="735" t="s">
        <v>2170</v>
      </c>
      <c r="C158" s="735" t="s">
        <v>451</v>
      </c>
      <c r="D158" s="644" t="s">
        <v>2684</v>
      </c>
      <c r="E158" s="736">
        <v>8000</v>
      </c>
      <c r="F158" s="737" t="s">
        <v>2685</v>
      </c>
      <c r="G158" s="738" t="s">
        <v>2686</v>
      </c>
      <c r="H158" s="644" t="s">
        <v>2317</v>
      </c>
      <c r="I158" s="636" t="s">
        <v>2250</v>
      </c>
      <c r="J158" s="644" t="s">
        <v>2250</v>
      </c>
      <c r="K158" s="739"/>
      <c r="L158" s="735">
        <v>12</v>
      </c>
      <c r="M158" s="736">
        <v>93321.62999999999</v>
      </c>
      <c r="N158" s="735"/>
      <c r="O158" s="735">
        <v>6</v>
      </c>
      <c r="P158" s="736">
        <v>47567.880000000005</v>
      </c>
      <c r="Q158" s="214"/>
    </row>
    <row r="159" spans="1:17" ht="12" customHeight="1" x14ac:dyDescent="0.2">
      <c r="A159" s="735" t="s">
        <v>2169</v>
      </c>
      <c r="B159" s="735" t="s">
        <v>2170</v>
      </c>
      <c r="C159" s="735" t="s">
        <v>451</v>
      </c>
      <c r="D159" s="644" t="s">
        <v>2687</v>
      </c>
      <c r="E159" s="736">
        <v>5500</v>
      </c>
      <c r="F159" s="737" t="s">
        <v>2688</v>
      </c>
      <c r="G159" s="738" t="s">
        <v>2689</v>
      </c>
      <c r="H159" s="644" t="s">
        <v>2690</v>
      </c>
      <c r="I159" s="636" t="s">
        <v>2250</v>
      </c>
      <c r="J159" s="644" t="s">
        <v>2250</v>
      </c>
      <c r="K159" s="739"/>
      <c r="L159" s="735">
        <v>12</v>
      </c>
      <c r="M159" s="736">
        <v>67937.850000000006</v>
      </c>
      <c r="N159" s="735"/>
      <c r="O159" s="735">
        <v>6</v>
      </c>
      <c r="P159" s="736">
        <v>33843.39</v>
      </c>
      <c r="Q159" s="214"/>
    </row>
    <row r="160" spans="1:17" ht="12" customHeight="1" x14ac:dyDescent="0.2">
      <c r="A160" s="735" t="s">
        <v>2169</v>
      </c>
      <c r="B160" s="735" t="s">
        <v>2170</v>
      </c>
      <c r="C160" s="735" t="s">
        <v>451</v>
      </c>
      <c r="D160" s="644" t="s">
        <v>2691</v>
      </c>
      <c r="E160" s="736">
        <v>2000</v>
      </c>
      <c r="F160" s="737" t="s">
        <v>2692</v>
      </c>
      <c r="G160" s="738" t="s">
        <v>2693</v>
      </c>
      <c r="H160" s="644" t="s">
        <v>2253</v>
      </c>
      <c r="I160" s="636" t="s">
        <v>2254</v>
      </c>
      <c r="J160" s="644" t="s">
        <v>2254</v>
      </c>
      <c r="K160" s="739"/>
      <c r="L160" s="735">
        <v>12</v>
      </c>
      <c r="M160" s="736">
        <v>25894.130000000005</v>
      </c>
      <c r="N160" s="735"/>
      <c r="O160" s="735">
        <v>6</v>
      </c>
      <c r="P160" s="736">
        <v>13044.9</v>
      </c>
      <c r="Q160" s="214"/>
    </row>
    <row r="161" spans="1:17" ht="12" customHeight="1" x14ac:dyDescent="0.2">
      <c r="A161" s="735" t="s">
        <v>2169</v>
      </c>
      <c r="B161" s="735" t="s">
        <v>2170</v>
      </c>
      <c r="C161" s="735" t="s">
        <v>451</v>
      </c>
      <c r="D161" s="644" t="s">
        <v>2694</v>
      </c>
      <c r="E161" s="736">
        <v>10000</v>
      </c>
      <c r="F161" s="737" t="s">
        <v>2695</v>
      </c>
      <c r="G161" s="738" t="s">
        <v>2696</v>
      </c>
      <c r="H161" s="644" t="s">
        <v>2201</v>
      </c>
      <c r="I161" s="636"/>
      <c r="J161" s="644"/>
      <c r="K161" s="739"/>
      <c r="L161" s="735">
        <v>12</v>
      </c>
      <c r="M161" s="736">
        <v>122294.12999999996</v>
      </c>
      <c r="N161" s="735"/>
      <c r="O161" s="735">
        <v>7</v>
      </c>
      <c r="P161" s="736">
        <v>89592.79</v>
      </c>
      <c r="Q161" s="214"/>
    </row>
    <row r="162" spans="1:17" ht="12" customHeight="1" x14ac:dyDescent="0.2">
      <c r="A162" s="735" t="s">
        <v>2169</v>
      </c>
      <c r="B162" s="735" t="s">
        <v>2170</v>
      </c>
      <c r="C162" s="735" t="s">
        <v>451</v>
      </c>
      <c r="D162" s="644" t="s">
        <v>2697</v>
      </c>
      <c r="E162" s="736">
        <v>3000</v>
      </c>
      <c r="F162" s="737" t="s">
        <v>2698</v>
      </c>
      <c r="G162" s="738" t="s">
        <v>2699</v>
      </c>
      <c r="H162" s="644" t="s">
        <v>2700</v>
      </c>
      <c r="I162" s="636" t="s">
        <v>2228</v>
      </c>
      <c r="J162" s="644"/>
      <c r="K162" s="739"/>
      <c r="L162" s="735">
        <v>4</v>
      </c>
      <c r="M162" s="736">
        <v>11553.6</v>
      </c>
      <c r="N162" s="735"/>
      <c r="O162" s="735">
        <v>6</v>
      </c>
      <c r="P162" s="736">
        <v>18995.759999999998</v>
      </c>
      <c r="Q162" s="214"/>
    </row>
    <row r="163" spans="1:17" ht="12" customHeight="1" x14ac:dyDescent="0.2">
      <c r="A163" s="735" t="s">
        <v>2169</v>
      </c>
      <c r="B163" s="735" t="s">
        <v>2170</v>
      </c>
      <c r="C163" s="735" t="s">
        <v>451</v>
      </c>
      <c r="D163" s="644" t="s">
        <v>2701</v>
      </c>
      <c r="E163" s="736">
        <v>9500</v>
      </c>
      <c r="F163" s="737" t="s">
        <v>2702</v>
      </c>
      <c r="G163" s="738" t="s">
        <v>2703</v>
      </c>
      <c r="H163" s="644" t="s">
        <v>2201</v>
      </c>
      <c r="I163" s="636"/>
      <c r="J163" s="644"/>
      <c r="K163" s="739"/>
      <c r="L163" s="735">
        <v>12</v>
      </c>
      <c r="M163" s="736">
        <v>115582.79999999997</v>
      </c>
      <c r="N163" s="735"/>
      <c r="O163" s="735">
        <v>6</v>
      </c>
      <c r="P163" s="736">
        <v>58044.9</v>
      </c>
      <c r="Q163" s="214"/>
    </row>
    <row r="164" spans="1:17" ht="12" customHeight="1" x14ac:dyDescent="0.2">
      <c r="A164" s="735" t="s">
        <v>2169</v>
      </c>
      <c r="B164" s="735" t="s">
        <v>2170</v>
      </c>
      <c r="C164" s="735" t="s">
        <v>451</v>
      </c>
      <c r="D164" s="644" t="s">
        <v>2704</v>
      </c>
      <c r="E164" s="736">
        <v>5000</v>
      </c>
      <c r="F164" s="737" t="s">
        <v>2705</v>
      </c>
      <c r="G164" s="738" t="s">
        <v>2706</v>
      </c>
      <c r="H164" s="644" t="s">
        <v>2201</v>
      </c>
      <c r="I164" s="636"/>
      <c r="J164" s="644"/>
      <c r="K164" s="739"/>
      <c r="L164" s="735">
        <v>12</v>
      </c>
      <c r="M164" s="736">
        <v>63375.80000000001</v>
      </c>
      <c r="N164" s="735"/>
      <c r="O164" s="735">
        <v>6</v>
      </c>
      <c r="P164" s="736">
        <v>31044.9</v>
      </c>
      <c r="Q164" s="214"/>
    </row>
    <row r="165" spans="1:17" ht="12" customHeight="1" x14ac:dyDescent="0.2">
      <c r="A165" s="735" t="s">
        <v>2169</v>
      </c>
      <c r="B165" s="735" t="s">
        <v>2170</v>
      </c>
      <c r="C165" s="735" t="s">
        <v>451</v>
      </c>
      <c r="D165" s="644" t="s">
        <v>2446</v>
      </c>
      <c r="E165" s="736">
        <v>2500</v>
      </c>
      <c r="F165" s="737" t="s">
        <v>2707</v>
      </c>
      <c r="G165" s="738" t="s">
        <v>2708</v>
      </c>
      <c r="H165" s="644" t="s">
        <v>2212</v>
      </c>
      <c r="I165" s="636" t="s">
        <v>2254</v>
      </c>
      <c r="J165" s="644" t="s">
        <v>2254</v>
      </c>
      <c r="K165" s="739"/>
      <c r="L165" s="735">
        <v>12</v>
      </c>
      <c r="M165" s="736">
        <v>32719.800000000007</v>
      </c>
      <c r="N165" s="735"/>
      <c r="O165" s="735">
        <v>6</v>
      </c>
      <c r="P165" s="736">
        <v>16043.28</v>
      </c>
      <c r="Q165" s="214"/>
    </row>
    <row r="166" spans="1:17" ht="12" customHeight="1" x14ac:dyDescent="0.2">
      <c r="A166" s="735" t="s">
        <v>2169</v>
      </c>
      <c r="B166" s="735" t="s">
        <v>2170</v>
      </c>
      <c r="C166" s="735" t="s">
        <v>451</v>
      </c>
      <c r="D166" s="644" t="s">
        <v>2709</v>
      </c>
      <c r="E166" s="736">
        <v>15600</v>
      </c>
      <c r="F166" s="737" t="s">
        <v>2710</v>
      </c>
      <c r="G166" s="738" t="s">
        <v>2711</v>
      </c>
      <c r="H166" s="644" t="s">
        <v>2712</v>
      </c>
      <c r="I166" s="636" t="s">
        <v>2180</v>
      </c>
      <c r="J166" s="644" t="s">
        <v>2180</v>
      </c>
      <c r="K166" s="739"/>
      <c r="L166" s="735">
        <v>12</v>
      </c>
      <c r="M166" s="736">
        <v>189160.79999999996</v>
      </c>
      <c r="N166" s="735"/>
      <c r="O166" s="735">
        <v>6</v>
      </c>
      <c r="P166" s="736">
        <v>93084.9</v>
      </c>
      <c r="Q166" s="214"/>
    </row>
    <row r="167" spans="1:17" ht="12" customHeight="1" x14ac:dyDescent="0.2">
      <c r="A167" s="735" t="s">
        <v>2169</v>
      </c>
      <c r="B167" s="735" t="s">
        <v>2170</v>
      </c>
      <c r="C167" s="735" t="s">
        <v>451</v>
      </c>
      <c r="D167" s="644" t="s">
        <v>2265</v>
      </c>
      <c r="E167" s="736">
        <v>12000</v>
      </c>
      <c r="F167" s="737" t="s">
        <v>2713</v>
      </c>
      <c r="G167" s="738" t="s">
        <v>2714</v>
      </c>
      <c r="H167" s="644" t="s">
        <v>2201</v>
      </c>
      <c r="I167" s="636" t="s">
        <v>2201</v>
      </c>
      <c r="J167" s="644"/>
      <c r="K167" s="739"/>
      <c r="L167" s="735">
        <v>10</v>
      </c>
      <c r="M167" s="736">
        <v>116933.99999999997</v>
      </c>
      <c r="N167" s="735"/>
      <c r="O167" s="735">
        <v>6</v>
      </c>
      <c r="P167" s="736">
        <v>72850.069999999992</v>
      </c>
      <c r="Q167" s="214"/>
    </row>
    <row r="168" spans="1:17" ht="12" customHeight="1" x14ac:dyDescent="0.2">
      <c r="A168" s="735" t="s">
        <v>2169</v>
      </c>
      <c r="B168" s="735" t="s">
        <v>2170</v>
      </c>
      <c r="C168" s="735" t="s">
        <v>451</v>
      </c>
      <c r="D168" s="644" t="s">
        <v>2715</v>
      </c>
      <c r="E168" s="736">
        <v>7000</v>
      </c>
      <c r="F168" s="737" t="s">
        <v>2716</v>
      </c>
      <c r="G168" s="738" t="s">
        <v>2717</v>
      </c>
      <c r="H168" s="644" t="s">
        <v>2201</v>
      </c>
      <c r="I168" s="636"/>
      <c r="J168" s="644"/>
      <c r="K168" s="739"/>
      <c r="L168" s="735">
        <v>12</v>
      </c>
      <c r="M168" s="736">
        <v>86173.18</v>
      </c>
      <c r="N168" s="735"/>
      <c r="O168" s="735">
        <v>6</v>
      </c>
      <c r="P168" s="736">
        <v>42763.8</v>
      </c>
      <c r="Q168" s="214"/>
    </row>
    <row r="169" spans="1:17" ht="12" customHeight="1" x14ac:dyDescent="0.2">
      <c r="A169" s="735" t="s">
        <v>2169</v>
      </c>
      <c r="B169" s="735" t="s">
        <v>2170</v>
      </c>
      <c r="C169" s="735" t="s">
        <v>451</v>
      </c>
      <c r="D169" s="644" t="s">
        <v>2718</v>
      </c>
      <c r="E169" s="736">
        <v>8000</v>
      </c>
      <c r="F169" s="737" t="s">
        <v>2719</v>
      </c>
      <c r="G169" s="738" t="s">
        <v>2720</v>
      </c>
      <c r="H169" s="644" t="s">
        <v>2236</v>
      </c>
      <c r="I169" s="636" t="s">
        <v>2175</v>
      </c>
      <c r="J169" s="644"/>
      <c r="K169" s="739"/>
      <c r="L169" s="735">
        <v>4</v>
      </c>
      <c r="M169" s="736">
        <v>29986.93</v>
      </c>
      <c r="N169" s="735"/>
      <c r="O169" s="735">
        <v>6</v>
      </c>
      <c r="P169" s="736">
        <v>49024.79</v>
      </c>
      <c r="Q169" s="214"/>
    </row>
    <row r="170" spans="1:17" ht="12" customHeight="1" x14ac:dyDescent="0.2">
      <c r="A170" s="735" t="s">
        <v>2169</v>
      </c>
      <c r="B170" s="735" t="s">
        <v>2170</v>
      </c>
      <c r="C170" s="735" t="s">
        <v>451</v>
      </c>
      <c r="D170" s="644" t="s">
        <v>2721</v>
      </c>
      <c r="E170" s="736">
        <v>8000</v>
      </c>
      <c r="F170" s="737" t="s">
        <v>2722</v>
      </c>
      <c r="G170" s="738" t="s">
        <v>2723</v>
      </c>
      <c r="H170" s="644" t="s">
        <v>2201</v>
      </c>
      <c r="I170" s="636"/>
      <c r="J170" s="644"/>
      <c r="K170" s="739"/>
      <c r="L170" s="735">
        <v>12</v>
      </c>
      <c r="M170" s="736">
        <v>97675.989999999991</v>
      </c>
      <c r="N170" s="735"/>
      <c r="O170" s="735">
        <v>6</v>
      </c>
      <c r="P170" s="736">
        <v>48986.850000000006</v>
      </c>
      <c r="Q170" s="214"/>
    </row>
    <row r="171" spans="1:17" ht="12" customHeight="1" x14ac:dyDescent="0.2">
      <c r="A171" s="735" t="s">
        <v>2169</v>
      </c>
      <c r="B171" s="735" t="s">
        <v>2170</v>
      </c>
      <c r="C171" s="735" t="s">
        <v>451</v>
      </c>
      <c r="D171" s="644" t="s">
        <v>2724</v>
      </c>
      <c r="E171" s="736">
        <v>4500</v>
      </c>
      <c r="F171" s="737" t="s">
        <v>2725</v>
      </c>
      <c r="G171" s="738" t="s">
        <v>2726</v>
      </c>
      <c r="H171" s="644" t="s">
        <v>2727</v>
      </c>
      <c r="I171" s="636" t="s">
        <v>2728</v>
      </c>
      <c r="J171" s="644" t="s">
        <v>2727</v>
      </c>
      <c r="K171" s="739"/>
      <c r="L171" s="735">
        <v>12</v>
      </c>
      <c r="M171" s="736">
        <v>55847.400000000009</v>
      </c>
      <c r="N171" s="735"/>
      <c r="O171" s="735">
        <v>6</v>
      </c>
      <c r="P171" s="736">
        <v>27938.54</v>
      </c>
      <c r="Q171" s="214"/>
    </row>
    <row r="172" spans="1:17" ht="12" customHeight="1" x14ac:dyDescent="0.2">
      <c r="A172" s="735" t="s">
        <v>2169</v>
      </c>
      <c r="B172" s="735" t="s">
        <v>2170</v>
      </c>
      <c r="C172" s="735" t="s">
        <v>451</v>
      </c>
      <c r="D172" s="644" t="s">
        <v>2346</v>
      </c>
      <c r="E172" s="736">
        <v>4500</v>
      </c>
      <c r="F172" s="737" t="s">
        <v>2729</v>
      </c>
      <c r="G172" s="738" t="s">
        <v>2730</v>
      </c>
      <c r="H172" s="644" t="s">
        <v>2201</v>
      </c>
      <c r="I172" s="636" t="s">
        <v>2284</v>
      </c>
      <c r="J172" s="644" t="s">
        <v>2284</v>
      </c>
      <c r="K172" s="739"/>
      <c r="L172" s="735">
        <v>12</v>
      </c>
      <c r="M172" s="736">
        <v>55847.400000000009</v>
      </c>
      <c r="N172" s="735"/>
      <c r="O172" s="735">
        <v>6</v>
      </c>
      <c r="P172" s="736">
        <v>28044.9</v>
      </c>
      <c r="Q172" s="214"/>
    </row>
    <row r="173" spans="1:17" ht="12" customHeight="1" x14ac:dyDescent="0.2">
      <c r="A173" s="735" t="s">
        <v>2169</v>
      </c>
      <c r="B173" s="735" t="s">
        <v>2170</v>
      </c>
      <c r="C173" s="735" t="s">
        <v>451</v>
      </c>
      <c r="D173" s="644" t="s">
        <v>2731</v>
      </c>
      <c r="E173" s="736">
        <v>3000</v>
      </c>
      <c r="F173" s="737" t="s">
        <v>2732</v>
      </c>
      <c r="G173" s="738" t="s">
        <v>2733</v>
      </c>
      <c r="H173" s="644" t="s">
        <v>2201</v>
      </c>
      <c r="I173" s="636"/>
      <c r="J173" s="644"/>
      <c r="K173" s="739"/>
      <c r="L173" s="735">
        <v>12</v>
      </c>
      <c r="M173" s="736">
        <v>37960.80000000001</v>
      </c>
      <c r="N173" s="735"/>
      <c r="O173" s="735">
        <v>6</v>
      </c>
      <c r="P173" s="736">
        <v>19042.740000000002</v>
      </c>
      <c r="Q173" s="214"/>
    </row>
    <row r="174" spans="1:17" ht="12" customHeight="1" x14ac:dyDescent="0.2">
      <c r="A174" s="735" t="s">
        <v>2169</v>
      </c>
      <c r="B174" s="735" t="s">
        <v>2170</v>
      </c>
      <c r="C174" s="735" t="s">
        <v>451</v>
      </c>
      <c r="D174" s="644" t="s">
        <v>2734</v>
      </c>
      <c r="E174" s="736">
        <v>7000</v>
      </c>
      <c r="F174" s="737" t="s">
        <v>2735</v>
      </c>
      <c r="G174" s="738" t="s">
        <v>2736</v>
      </c>
      <c r="H174" s="644" t="s">
        <v>2201</v>
      </c>
      <c r="I174" s="636"/>
      <c r="J174" s="644"/>
      <c r="K174" s="739"/>
      <c r="L174" s="735">
        <v>12</v>
      </c>
      <c r="M174" s="736">
        <v>85724.93</v>
      </c>
      <c r="N174" s="735"/>
      <c r="O174" s="735">
        <v>6</v>
      </c>
      <c r="P174" s="736">
        <v>43044.9</v>
      </c>
      <c r="Q174" s="214"/>
    </row>
    <row r="175" spans="1:17" ht="12" customHeight="1" x14ac:dyDescent="0.2">
      <c r="A175" s="735" t="s">
        <v>2169</v>
      </c>
      <c r="B175" s="735" t="s">
        <v>2170</v>
      </c>
      <c r="C175" s="735" t="s">
        <v>451</v>
      </c>
      <c r="D175" s="644" t="s">
        <v>2737</v>
      </c>
      <c r="E175" s="736">
        <v>3000</v>
      </c>
      <c r="F175" s="737" t="s">
        <v>2738</v>
      </c>
      <c r="G175" s="738" t="s">
        <v>2739</v>
      </c>
      <c r="H175" s="644" t="s">
        <v>2740</v>
      </c>
      <c r="I175" s="636" t="s">
        <v>2741</v>
      </c>
      <c r="J175" s="644" t="s">
        <v>2741</v>
      </c>
      <c r="K175" s="739"/>
      <c r="L175" s="735">
        <v>12</v>
      </c>
      <c r="M175" s="736">
        <v>38057.810000000005</v>
      </c>
      <c r="N175" s="735"/>
      <c r="O175" s="735">
        <v>6</v>
      </c>
      <c r="P175" s="736">
        <v>18734.12</v>
      </c>
      <c r="Q175" s="214"/>
    </row>
    <row r="176" spans="1:17" ht="12" customHeight="1" x14ac:dyDescent="0.2">
      <c r="A176" s="735" t="s">
        <v>2169</v>
      </c>
      <c r="B176" s="735" t="s">
        <v>2170</v>
      </c>
      <c r="C176" s="735" t="s">
        <v>451</v>
      </c>
      <c r="D176" s="644" t="s">
        <v>2742</v>
      </c>
      <c r="E176" s="736">
        <v>3500</v>
      </c>
      <c r="F176" s="737" t="s">
        <v>2743</v>
      </c>
      <c r="G176" s="738" t="s">
        <v>2744</v>
      </c>
      <c r="H176" s="644" t="s">
        <v>2745</v>
      </c>
      <c r="I176" s="636" t="s">
        <v>2385</v>
      </c>
      <c r="J176" s="644" t="s">
        <v>2385</v>
      </c>
      <c r="K176" s="739"/>
      <c r="L176" s="735">
        <v>12</v>
      </c>
      <c r="M176" s="736">
        <v>43953.820000000007</v>
      </c>
      <c r="N176" s="735"/>
      <c r="O176" s="735">
        <v>6</v>
      </c>
      <c r="P176" s="736">
        <v>22001.65</v>
      </c>
      <c r="Q176" s="214"/>
    </row>
    <row r="177" spans="1:17" ht="12" customHeight="1" x14ac:dyDescent="0.2">
      <c r="A177" s="735" t="s">
        <v>2169</v>
      </c>
      <c r="B177" s="735" t="s">
        <v>2170</v>
      </c>
      <c r="C177" s="735" t="s">
        <v>451</v>
      </c>
      <c r="D177" s="644" t="s">
        <v>2746</v>
      </c>
      <c r="E177" s="736">
        <v>15600</v>
      </c>
      <c r="F177" s="737" t="s">
        <v>2747</v>
      </c>
      <c r="G177" s="738" t="s">
        <v>2748</v>
      </c>
      <c r="H177" s="644">
        <v>0</v>
      </c>
      <c r="I177" s="636">
        <v>0</v>
      </c>
      <c r="J177" s="644">
        <v>0</v>
      </c>
      <c r="K177" s="739"/>
      <c r="L177" s="735">
        <v>5</v>
      </c>
      <c r="M177" s="736">
        <v>78567</v>
      </c>
      <c r="N177" s="735"/>
      <c r="O177" s="735"/>
      <c r="P177" s="736"/>
      <c r="Q177" s="214"/>
    </row>
    <row r="178" spans="1:17" ht="12" customHeight="1" x14ac:dyDescent="0.2">
      <c r="A178" s="735" t="s">
        <v>2169</v>
      </c>
      <c r="B178" s="735" t="s">
        <v>2170</v>
      </c>
      <c r="C178" s="735" t="s">
        <v>451</v>
      </c>
      <c r="D178" s="644" t="s">
        <v>2749</v>
      </c>
      <c r="E178" s="736">
        <v>10500</v>
      </c>
      <c r="F178" s="737" t="s">
        <v>2750</v>
      </c>
      <c r="G178" s="738" t="s">
        <v>2751</v>
      </c>
      <c r="H178" s="644" t="s">
        <v>2752</v>
      </c>
      <c r="I178" s="636" t="s">
        <v>2296</v>
      </c>
      <c r="J178" s="644" t="s">
        <v>2296</v>
      </c>
      <c r="K178" s="739"/>
      <c r="L178" s="735">
        <v>12</v>
      </c>
      <c r="M178" s="736">
        <v>128457.87999999998</v>
      </c>
      <c r="N178" s="735"/>
      <c r="O178" s="735">
        <v>6</v>
      </c>
      <c r="P178" s="736">
        <v>63602.12</v>
      </c>
      <c r="Q178" s="214"/>
    </row>
    <row r="179" spans="1:17" ht="12" customHeight="1" x14ac:dyDescent="0.2">
      <c r="A179" s="735" t="s">
        <v>2169</v>
      </c>
      <c r="B179" s="735" t="s">
        <v>2170</v>
      </c>
      <c r="C179" s="735" t="s">
        <v>451</v>
      </c>
      <c r="D179" s="644" t="s">
        <v>2373</v>
      </c>
      <c r="E179" s="736">
        <v>4000</v>
      </c>
      <c r="F179" s="737" t="s">
        <v>2753</v>
      </c>
      <c r="G179" s="738" t="s">
        <v>2754</v>
      </c>
      <c r="H179" s="644" t="s">
        <v>2755</v>
      </c>
      <c r="I179" s="636" t="s">
        <v>2218</v>
      </c>
      <c r="J179" s="644"/>
      <c r="K179" s="739"/>
      <c r="L179" s="735">
        <v>4</v>
      </c>
      <c r="M179" s="736">
        <v>17040.199999999997</v>
      </c>
      <c r="N179" s="735"/>
      <c r="O179" s="735">
        <v>6</v>
      </c>
      <c r="P179" s="736">
        <v>24899.800000000003</v>
      </c>
      <c r="Q179" s="214"/>
    </row>
    <row r="180" spans="1:17" ht="12" customHeight="1" x14ac:dyDescent="0.2">
      <c r="A180" s="735" t="s">
        <v>2169</v>
      </c>
      <c r="B180" s="735" t="s">
        <v>2170</v>
      </c>
      <c r="C180" s="735" t="s">
        <v>451</v>
      </c>
      <c r="D180" s="644" t="s">
        <v>2446</v>
      </c>
      <c r="E180" s="736">
        <v>2500</v>
      </c>
      <c r="F180" s="737" t="s">
        <v>2756</v>
      </c>
      <c r="G180" s="738" t="s">
        <v>2757</v>
      </c>
      <c r="H180" s="644" t="s">
        <v>2504</v>
      </c>
      <c r="I180" s="636" t="s">
        <v>2254</v>
      </c>
      <c r="J180" s="644" t="s">
        <v>2254</v>
      </c>
      <c r="K180" s="739"/>
      <c r="L180" s="735">
        <v>12</v>
      </c>
      <c r="M180" s="736">
        <v>32127.470000000008</v>
      </c>
      <c r="N180" s="735"/>
      <c r="O180" s="735">
        <v>6</v>
      </c>
      <c r="P180" s="736">
        <v>16042.92</v>
      </c>
      <c r="Q180" s="214"/>
    </row>
    <row r="181" spans="1:17" ht="12" customHeight="1" x14ac:dyDescent="0.2">
      <c r="A181" s="735" t="s">
        <v>2169</v>
      </c>
      <c r="B181" s="735" t="s">
        <v>2170</v>
      </c>
      <c r="C181" s="735" t="s">
        <v>451</v>
      </c>
      <c r="D181" s="644" t="s">
        <v>2758</v>
      </c>
      <c r="E181" s="736">
        <v>15600</v>
      </c>
      <c r="F181" s="737" t="s">
        <v>2759</v>
      </c>
      <c r="G181" s="738" t="s">
        <v>2760</v>
      </c>
      <c r="H181" s="644" t="s">
        <v>2189</v>
      </c>
      <c r="I181" s="636" t="s">
        <v>2175</v>
      </c>
      <c r="J181" s="644"/>
      <c r="K181" s="739"/>
      <c r="L181" s="735">
        <v>4</v>
      </c>
      <c r="M181" s="736">
        <v>63040.2</v>
      </c>
      <c r="N181" s="735"/>
      <c r="O181" s="735">
        <v>6</v>
      </c>
      <c r="P181" s="736">
        <v>93084.9</v>
      </c>
      <c r="Q181" s="214"/>
    </row>
    <row r="182" spans="1:17" ht="12" customHeight="1" x14ac:dyDescent="0.2">
      <c r="A182" s="735" t="s">
        <v>2169</v>
      </c>
      <c r="B182" s="735" t="s">
        <v>2170</v>
      </c>
      <c r="C182" s="735" t="s">
        <v>451</v>
      </c>
      <c r="D182" s="644" t="s">
        <v>2560</v>
      </c>
      <c r="E182" s="736">
        <v>3500</v>
      </c>
      <c r="F182" s="737" t="s">
        <v>2761</v>
      </c>
      <c r="G182" s="738" t="s">
        <v>2762</v>
      </c>
      <c r="H182" s="644" t="s">
        <v>2372</v>
      </c>
      <c r="I182" s="636" t="s">
        <v>2284</v>
      </c>
      <c r="J182" s="644" t="s">
        <v>2284</v>
      </c>
      <c r="K182" s="739"/>
      <c r="L182" s="735">
        <v>12</v>
      </c>
      <c r="M182" s="736">
        <v>43957.630000000012</v>
      </c>
      <c r="N182" s="735"/>
      <c r="O182" s="735">
        <v>6</v>
      </c>
      <c r="P182" s="736">
        <v>22044.9</v>
      </c>
      <c r="Q182" s="214"/>
    </row>
    <row r="183" spans="1:17" ht="12" customHeight="1" x14ac:dyDescent="0.2">
      <c r="A183" s="735" t="s">
        <v>2169</v>
      </c>
      <c r="B183" s="735" t="s">
        <v>2170</v>
      </c>
      <c r="C183" s="735" t="s">
        <v>451</v>
      </c>
      <c r="D183" s="644" t="s">
        <v>2763</v>
      </c>
      <c r="E183" s="736">
        <v>15600</v>
      </c>
      <c r="F183" s="737" t="s">
        <v>2764</v>
      </c>
      <c r="G183" s="738" t="s">
        <v>2765</v>
      </c>
      <c r="H183" s="644" t="s">
        <v>2766</v>
      </c>
      <c r="I183" s="636" t="s">
        <v>2250</v>
      </c>
      <c r="J183" s="644" t="s">
        <v>2250</v>
      </c>
      <c r="K183" s="739"/>
      <c r="L183" s="735">
        <v>6</v>
      </c>
      <c r="M183" s="736">
        <v>87520.4</v>
      </c>
      <c r="N183" s="735"/>
      <c r="O183" s="735"/>
      <c r="P183" s="736"/>
      <c r="Q183" s="214"/>
    </row>
    <row r="184" spans="1:17" ht="12" customHeight="1" x14ac:dyDescent="0.2">
      <c r="A184" s="735" t="s">
        <v>2169</v>
      </c>
      <c r="B184" s="735" t="s">
        <v>2170</v>
      </c>
      <c r="C184" s="735" t="s">
        <v>451</v>
      </c>
      <c r="D184" s="644" t="s">
        <v>2767</v>
      </c>
      <c r="E184" s="736">
        <v>15600</v>
      </c>
      <c r="F184" s="737" t="s">
        <v>2768</v>
      </c>
      <c r="G184" s="738" t="s">
        <v>2769</v>
      </c>
      <c r="H184" s="644" t="s">
        <v>2201</v>
      </c>
      <c r="I184" s="636" t="s">
        <v>2201</v>
      </c>
      <c r="J184" s="644"/>
      <c r="K184" s="739"/>
      <c r="L184" s="735">
        <v>5</v>
      </c>
      <c r="M184" s="736">
        <v>69727</v>
      </c>
      <c r="N184" s="735"/>
      <c r="O184" s="735"/>
      <c r="P184" s="736"/>
      <c r="Q184" s="214"/>
    </row>
    <row r="185" spans="1:17" ht="12" customHeight="1" x14ac:dyDescent="0.2">
      <c r="A185" s="735" t="s">
        <v>2169</v>
      </c>
      <c r="B185" s="735" t="s">
        <v>2170</v>
      </c>
      <c r="C185" s="735" t="s">
        <v>451</v>
      </c>
      <c r="D185" s="644" t="s">
        <v>2630</v>
      </c>
      <c r="E185" s="736">
        <v>8000</v>
      </c>
      <c r="F185" s="737" t="s">
        <v>2770</v>
      </c>
      <c r="G185" s="738" t="s">
        <v>2771</v>
      </c>
      <c r="H185" s="644">
        <v>0</v>
      </c>
      <c r="I185" s="636">
        <v>0</v>
      </c>
      <c r="J185" s="644">
        <v>0</v>
      </c>
      <c r="K185" s="739"/>
      <c r="L185" s="735">
        <v>3</v>
      </c>
      <c r="M185" s="736">
        <v>24340.199999999997</v>
      </c>
      <c r="N185" s="735"/>
      <c r="O185" s="735"/>
      <c r="P185" s="736"/>
      <c r="Q185" s="214"/>
    </row>
    <row r="186" spans="1:17" ht="12" customHeight="1" x14ac:dyDescent="0.2">
      <c r="A186" s="735" t="s">
        <v>2169</v>
      </c>
      <c r="B186" s="735" t="s">
        <v>2170</v>
      </c>
      <c r="C186" s="735" t="s">
        <v>451</v>
      </c>
      <c r="D186" s="644" t="s">
        <v>2772</v>
      </c>
      <c r="E186" s="736">
        <v>5500</v>
      </c>
      <c r="F186" s="737" t="s">
        <v>2773</v>
      </c>
      <c r="G186" s="738" t="s">
        <v>2774</v>
      </c>
      <c r="H186" s="644" t="s">
        <v>2569</v>
      </c>
      <c r="I186" s="636" t="s">
        <v>2228</v>
      </c>
      <c r="J186" s="644"/>
      <c r="K186" s="739"/>
      <c r="L186" s="735">
        <v>1</v>
      </c>
      <c r="M186" s="736">
        <v>5316.67</v>
      </c>
      <c r="N186" s="735"/>
      <c r="O186" s="735">
        <v>6</v>
      </c>
      <c r="P186" s="736">
        <v>34033.83</v>
      </c>
      <c r="Q186" s="214"/>
    </row>
    <row r="187" spans="1:17" ht="12" customHeight="1" x14ac:dyDescent="0.2">
      <c r="A187" s="735" t="s">
        <v>2169</v>
      </c>
      <c r="B187" s="735" t="s">
        <v>2170</v>
      </c>
      <c r="C187" s="735" t="s">
        <v>451</v>
      </c>
      <c r="D187" s="644" t="s">
        <v>2775</v>
      </c>
      <c r="E187" s="736">
        <v>12000</v>
      </c>
      <c r="F187" s="737" t="s">
        <v>2776</v>
      </c>
      <c r="G187" s="738" t="s">
        <v>2777</v>
      </c>
      <c r="H187" s="644" t="s">
        <v>2275</v>
      </c>
      <c r="I187" s="636" t="s">
        <v>2175</v>
      </c>
      <c r="J187" s="644" t="s">
        <v>2275</v>
      </c>
      <c r="K187" s="739"/>
      <c r="L187" s="735">
        <v>9</v>
      </c>
      <c r="M187" s="736">
        <v>104458.55999999998</v>
      </c>
      <c r="N187" s="735"/>
      <c r="O187" s="735"/>
      <c r="P187" s="736"/>
      <c r="Q187" s="214"/>
    </row>
    <row r="188" spans="1:17" ht="12" customHeight="1" x14ac:dyDescent="0.2">
      <c r="A188" s="735" t="s">
        <v>2169</v>
      </c>
      <c r="B188" s="735" t="s">
        <v>2170</v>
      </c>
      <c r="C188" s="735" t="s">
        <v>451</v>
      </c>
      <c r="D188" s="644" t="s">
        <v>2778</v>
      </c>
      <c r="E188" s="736">
        <v>6000</v>
      </c>
      <c r="F188" s="737" t="s">
        <v>2779</v>
      </c>
      <c r="G188" s="738" t="s">
        <v>2780</v>
      </c>
      <c r="H188" s="644" t="s">
        <v>2201</v>
      </c>
      <c r="I188" s="636"/>
      <c r="J188" s="644"/>
      <c r="K188" s="739"/>
      <c r="L188" s="735">
        <v>12</v>
      </c>
      <c r="M188" s="736">
        <v>74533.039999999994</v>
      </c>
      <c r="N188" s="735"/>
      <c r="O188" s="735">
        <v>6</v>
      </c>
      <c r="P188" s="736">
        <v>36596.19</v>
      </c>
      <c r="Q188" s="214"/>
    </row>
    <row r="189" spans="1:17" ht="12" customHeight="1" x14ac:dyDescent="0.2">
      <c r="A189" s="735" t="s">
        <v>2169</v>
      </c>
      <c r="B189" s="735" t="s">
        <v>2170</v>
      </c>
      <c r="C189" s="735" t="s">
        <v>451</v>
      </c>
      <c r="D189" s="644" t="s">
        <v>2781</v>
      </c>
      <c r="E189" s="736">
        <v>3000</v>
      </c>
      <c r="F189" s="737" t="s">
        <v>2782</v>
      </c>
      <c r="G189" s="738" t="s">
        <v>2783</v>
      </c>
      <c r="H189" s="644" t="s">
        <v>2184</v>
      </c>
      <c r="I189" s="636" t="s">
        <v>2454</v>
      </c>
      <c r="J189" s="644" t="s">
        <v>2184</v>
      </c>
      <c r="K189" s="739"/>
      <c r="L189" s="735">
        <v>12</v>
      </c>
      <c r="M189" s="736">
        <v>37860.80000000001</v>
      </c>
      <c r="N189" s="735"/>
      <c r="O189" s="735">
        <v>6</v>
      </c>
      <c r="P189" s="736">
        <v>18944.47</v>
      </c>
      <c r="Q189" s="214"/>
    </row>
    <row r="190" spans="1:17" ht="12" customHeight="1" x14ac:dyDescent="0.2">
      <c r="A190" s="735" t="s">
        <v>2169</v>
      </c>
      <c r="B190" s="735" t="s">
        <v>2170</v>
      </c>
      <c r="C190" s="735" t="s">
        <v>451</v>
      </c>
      <c r="D190" s="644" t="s">
        <v>2784</v>
      </c>
      <c r="E190" s="736">
        <v>6500</v>
      </c>
      <c r="F190" s="737" t="s">
        <v>2785</v>
      </c>
      <c r="G190" s="738" t="s">
        <v>2786</v>
      </c>
      <c r="H190" s="644" t="s">
        <v>2787</v>
      </c>
      <c r="I190" s="636" t="s">
        <v>2250</v>
      </c>
      <c r="J190" s="644" t="s">
        <v>2250</v>
      </c>
      <c r="K190" s="739"/>
      <c r="L190" s="735">
        <v>12</v>
      </c>
      <c r="M190" s="736">
        <v>79960.799999999988</v>
      </c>
      <c r="N190" s="735"/>
      <c r="O190" s="735">
        <v>6</v>
      </c>
      <c r="P190" s="736">
        <v>40044.9</v>
      </c>
      <c r="Q190" s="214"/>
    </row>
    <row r="191" spans="1:17" ht="12" customHeight="1" x14ac:dyDescent="0.2">
      <c r="A191" s="735" t="s">
        <v>2169</v>
      </c>
      <c r="B191" s="735" t="s">
        <v>2170</v>
      </c>
      <c r="C191" s="735" t="s">
        <v>451</v>
      </c>
      <c r="D191" s="644" t="s">
        <v>2788</v>
      </c>
      <c r="E191" s="736">
        <v>4000</v>
      </c>
      <c r="F191" s="737" t="s">
        <v>2789</v>
      </c>
      <c r="G191" s="738" t="s">
        <v>2790</v>
      </c>
      <c r="H191" s="644" t="s">
        <v>2201</v>
      </c>
      <c r="I191" s="636"/>
      <c r="J191" s="644"/>
      <c r="K191" s="739"/>
      <c r="L191" s="735">
        <v>12</v>
      </c>
      <c r="M191" s="736">
        <v>49847.400000000009</v>
      </c>
      <c r="N191" s="735"/>
      <c r="O191" s="735">
        <v>6</v>
      </c>
      <c r="P191" s="736">
        <v>24738.590000000004</v>
      </c>
      <c r="Q191" s="214"/>
    </row>
    <row r="192" spans="1:17" ht="12" customHeight="1" x14ac:dyDescent="0.2">
      <c r="A192" s="735" t="s">
        <v>2169</v>
      </c>
      <c r="B192" s="735" t="s">
        <v>2170</v>
      </c>
      <c r="C192" s="735" t="s">
        <v>451</v>
      </c>
      <c r="D192" s="644" t="s">
        <v>2446</v>
      </c>
      <c r="E192" s="736">
        <v>2500</v>
      </c>
      <c r="F192" s="737" t="s">
        <v>2791</v>
      </c>
      <c r="G192" s="738" t="s">
        <v>2792</v>
      </c>
      <c r="H192" s="644" t="s">
        <v>2253</v>
      </c>
      <c r="I192" s="636" t="s">
        <v>2254</v>
      </c>
      <c r="J192" s="644" t="s">
        <v>2254</v>
      </c>
      <c r="K192" s="739"/>
      <c r="L192" s="735">
        <v>12</v>
      </c>
      <c r="M192" s="736">
        <v>32041.410000000003</v>
      </c>
      <c r="N192" s="735"/>
      <c r="O192" s="735">
        <v>6</v>
      </c>
      <c r="P192" s="736">
        <v>15937.329999999998</v>
      </c>
      <c r="Q192" s="214"/>
    </row>
    <row r="193" spans="1:17" ht="12" customHeight="1" x14ac:dyDescent="0.2">
      <c r="A193" s="735" t="s">
        <v>2169</v>
      </c>
      <c r="B193" s="735" t="s">
        <v>2170</v>
      </c>
      <c r="C193" s="735" t="s">
        <v>451</v>
      </c>
      <c r="D193" s="644" t="s">
        <v>2793</v>
      </c>
      <c r="E193" s="736">
        <v>13500</v>
      </c>
      <c r="F193" s="737" t="s">
        <v>2794</v>
      </c>
      <c r="G193" s="738" t="s">
        <v>2795</v>
      </c>
      <c r="H193" s="644" t="s">
        <v>2796</v>
      </c>
      <c r="I193" s="636" t="s">
        <v>2652</v>
      </c>
      <c r="J193" s="644"/>
      <c r="K193" s="739"/>
      <c r="L193" s="735">
        <v>4</v>
      </c>
      <c r="M193" s="736">
        <v>55540.2</v>
      </c>
      <c r="N193" s="735"/>
      <c r="O193" s="735">
        <v>6</v>
      </c>
      <c r="P193" s="736">
        <v>82044.899999999994</v>
      </c>
      <c r="Q193" s="214"/>
    </row>
    <row r="194" spans="1:17" ht="12" customHeight="1" x14ac:dyDescent="0.2">
      <c r="A194" s="735" t="s">
        <v>2169</v>
      </c>
      <c r="B194" s="735" t="s">
        <v>2170</v>
      </c>
      <c r="C194" s="735" t="s">
        <v>451</v>
      </c>
      <c r="D194" s="644" t="s">
        <v>2797</v>
      </c>
      <c r="E194" s="736">
        <v>8000</v>
      </c>
      <c r="F194" s="737" t="s">
        <v>2798</v>
      </c>
      <c r="G194" s="738" t="s">
        <v>2799</v>
      </c>
      <c r="H194" s="644" t="s">
        <v>2752</v>
      </c>
      <c r="I194" s="636" t="s">
        <v>2180</v>
      </c>
      <c r="J194" s="644" t="s">
        <v>2180</v>
      </c>
      <c r="K194" s="739"/>
      <c r="L194" s="735">
        <v>12</v>
      </c>
      <c r="M194" s="736">
        <v>98114.069999999992</v>
      </c>
      <c r="N194" s="735"/>
      <c r="O194" s="735">
        <v>6</v>
      </c>
      <c r="P194" s="736">
        <v>49044.9</v>
      </c>
      <c r="Q194" s="214"/>
    </row>
    <row r="195" spans="1:17" ht="12" customHeight="1" x14ac:dyDescent="0.2">
      <c r="A195" s="735" t="s">
        <v>2169</v>
      </c>
      <c r="B195" s="735" t="s">
        <v>2170</v>
      </c>
      <c r="C195" s="735" t="s">
        <v>451</v>
      </c>
      <c r="D195" s="644" t="s">
        <v>2800</v>
      </c>
      <c r="E195" s="736">
        <v>13000</v>
      </c>
      <c r="F195" s="737" t="s">
        <v>2801</v>
      </c>
      <c r="G195" s="738" t="s">
        <v>2802</v>
      </c>
      <c r="H195" s="644" t="s">
        <v>2189</v>
      </c>
      <c r="I195" s="636" t="s">
        <v>2180</v>
      </c>
      <c r="J195" s="644" t="s">
        <v>2180</v>
      </c>
      <c r="K195" s="739"/>
      <c r="L195" s="735">
        <v>12</v>
      </c>
      <c r="M195" s="736">
        <v>154960.79999999996</v>
      </c>
      <c r="N195" s="735"/>
      <c r="O195" s="735">
        <v>6</v>
      </c>
      <c r="P195" s="736">
        <v>79044.899999999994</v>
      </c>
      <c r="Q195" s="214"/>
    </row>
    <row r="196" spans="1:17" ht="12" customHeight="1" x14ac:dyDescent="0.2">
      <c r="A196" s="735" t="s">
        <v>2169</v>
      </c>
      <c r="B196" s="735" t="s">
        <v>2170</v>
      </c>
      <c r="C196" s="735" t="s">
        <v>451</v>
      </c>
      <c r="D196" s="644" t="s">
        <v>2803</v>
      </c>
      <c r="E196" s="736">
        <v>9500</v>
      </c>
      <c r="F196" s="737" t="s">
        <v>2804</v>
      </c>
      <c r="G196" s="738" t="s">
        <v>2805</v>
      </c>
      <c r="H196" s="644" t="s">
        <v>2806</v>
      </c>
      <c r="I196" s="636" t="s">
        <v>2246</v>
      </c>
      <c r="J196" s="644" t="s">
        <v>2806</v>
      </c>
      <c r="K196" s="739"/>
      <c r="L196" s="735">
        <v>12</v>
      </c>
      <c r="M196" s="736">
        <v>116277.45999999996</v>
      </c>
      <c r="N196" s="735"/>
      <c r="O196" s="735">
        <v>6</v>
      </c>
      <c r="P196" s="736">
        <v>57714.590000000004</v>
      </c>
      <c r="Q196" s="214"/>
    </row>
    <row r="197" spans="1:17" ht="12" customHeight="1" x14ac:dyDescent="0.2">
      <c r="A197" s="735" t="s">
        <v>2169</v>
      </c>
      <c r="B197" s="735" t="s">
        <v>2170</v>
      </c>
      <c r="C197" s="735" t="s">
        <v>451</v>
      </c>
      <c r="D197" s="644" t="s">
        <v>2190</v>
      </c>
      <c r="E197" s="736">
        <v>2800</v>
      </c>
      <c r="F197" s="737" t="s">
        <v>2807</v>
      </c>
      <c r="G197" s="738" t="s">
        <v>2808</v>
      </c>
      <c r="H197" s="644" t="s">
        <v>2184</v>
      </c>
      <c r="I197" s="636" t="s">
        <v>2185</v>
      </c>
      <c r="J197" s="644" t="s">
        <v>2184</v>
      </c>
      <c r="K197" s="739"/>
      <c r="L197" s="735">
        <v>12</v>
      </c>
      <c r="M197" s="736">
        <v>35560.80000000001</v>
      </c>
      <c r="N197" s="735"/>
      <c r="O197" s="735">
        <v>6</v>
      </c>
      <c r="P197" s="736">
        <v>17521.050000000003</v>
      </c>
      <c r="Q197" s="214"/>
    </row>
    <row r="198" spans="1:17" ht="12" customHeight="1" x14ac:dyDescent="0.2">
      <c r="A198" s="735" t="s">
        <v>2169</v>
      </c>
      <c r="B198" s="735" t="s">
        <v>2170</v>
      </c>
      <c r="C198" s="735" t="s">
        <v>451</v>
      </c>
      <c r="D198" s="644" t="s">
        <v>2261</v>
      </c>
      <c r="E198" s="736">
        <v>4000</v>
      </c>
      <c r="F198" s="737" t="s">
        <v>2809</v>
      </c>
      <c r="G198" s="738" t="s">
        <v>2810</v>
      </c>
      <c r="H198" s="644">
        <v>0</v>
      </c>
      <c r="I198" s="636">
        <v>0</v>
      </c>
      <c r="J198" s="644">
        <v>0</v>
      </c>
      <c r="K198" s="739"/>
      <c r="L198" s="735">
        <v>2</v>
      </c>
      <c r="M198" s="736">
        <v>8217</v>
      </c>
      <c r="N198" s="735"/>
      <c r="O198" s="735"/>
      <c r="P198" s="736"/>
      <c r="Q198" s="214"/>
    </row>
    <row r="199" spans="1:17" ht="12" customHeight="1" x14ac:dyDescent="0.2">
      <c r="A199" s="735" t="s">
        <v>2169</v>
      </c>
      <c r="B199" s="735" t="s">
        <v>2170</v>
      </c>
      <c r="C199" s="735" t="s">
        <v>451</v>
      </c>
      <c r="D199" s="644" t="s">
        <v>2811</v>
      </c>
      <c r="E199" s="736">
        <v>3500</v>
      </c>
      <c r="F199" s="737" t="s">
        <v>2812</v>
      </c>
      <c r="G199" s="738" t="s">
        <v>2813</v>
      </c>
      <c r="H199" s="644" t="s">
        <v>2346</v>
      </c>
      <c r="I199" s="636" t="s">
        <v>2241</v>
      </c>
      <c r="J199" s="644" t="s">
        <v>2241</v>
      </c>
      <c r="K199" s="739"/>
      <c r="L199" s="735">
        <v>3</v>
      </c>
      <c r="M199" s="736">
        <v>10838.3</v>
      </c>
      <c r="N199" s="735"/>
      <c r="O199" s="735"/>
      <c r="P199" s="736"/>
      <c r="Q199" s="214"/>
    </row>
    <row r="200" spans="1:17" ht="12" customHeight="1" x14ac:dyDescent="0.2">
      <c r="A200" s="735" t="s">
        <v>2169</v>
      </c>
      <c r="B200" s="735" t="s">
        <v>2170</v>
      </c>
      <c r="C200" s="735" t="s">
        <v>451</v>
      </c>
      <c r="D200" s="644" t="s">
        <v>2814</v>
      </c>
      <c r="E200" s="736">
        <v>11000</v>
      </c>
      <c r="F200" s="737" t="s">
        <v>2815</v>
      </c>
      <c r="G200" s="738" t="s">
        <v>2816</v>
      </c>
      <c r="H200" s="644" t="s">
        <v>2817</v>
      </c>
      <c r="I200" s="636" t="s">
        <v>2250</v>
      </c>
      <c r="J200" s="644" t="s">
        <v>2250</v>
      </c>
      <c r="K200" s="739"/>
      <c r="L200" s="735">
        <v>12</v>
      </c>
      <c r="M200" s="736">
        <v>134143.22999999998</v>
      </c>
      <c r="N200" s="735"/>
      <c r="O200" s="735">
        <v>6</v>
      </c>
      <c r="P200" s="736">
        <v>67017.240000000005</v>
      </c>
      <c r="Q200" s="214"/>
    </row>
    <row r="201" spans="1:17" ht="12" customHeight="1" x14ac:dyDescent="0.2">
      <c r="A201" s="735" t="s">
        <v>2169</v>
      </c>
      <c r="B201" s="735" t="s">
        <v>2170</v>
      </c>
      <c r="C201" s="735" t="s">
        <v>451</v>
      </c>
      <c r="D201" s="644" t="s">
        <v>2818</v>
      </c>
      <c r="E201" s="736">
        <v>3000</v>
      </c>
      <c r="F201" s="737" t="s">
        <v>2819</v>
      </c>
      <c r="G201" s="738" t="s">
        <v>2820</v>
      </c>
      <c r="H201" s="644" t="s">
        <v>2268</v>
      </c>
      <c r="I201" s="636" t="s">
        <v>2175</v>
      </c>
      <c r="J201" s="644"/>
      <c r="K201" s="739"/>
      <c r="L201" s="735">
        <v>5</v>
      </c>
      <c r="M201" s="736">
        <v>15867</v>
      </c>
      <c r="N201" s="735"/>
      <c r="O201" s="735">
        <v>6</v>
      </c>
      <c r="P201" s="736">
        <v>18942.739999999998</v>
      </c>
      <c r="Q201" s="214"/>
    </row>
    <row r="202" spans="1:17" ht="12" customHeight="1" x14ac:dyDescent="0.2">
      <c r="A202" s="735" t="s">
        <v>2169</v>
      </c>
      <c r="B202" s="735" t="s">
        <v>2170</v>
      </c>
      <c r="C202" s="735" t="s">
        <v>451</v>
      </c>
      <c r="D202" s="644" t="s">
        <v>2821</v>
      </c>
      <c r="E202" s="736">
        <v>3000</v>
      </c>
      <c r="F202" s="737" t="s">
        <v>2822</v>
      </c>
      <c r="G202" s="738" t="s">
        <v>2823</v>
      </c>
      <c r="H202" s="644" t="s">
        <v>2824</v>
      </c>
      <c r="I202" s="636" t="s">
        <v>2284</v>
      </c>
      <c r="J202" s="644" t="s">
        <v>2284</v>
      </c>
      <c r="K202" s="739"/>
      <c r="L202" s="735">
        <v>6</v>
      </c>
      <c r="M202" s="736">
        <v>18680.400000000001</v>
      </c>
      <c r="N202" s="735"/>
      <c r="O202" s="735"/>
      <c r="P202" s="736"/>
      <c r="Q202" s="214"/>
    </row>
    <row r="203" spans="1:17" ht="12" customHeight="1" x14ac:dyDescent="0.2">
      <c r="A203" s="735" t="s">
        <v>2169</v>
      </c>
      <c r="B203" s="735" t="s">
        <v>2170</v>
      </c>
      <c r="C203" s="735" t="s">
        <v>451</v>
      </c>
      <c r="D203" s="644" t="s">
        <v>2825</v>
      </c>
      <c r="E203" s="736">
        <v>3500</v>
      </c>
      <c r="F203" s="737" t="s">
        <v>2826</v>
      </c>
      <c r="G203" s="738" t="s">
        <v>2827</v>
      </c>
      <c r="H203" s="644" t="s">
        <v>2828</v>
      </c>
      <c r="I203" s="636" t="s">
        <v>2741</v>
      </c>
      <c r="J203" s="644" t="s">
        <v>2741</v>
      </c>
      <c r="K203" s="739"/>
      <c r="L203" s="735">
        <v>12</v>
      </c>
      <c r="M203" s="736">
        <v>43727.470000000008</v>
      </c>
      <c r="N203" s="735"/>
      <c r="O203" s="735">
        <v>6</v>
      </c>
      <c r="P203" s="736">
        <v>22044.9</v>
      </c>
      <c r="Q203" s="214"/>
    </row>
    <row r="204" spans="1:17" ht="12" customHeight="1" x14ac:dyDescent="0.2">
      <c r="A204" s="735" t="s">
        <v>2169</v>
      </c>
      <c r="B204" s="735" t="s">
        <v>2170</v>
      </c>
      <c r="C204" s="735" t="s">
        <v>451</v>
      </c>
      <c r="D204" s="644" t="s">
        <v>2190</v>
      </c>
      <c r="E204" s="736">
        <v>3000</v>
      </c>
      <c r="F204" s="737" t="s">
        <v>2829</v>
      </c>
      <c r="G204" s="738" t="s">
        <v>2830</v>
      </c>
      <c r="H204" s="644">
        <v>0</v>
      </c>
      <c r="I204" s="636">
        <v>0</v>
      </c>
      <c r="J204" s="644">
        <v>0</v>
      </c>
      <c r="K204" s="739"/>
      <c r="L204" s="735">
        <v>3</v>
      </c>
      <c r="M204" s="736">
        <v>9338.02</v>
      </c>
      <c r="N204" s="735"/>
      <c r="O204" s="735"/>
      <c r="P204" s="736"/>
      <c r="Q204" s="214"/>
    </row>
    <row r="205" spans="1:17" ht="12" customHeight="1" x14ac:dyDescent="0.2">
      <c r="A205" s="735" t="s">
        <v>2169</v>
      </c>
      <c r="B205" s="735" t="s">
        <v>2170</v>
      </c>
      <c r="C205" s="735" t="s">
        <v>451</v>
      </c>
      <c r="D205" s="644" t="s">
        <v>2831</v>
      </c>
      <c r="E205" s="736">
        <v>10000</v>
      </c>
      <c r="F205" s="737" t="s">
        <v>2832</v>
      </c>
      <c r="G205" s="738" t="s">
        <v>2833</v>
      </c>
      <c r="H205" s="644" t="s">
        <v>2236</v>
      </c>
      <c r="I205" s="636" t="s">
        <v>2228</v>
      </c>
      <c r="J205" s="644" t="s">
        <v>2236</v>
      </c>
      <c r="K205" s="739"/>
      <c r="L205" s="735">
        <v>12</v>
      </c>
      <c r="M205" s="736">
        <v>121960.79999999997</v>
      </c>
      <c r="N205" s="735"/>
      <c r="O205" s="735">
        <v>6</v>
      </c>
      <c r="P205" s="736">
        <v>61036.990000000005</v>
      </c>
      <c r="Q205" s="214"/>
    </row>
    <row r="206" spans="1:17" ht="12" customHeight="1" x14ac:dyDescent="0.2">
      <c r="A206" s="735" t="s">
        <v>2169</v>
      </c>
      <c r="B206" s="735" t="s">
        <v>2170</v>
      </c>
      <c r="C206" s="735" t="s">
        <v>451</v>
      </c>
      <c r="D206" s="644" t="s">
        <v>2265</v>
      </c>
      <c r="E206" s="736">
        <v>8200</v>
      </c>
      <c r="F206" s="737" t="s">
        <v>2834</v>
      </c>
      <c r="G206" s="738" t="s">
        <v>2835</v>
      </c>
      <c r="H206" s="644" t="s">
        <v>2836</v>
      </c>
      <c r="I206" s="636" t="s">
        <v>2393</v>
      </c>
      <c r="J206" s="644" t="s">
        <v>2393</v>
      </c>
      <c r="K206" s="739"/>
      <c r="L206" s="735">
        <v>12</v>
      </c>
      <c r="M206" s="736">
        <v>100601.39999999998</v>
      </c>
      <c r="N206" s="735"/>
      <c r="O206" s="735">
        <v>6</v>
      </c>
      <c r="P206" s="736">
        <v>50206.020000000004</v>
      </c>
      <c r="Q206" s="214"/>
    </row>
    <row r="207" spans="1:17" ht="12" customHeight="1" x14ac:dyDescent="0.2">
      <c r="A207" s="735" t="s">
        <v>2169</v>
      </c>
      <c r="B207" s="735" t="s">
        <v>2170</v>
      </c>
      <c r="C207" s="735" t="s">
        <v>451</v>
      </c>
      <c r="D207" s="644" t="s">
        <v>2837</v>
      </c>
      <c r="E207" s="736">
        <v>7500</v>
      </c>
      <c r="F207" s="737" t="s">
        <v>2838</v>
      </c>
      <c r="G207" s="738" t="s">
        <v>2839</v>
      </c>
      <c r="H207" s="644" t="s">
        <v>2245</v>
      </c>
      <c r="I207" s="636" t="s">
        <v>2180</v>
      </c>
      <c r="J207" s="644" t="s">
        <v>2180</v>
      </c>
      <c r="K207" s="739"/>
      <c r="L207" s="735">
        <v>12</v>
      </c>
      <c r="M207" s="736">
        <v>91710.799999999988</v>
      </c>
      <c r="N207" s="735"/>
      <c r="O207" s="735">
        <v>1</v>
      </c>
      <c r="P207" s="736">
        <v>17215.82</v>
      </c>
      <c r="Q207" s="214"/>
    </row>
    <row r="208" spans="1:17" ht="12" customHeight="1" x14ac:dyDescent="0.2">
      <c r="A208" s="735" t="s">
        <v>2169</v>
      </c>
      <c r="B208" s="735" t="s">
        <v>2170</v>
      </c>
      <c r="C208" s="735" t="s">
        <v>451</v>
      </c>
      <c r="D208" s="644" t="s">
        <v>2840</v>
      </c>
      <c r="E208" s="736">
        <v>8000</v>
      </c>
      <c r="F208" s="737" t="s">
        <v>2841</v>
      </c>
      <c r="G208" s="738" t="s">
        <v>2842</v>
      </c>
      <c r="H208" s="644" t="s">
        <v>2310</v>
      </c>
      <c r="I208" s="636" t="s">
        <v>2180</v>
      </c>
      <c r="J208" s="644" t="s">
        <v>2180</v>
      </c>
      <c r="K208" s="739"/>
      <c r="L208" s="735">
        <v>12</v>
      </c>
      <c r="M208" s="736">
        <v>99401.569999999978</v>
      </c>
      <c r="N208" s="735"/>
      <c r="O208" s="735">
        <v>6</v>
      </c>
      <c r="P208" s="736">
        <v>48938.58</v>
      </c>
      <c r="Q208" s="214"/>
    </row>
    <row r="209" spans="1:17" ht="12" customHeight="1" x14ac:dyDescent="0.2">
      <c r="A209" s="735" t="s">
        <v>2169</v>
      </c>
      <c r="B209" s="735" t="s">
        <v>2170</v>
      </c>
      <c r="C209" s="735" t="s">
        <v>451</v>
      </c>
      <c r="D209" s="644" t="s">
        <v>2843</v>
      </c>
      <c r="E209" s="736">
        <v>6000</v>
      </c>
      <c r="F209" s="737" t="s">
        <v>2844</v>
      </c>
      <c r="G209" s="738" t="s">
        <v>2845</v>
      </c>
      <c r="H209" s="644" t="s">
        <v>2346</v>
      </c>
      <c r="I209" s="636" t="s">
        <v>2284</v>
      </c>
      <c r="J209" s="644" t="s">
        <v>2284</v>
      </c>
      <c r="K209" s="739"/>
      <c r="L209" s="735">
        <v>12</v>
      </c>
      <c r="M209" s="736">
        <v>73960.800000000003</v>
      </c>
      <c r="N209" s="735"/>
      <c r="O209" s="735">
        <v>6</v>
      </c>
      <c r="P209" s="736">
        <v>36988.01</v>
      </c>
      <c r="Q209" s="214"/>
    </row>
    <row r="210" spans="1:17" ht="12" customHeight="1" x14ac:dyDescent="0.2">
      <c r="A210" s="735" t="s">
        <v>2169</v>
      </c>
      <c r="B210" s="735" t="s">
        <v>2170</v>
      </c>
      <c r="C210" s="735" t="s">
        <v>451</v>
      </c>
      <c r="D210" s="644" t="s">
        <v>2846</v>
      </c>
      <c r="E210" s="736">
        <v>10000</v>
      </c>
      <c r="F210" s="737" t="s">
        <v>2847</v>
      </c>
      <c r="G210" s="738" t="s">
        <v>2848</v>
      </c>
      <c r="H210" s="644" t="s">
        <v>2279</v>
      </c>
      <c r="I210" s="636" t="s">
        <v>2180</v>
      </c>
      <c r="J210" s="644" t="s">
        <v>2180</v>
      </c>
      <c r="K210" s="739"/>
      <c r="L210" s="735">
        <v>12</v>
      </c>
      <c r="M210" s="736">
        <v>121960.79999999997</v>
      </c>
      <c r="N210" s="735"/>
      <c r="O210" s="735">
        <v>6</v>
      </c>
      <c r="P210" s="736">
        <v>61044.9</v>
      </c>
      <c r="Q210" s="214"/>
    </row>
    <row r="211" spans="1:17" ht="12" customHeight="1" x14ac:dyDescent="0.2">
      <c r="A211" s="735" t="s">
        <v>2169</v>
      </c>
      <c r="B211" s="735" t="s">
        <v>2170</v>
      </c>
      <c r="C211" s="735" t="s">
        <v>451</v>
      </c>
      <c r="D211" s="644" t="s">
        <v>2373</v>
      </c>
      <c r="E211" s="736">
        <v>4000</v>
      </c>
      <c r="F211" s="737" t="s">
        <v>2849</v>
      </c>
      <c r="G211" s="738" t="s">
        <v>2850</v>
      </c>
      <c r="H211" s="644" t="s">
        <v>2201</v>
      </c>
      <c r="I211" s="636"/>
      <c r="J211" s="644"/>
      <c r="K211" s="739"/>
      <c r="L211" s="735">
        <v>12</v>
      </c>
      <c r="M211" s="736">
        <v>49876.140000000007</v>
      </c>
      <c r="N211" s="735"/>
      <c r="O211" s="735">
        <v>6</v>
      </c>
      <c r="P211" s="736">
        <v>25042.89</v>
      </c>
      <c r="Q211" s="214"/>
    </row>
    <row r="212" spans="1:17" ht="12" customHeight="1" x14ac:dyDescent="0.2">
      <c r="A212" s="735" t="s">
        <v>2169</v>
      </c>
      <c r="B212" s="735" t="s">
        <v>2170</v>
      </c>
      <c r="C212" s="735" t="s">
        <v>451</v>
      </c>
      <c r="D212" s="644" t="s">
        <v>2851</v>
      </c>
      <c r="E212" s="736">
        <v>10500</v>
      </c>
      <c r="F212" s="737" t="s">
        <v>2852</v>
      </c>
      <c r="G212" s="738" t="s">
        <v>2853</v>
      </c>
      <c r="H212" s="644" t="s">
        <v>2201</v>
      </c>
      <c r="I212" s="636"/>
      <c r="J212" s="644"/>
      <c r="K212" s="739"/>
      <c r="L212" s="735">
        <v>12</v>
      </c>
      <c r="M212" s="736">
        <v>125406.63999999997</v>
      </c>
      <c r="N212" s="735"/>
      <c r="O212" s="735">
        <v>6</v>
      </c>
      <c r="P212" s="736">
        <v>64044.9</v>
      </c>
      <c r="Q212" s="214"/>
    </row>
    <row r="213" spans="1:17" ht="12" customHeight="1" x14ac:dyDescent="0.2">
      <c r="A213" s="735" t="s">
        <v>2169</v>
      </c>
      <c r="B213" s="735" t="s">
        <v>2170</v>
      </c>
      <c r="C213" s="735" t="s">
        <v>451</v>
      </c>
      <c r="D213" s="644" t="s">
        <v>2854</v>
      </c>
      <c r="E213" s="736">
        <v>9000</v>
      </c>
      <c r="F213" s="737" t="s">
        <v>2855</v>
      </c>
      <c r="G213" s="738" t="s">
        <v>2856</v>
      </c>
      <c r="H213" s="644" t="s">
        <v>2236</v>
      </c>
      <c r="I213" s="636" t="s">
        <v>2175</v>
      </c>
      <c r="J213" s="644"/>
      <c r="K213" s="739"/>
      <c r="L213" s="735">
        <v>6</v>
      </c>
      <c r="M213" s="736">
        <v>52167</v>
      </c>
      <c r="N213" s="735"/>
      <c r="O213" s="735">
        <v>6</v>
      </c>
      <c r="P213" s="736">
        <v>55042.96</v>
      </c>
      <c r="Q213" s="214"/>
    </row>
    <row r="214" spans="1:17" ht="12" customHeight="1" x14ac:dyDescent="0.2">
      <c r="A214" s="735" t="s">
        <v>2169</v>
      </c>
      <c r="B214" s="735" t="s">
        <v>2170</v>
      </c>
      <c r="C214" s="735" t="s">
        <v>451</v>
      </c>
      <c r="D214" s="644" t="s">
        <v>2857</v>
      </c>
      <c r="E214" s="736">
        <v>8000</v>
      </c>
      <c r="F214" s="737" t="s">
        <v>2858</v>
      </c>
      <c r="G214" s="738" t="s">
        <v>2859</v>
      </c>
      <c r="H214" s="644" t="s">
        <v>2179</v>
      </c>
      <c r="I214" s="636" t="s">
        <v>2228</v>
      </c>
      <c r="J214" s="644" t="s">
        <v>2179</v>
      </c>
      <c r="K214" s="739"/>
      <c r="L214" s="735">
        <v>12</v>
      </c>
      <c r="M214" s="736">
        <v>98114.069999999992</v>
      </c>
      <c r="N214" s="735"/>
      <c r="O214" s="735">
        <v>6</v>
      </c>
      <c r="P214" s="736">
        <v>48993.170000000006</v>
      </c>
      <c r="Q214" s="214"/>
    </row>
    <row r="215" spans="1:17" ht="12" customHeight="1" x14ac:dyDescent="0.2">
      <c r="A215" s="735" t="s">
        <v>2169</v>
      </c>
      <c r="B215" s="735" t="s">
        <v>2170</v>
      </c>
      <c r="C215" s="735" t="s">
        <v>451</v>
      </c>
      <c r="D215" s="644" t="s">
        <v>2860</v>
      </c>
      <c r="E215" s="736">
        <v>3000</v>
      </c>
      <c r="F215" s="737" t="s">
        <v>2861</v>
      </c>
      <c r="G215" s="738" t="s">
        <v>2862</v>
      </c>
      <c r="H215" s="644" t="s">
        <v>2863</v>
      </c>
      <c r="I215" s="636" t="s">
        <v>2180</v>
      </c>
      <c r="J215" s="644" t="s">
        <v>2180</v>
      </c>
      <c r="K215" s="739"/>
      <c r="L215" s="735">
        <v>12</v>
      </c>
      <c r="M215" s="736">
        <v>37960.80000000001</v>
      </c>
      <c r="N215" s="735"/>
      <c r="O215" s="735">
        <v>6</v>
      </c>
      <c r="P215" s="736">
        <v>19041.240000000002</v>
      </c>
      <c r="Q215" s="214"/>
    </row>
    <row r="216" spans="1:17" ht="12" customHeight="1" x14ac:dyDescent="0.2">
      <c r="A216" s="735" t="s">
        <v>2169</v>
      </c>
      <c r="B216" s="735" t="s">
        <v>2170</v>
      </c>
      <c r="C216" s="735" t="s">
        <v>451</v>
      </c>
      <c r="D216" s="644" t="s">
        <v>2864</v>
      </c>
      <c r="E216" s="736">
        <v>3000</v>
      </c>
      <c r="F216" s="737" t="s">
        <v>2865</v>
      </c>
      <c r="G216" s="738" t="s">
        <v>2866</v>
      </c>
      <c r="H216" s="644" t="s">
        <v>2867</v>
      </c>
      <c r="I216" s="636" t="s">
        <v>2218</v>
      </c>
      <c r="J216" s="644"/>
      <c r="K216" s="739"/>
      <c r="L216" s="735">
        <v>2</v>
      </c>
      <c r="M216" s="736">
        <v>3983.7</v>
      </c>
      <c r="N216" s="735"/>
      <c r="O216" s="735">
        <v>6</v>
      </c>
      <c r="P216" s="736">
        <v>18480.460000000003</v>
      </c>
      <c r="Q216" s="214"/>
    </row>
    <row r="217" spans="1:17" ht="12" customHeight="1" x14ac:dyDescent="0.2">
      <c r="A217" s="735" t="s">
        <v>2169</v>
      </c>
      <c r="B217" s="735" t="s">
        <v>2232</v>
      </c>
      <c r="C217" s="735" t="s">
        <v>451</v>
      </c>
      <c r="D217" s="644" t="s">
        <v>2272</v>
      </c>
      <c r="E217" s="736">
        <v>9500</v>
      </c>
      <c r="F217" s="737" t="s">
        <v>2868</v>
      </c>
      <c r="G217" s="738" t="s">
        <v>2869</v>
      </c>
      <c r="H217" s="644" t="s">
        <v>2208</v>
      </c>
      <c r="I217" s="636" t="s">
        <v>2250</v>
      </c>
      <c r="J217" s="644" t="s">
        <v>2250</v>
      </c>
      <c r="K217" s="739"/>
      <c r="L217" s="735">
        <v>12</v>
      </c>
      <c r="M217" s="736">
        <v>115960.79999999997</v>
      </c>
      <c r="N217" s="735"/>
      <c r="O217" s="735">
        <v>5</v>
      </c>
      <c r="P217" s="736">
        <v>48370.75</v>
      </c>
      <c r="Q217" s="214"/>
    </row>
    <row r="218" spans="1:17" ht="12" customHeight="1" x14ac:dyDescent="0.2">
      <c r="A218" s="735" t="s">
        <v>2169</v>
      </c>
      <c r="B218" s="735" t="s">
        <v>2170</v>
      </c>
      <c r="C218" s="735" t="s">
        <v>451</v>
      </c>
      <c r="D218" s="644" t="s">
        <v>2261</v>
      </c>
      <c r="E218" s="736">
        <v>4500</v>
      </c>
      <c r="F218" s="737" t="s">
        <v>2870</v>
      </c>
      <c r="G218" s="738" t="s">
        <v>2871</v>
      </c>
      <c r="H218" s="644" t="s">
        <v>2201</v>
      </c>
      <c r="I218" s="636"/>
      <c r="J218" s="644"/>
      <c r="K218" s="739"/>
      <c r="L218" s="735">
        <v>12</v>
      </c>
      <c r="M218" s="736">
        <v>55847.400000000009</v>
      </c>
      <c r="N218" s="735"/>
      <c r="O218" s="735">
        <v>6</v>
      </c>
      <c r="P218" s="736">
        <v>28044.9</v>
      </c>
      <c r="Q218" s="214"/>
    </row>
    <row r="219" spans="1:17" ht="12" customHeight="1" x14ac:dyDescent="0.2">
      <c r="A219" s="735" t="s">
        <v>2169</v>
      </c>
      <c r="B219" s="735" t="s">
        <v>2170</v>
      </c>
      <c r="C219" s="735" t="s">
        <v>451</v>
      </c>
      <c r="D219" s="644" t="s">
        <v>2560</v>
      </c>
      <c r="E219" s="736">
        <v>4500</v>
      </c>
      <c r="F219" s="737" t="s">
        <v>2872</v>
      </c>
      <c r="G219" s="738" t="s">
        <v>2873</v>
      </c>
      <c r="H219" s="644" t="s">
        <v>2201</v>
      </c>
      <c r="I219" s="636"/>
      <c r="J219" s="644"/>
      <c r="K219" s="739"/>
      <c r="L219" s="735">
        <v>12</v>
      </c>
      <c r="M219" s="736">
        <v>55960.80000000001</v>
      </c>
      <c r="N219" s="735"/>
      <c r="O219" s="735">
        <v>6</v>
      </c>
      <c r="P219" s="736">
        <v>27881</v>
      </c>
      <c r="Q219" s="214"/>
    </row>
    <row r="220" spans="1:17" ht="12" customHeight="1" x14ac:dyDescent="0.2">
      <c r="A220" s="735" t="s">
        <v>2169</v>
      </c>
      <c r="B220" s="735" t="s">
        <v>2170</v>
      </c>
      <c r="C220" s="735" t="s">
        <v>451</v>
      </c>
      <c r="D220" s="644" t="s">
        <v>2548</v>
      </c>
      <c r="E220" s="736">
        <v>4000</v>
      </c>
      <c r="F220" s="737" t="s">
        <v>2874</v>
      </c>
      <c r="G220" s="738" t="s">
        <v>2875</v>
      </c>
      <c r="H220" s="644" t="s">
        <v>2876</v>
      </c>
      <c r="I220" s="636" t="s">
        <v>2284</v>
      </c>
      <c r="J220" s="644" t="s">
        <v>2284</v>
      </c>
      <c r="K220" s="739"/>
      <c r="L220" s="735">
        <v>12</v>
      </c>
      <c r="M220" s="736">
        <v>49663.650000000009</v>
      </c>
      <c r="N220" s="735"/>
      <c r="O220" s="735">
        <v>6</v>
      </c>
      <c r="P220" s="736">
        <v>24502.370000000003</v>
      </c>
      <c r="Q220" s="214"/>
    </row>
    <row r="221" spans="1:17" ht="12" customHeight="1" x14ac:dyDescent="0.2">
      <c r="A221" s="735" t="s">
        <v>2169</v>
      </c>
      <c r="B221" s="735" t="s">
        <v>2170</v>
      </c>
      <c r="C221" s="735" t="s">
        <v>451</v>
      </c>
      <c r="D221" s="644" t="s">
        <v>2877</v>
      </c>
      <c r="E221" s="736">
        <v>3000</v>
      </c>
      <c r="F221" s="737" t="s">
        <v>2878</v>
      </c>
      <c r="G221" s="738" t="s">
        <v>2879</v>
      </c>
      <c r="H221" s="644" t="s">
        <v>2201</v>
      </c>
      <c r="I221" s="636"/>
      <c r="J221" s="644"/>
      <c r="K221" s="739"/>
      <c r="L221" s="735">
        <v>12</v>
      </c>
      <c r="M221" s="736">
        <v>37960.80000000001</v>
      </c>
      <c r="N221" s="735"/>
      <c r="O221" s="735">
        <v>6</v>
      </c>
      <c r="P221" s="736">
        <v>19044.900000000001</v>
      </c>
      <c r="Q221" s="214"/>
    </row>
    <row r="222" spans="1:17" ht="12" customHeight="1" x14ac:dyDescent="0.2">
      <c r="A222" s="735" t="s">
        <v>2169</v>
      </c>
      <c r="B222" s="735" t="s">
        <v>2170</v>
      </c>
      <c r="C222" s="735" t="s">
        <v>451</v>
      </c>
      <c r="D222" s="644" t="s">
        <v>2880</v>
      </c>
      <c r="E222" s="736">
        <v>7000</v>
      </c>
      <c r="F222" s="737" t="s">
        <v>2881</v>
      </c>
      <c r="G222" s="738" t="s">
        <v>2882</v>
      </c>
      <c r="H222" s="644" t="s">
        <v>2208</v>
      </c>
      <c r="I222" s="636" t="s">
        <v>2228</v>
      </c>
      <c r="J222" s="644" t="s">
        <v>2208</v>
      </c>
      <c r="K222" s="739"/>
      <c r="L222" s="735">
        <v>12</v>
      </c>
      <c r="M222" s="736">
        <v>85960.799999999988</v>
      </c>
      <c r="N222" s="735"/>
      <c r="O222" s="735">
        <v>2</v>
      </c>
      <c r="P222" s="736">
        <v>11207.69</v>
      </c>
      <c r="Q222" s="214"/>
    </row>
    <row r="223" spans="1:17" ht="12" customHeight="1" x14ac:dyDescent="0.2">
      <c r="A223" s="735" t="s">
        <v>2169</v>
      </c>
      <c r="B223" s="735" t="s">
        <v>2170</v>
      </c>
      <c r="C223" s="735" t="s">
        <v>451</v>
      </c>
      <c r="D223" s="644" t="s">
        <v>2446</v>
      </c>
      <c r="E223" s="736">
        <v>2500</v>
      </c>
      <c r="F223" s="737" t="s">
        <v>2883</v>
      </c>
      <c r="G223" s="738" t="s">
        <v>2884</v>
      </c>
      <c r="H223" s="644" t="s">
        <v>2253</v>
      </c>
      <c r="I223" s="636" t="s">
        <v>2385</v>
      </c>
      <c r="J223" s="644" t="s">
        <v>2385</v>
      </c>
      <c r="K223" s="739"/>
      <c r="L223" s="735">
        <v>12</v>
      </c>
      <c r="M223" s="736">
        <v>31960.800000000007</v>
      </c>
      <c r="N223" s="735"/>
      <c r="O223" s="735">
        <v>6</v>
      </c>
      <c r="P223" s="736">
        <v>16044.9</v>
      </c>
      <c r="Q223" s="214"/>
    </row>
    <row r="224" spans="1:17" ht="12" customHeight="1" x14ac:dyDescent="0.2">
      <c r="A224" s="735" t="s">
        <v>2169</v>
      </c>
      <c r="B224" s="735" t="s">
        <v>2170</v>
      </c>
      <c r="C224" s="735" t="s">
        <v>451</v>
      </c>
      <c r="D224" s="644" t="s">
        <v>2885</v>
      </c>
      <c r="E224" s="736">
        <v>14000</v>
      </c>
      <c r="F224" s="737" t="s">
        <v>2886</v>
      </c>
      <c r="G224" s="738" t="s">
        <v>2887</v>
      </c>
      <c r="H224" s="644" t="s">
        <v>2189</v>
      </c>
      <c r="I224" s="636" t="s">
        <v>2175</v>
      </c>
      <c r="J224" s="644" t="s">
        <v>2189</v>
      </c>
      <c r="K224" s="739"/>
      <c r="L224" s="735">
        <v>12</v>
      </c>
      <c r="M224" s="736">
        <v>169960.79999999996</v>
      </c>
      <c r="N224" s="735"/>
      <c r="O224" s="735">
        <v>6</v>
      </c>
      <c r="P224" s="736">
        <v>85044.9</v>
      </c>
      <c r="Q224" s="214"/>
    </row>
    <row r="225" spans="1:17" ht="12" customHeight="1" x14ac:dyDescent="0.2">
      <c r="A225" s="735" t="s">
        <v>2169</v>
      </c>
      <c r="B225" s="735" t="s">
        <v>2170</v>
      </c>
      <c r="C225" s="735" t="s">
        <v>451</v>
      </c>
      <c r="D225" s="644" t="s">
        <v>2888</v>
      </c>
      <c r="E225" s="736">
        <v>14500</v>
      </c>
      <c r="F225" s="737" t="s">
        <v>2889</v>
      </c>
      <c r="G225" s="738" t="s">
        <v>2890</v>
      </c>
      <c r="H225" s="644">
        <v>0</v>
      </c>
      <c r="I225" s="636">
        <v>0</v>
      </c>
      <c r="J225" s="644">
        <v>0</v>
      </c>
      <c r="K225" s="739"/>
      <c r="L225" s="735">
        <v>1</v>
      </c>
      <c r="M225" s="736">
        <v>14613.4</v>
      </c>
      <c r="N225" s="735"/>
      <c r="O225" s="735"/>
      <c r="P225" s="736"/>
      <c r="Q225" s="214"/>
    </row>
    <row r="226" spans="1:17" ht="12" customHeight="1" x14ac:dyDescent="0.2">
      <c r="A226" s="735" t="s">
        <v>2169</v>
      </c>
      <c r="B226" s="735" t="s">
        <v>2170</v>
      </c>
      <c r="C226" s="735" t="s">
        <v>451</v>
      </c>
      <c r="D226" s="644" t="s">
        <v>2891</v>
      </c>
      <c r="E226" s="736">
        <v>10000</v>
      </c>
      <c r="F226" s="737" t="s">
        <v>2892</v>
      </c>
      <c r="G226" s="738" t="s">
        <v>2893</v>
      </c>
      <c r="H226" s="644" t="s">
        <v>2179</v>
      </c>
      <c r="I226" s="636" t="s">
        <v>2250</v>
      </c>
      <c r="J226" s="644" t="s">
        <v>2250</v>
      </c>
      <c r="K226" s="739"/>
      <c r="L226" s="735">
        <v>12</v>
      </c>
      <c r="M226" s="736">
        <v>122118.13999999998</v>
      </c>
      <c r="N226" s="735"/>
      <c r="O226" s="735">
        <v>1</v>
      </c>
      <c r="P226" s="736">
        <v>6924.15</v>
      </c>
      <c r="Q226" s="214"/>
    </row>
    <row r="227" spans="1:17" ht="12" customHeight="1" x14ac:dyDescent="0.2">
      <c r="A227" s="735" t="s">
        <v>2169</v>
      </c>
      <c r="B227" s="735" t="s">
        <v>2170</v>
      </c>
      <c r="C227" s="735" t="s">
        <v>451</v>
      </c>
      <c r="D227" s="644" t="s">
        <v>2214</v>
      </c>
      <c r="E227" s="736">
        <v>3000</v>
      </c>
      <c r="F227" s="737" t="s">
        <v>2894</v>
      </c>
      <c r="G227" s="738" t="s">
        <v>2895</v>
      </c>
      <c r="H227" s="644" t="s">
        <v>2896</v>
      </c>
      <c r="I227" s="636" t="s">
        <v>2246</v>
      </c>
      <c r="J227" s="644"/>
      <c r="K227" s="739"/>
      <c r="L227" s="735">
        <v>4</v>
      </c>
      <c r="M227" s="736">
        <v>12940.2</v>
      </c>
      <c r="N227" s="735"/>
      <c r="O227" s="735">
        <v>6</v>
      </c>
      <c r="P227" s="736">
        <v>19032.400000000001</v>
      </c>
      <c r="Q227" s="214"/>
    </row>
    <row r="228" spans="1:17" ht="12" customHeight="1" x14ac:dyDescent="0.2">
      <c r="A228" s="735" t="s">
        <v>2169</v>
      </c>
      <c r="B228" s="735" t="s">
        <v>2170</v>
      </c>
      <c r="C228" s="735" t="s">
        <v>451</v>
      </c>
      <c r="D228" s="644" t="s">
        <v>2897</v>
      </c>
      <c r="E228" s="736">
        <v>3000</v>
      </c>
      <c r="F228" s="737" t="s">
        <v>2898</v>
      </c>
      <c r="G228" s="738" t="s">
        <v>2899</v>
      </c>
      <c r="H228" s="644" t="s">
        <v>2174</v>
      </c>
      <c r="I228" s="636" t="s">
        <v>2228</v>
      </c>
      <c r="J228" s="644" t="s">
        <v>2174</v>
      </c>
      <c r="K228" s="739"/>
      <c r="L228" s="735">
        <v>12</v>
      </c>
      <c r="M228" s="736">
        <v>33504.600000000006</v>
      </c>
      <c r="N228" s="735"/>
      <c r="O228" s="735">
        <v>6</v>
      </c>
      <c r="P228" s="736">
        <v>19244.900000000001</v>
      </c>
      <c r="Q228" s="214"/>
    </row>
    <row r="229" spans="1:17" ht="12" customHeight="1" x14ac:dyDescent="0.2">
      <c r="A229" s="735" t="s">
        <v>2169</v>
      </c>
      <c r="B229" s="735" t="s">
        <v>2170</v>
      </c>
      <c r="C229" s="735" t="s">
        <v>451</v>
      </c>
      <c r="D229" s="644" t="s">
        <v>2900</v>
      </c>
      <c r="E229" s="736">
        <v>6000</v>
      </c>
      <c r="F229" s="737" t="s">
        <v>2901</v>
      </c>
      <c r="G229" s="738" t="s">
        <v>2902</v>
      </c>
      <c r="H229" s="644" t="s">
        <v>2201</v>
      </c>
      <c r="I229" s="636"/>
      <c r="J229" s="644"/>
      <c r="K229" s="739"/>
      <c r="L229" s="735">
        <v>12</v>
      </c>
      <c r="M229" s="736">
        <v>74547.740000000005</v>
      </c>
      <c r="N229" s="735"/>
      <c r="O229" s="735">
        <v>6</v>
      </c>
      <c r="P229" s="736">
        <v>37000.07</v>
      </c>
      <c r="Q229" s="214"/>
    </row>
    <row r="230" spans="1:17" ht="12" customHeight="1" x14ac:dyDescent="0.2">
      <c r="A230" s="735" t="s">
        <v>2169</v>
      </c>
      <c r="B230" s="735" t="s">
        <v>2170</v>
      </c>
      <c r="C230" s="735" t="s">
        <v>451</v>
      </c>
      <c r="D230" s="644" t="s">
        <v>2903</v>
      </c>
      <c r="E230" s="736">
        <v>13000</v>
      </c>
      <c r="F230" s="737" t="s">
        <v>2904</v>
      </c>
      <c r="G230" s="738" t="s">
        <v>2905</v>
      </c>
      <c r="H230" s="644" t="s">
        <v>2179</v>
      </c>
      <c r="I230" s="636" t="s">
        <v>2250</v>
      </c>
      <c r="J230" s="644" t="s">
        <v>2250</v>
      </c>
      <c r="K230" s="739"/>
      <c r="L230" s="735">
        <v>12</v>
      </c>
      <c r="M230" s="736">
        <v>149147.39999999997</v>
      </c>
      <c r="N230" s="735"/>
      <c r="O230" s="735">
        <v>6</v>
      </c>
      <c r="P230" s="736">
        <v>79044.899999999994</v>
      </c>
      <c r="Q230" s="214"/>
    </row>
    <row r="231" spans="1:17" ht="12" customHeight="1" x14ac:dyDescent="0.2">
      <c r="A231" s="735" t="s">
        <v>2169</v>
      </c>
      <c r="B231" s="735" t="s">
        <v>2170</v>
      </c>
      <c r="C231" s="735" t="s">
        <v>451</v>
      </c>
      <c r="D231" s="644" t="s">
        <v>2906</v>
      </c>
      <c r="E231" s="736">
        <v>4800</v>
      </c>
      <c r="F231" s="737" t="s">
        <v>2907</v>
      </c>
      <c r="G231" s="738" t="s">
        <v>2908</v>
      </c>
      <c r="H231" s="644" t="s">
        <v>2201</v>
      </c>
      <c r="I231" s="636"/>
      <c r="J231" s="644"/>
      <c r="K231" s="739"/>
      <c r="L231" s="735">
        <v>12</v>
      </c>
      <c r="M231" s="736">
        <v>55104.600000000006</v>
      </c>
      <c r="N231" s="735"/>
      <c r="O231" s="735">
        <v>6</v>
      </c>
      <c r="P231" s="736">
        <v>29786.97</v>
      </c>
      <c r="Q231" s="214"/>
    </row>
    <row r="232" spans="1:17" ht="12" customHeight="1" x14ac:dyDescent="0.2">
      <c r="A232" s="735" t="s">
        <v>2169</v>
      </c>
      <c r="B232" s="735" t="s">
        <v>2170</v>
      </c>
      <c r="C232" s="735" t="s">
        <v>451</v>
      </c>
      <c r="D232" s="644" t="s">
        <v>2909</v>
      </c>
      <c r="E232" s="736">
        <v>3000</v>
      </c>
      <c r="F232" s="737" t="s">
        <v>2910</v>
      </c>
      <c r="G232" s="738" t="s">
        <v>2911</v>
      </c>
      <c r="H232" s="644">
        <v>0</v>
      </c>
      <c r="I232" s="636">
        <v>0</v>
      </c>
      <c r="J232" s="644">
        <v>0</v>
      </c>
      <c r="K232" s="739"/>
      <c r="L232" s="735">
        <v>1</v>
      </c>
      <c r="M232" s="736">
        <v>3113.4</v>
      </c>
      <c r="N232" s="735"/>
      <c r="O232" s="735"/>
      <c r="P232" s="736"/>
      <c r="Q232" s="214"/>
    </row>
    <row r="233" spans="1:17" ht="12" customHeight="1" x14ac:dyDescent="0.2">
      <c r="A233" s="735" t="s">
        <v>2169</v>
      </c>
      <c r="B233" s="735" t="s">
        <v>2170</v>
      </c>
      <c r="C233" s="735" t="s">
        <v>451</v>
      </c>
      <c r="D233" s="644" t="s">
        <v>2912</v>
      </c>
      <c r="E233" s="736">
        <v>13000</v>
      </c>
      <c r="F233" s="737" t="s">
        <v>2913</v>
      </c>
      <c r="G233" s="738" t="s">
        <v>2914</v>
      </c>
      <c r="H233" s="644" t="s">
        <v>2201</v>
      </c>
      <c r="I233" s="636" t="s">
        <v>2201</v>
      </c>
      <c r="J233" s="644"/>
      <c r="K233" s="739"/>
      <c r="L233" s="735">
        <v>4</v>
      </c>
      <c r="M233" s="736">
        <v>49424.83</v>
      </c>
      <c r="N233" s="735"/>
      <c r="O233" s="735">
        <v>6</v>
      </c>
      <c r="P233" s="736">
        <v>79862.079999999987</v>
      </c>
      <c r="Q233" s="214"/>
    </row>
    <row r="234" spans="1:17" ht="12" customHeight="1" x14ac:dyDescent="0.2">
      <c r="A234" s="735" t="s">
        <v>2169</v>
      </c>
      <c r="B234" s="735" t="s">
        <v>2170</v>
      </c>
      <c r="C234" s="735" t="s">
        <v>451</v>
      </c>
      <c r="D234" s="644" t="s">
        <v>2915</v>
      </c>
      <c r="E234" s="736">
        <v>15000</v>
      </c>
      <c r="F234" s="737" t="s">
        <v>2916</v>
      </c>
      <c r="G234" s="738" t="s">
        <v>2917</v>
      </c>
      <c r="H234" s="644" t="s">
        <v>2201</v>
      </c>
      <c r="I234" s="636" t="s">
        <v>2201</v>
      </c>
      <c r="J234" s="644"/>
      <c r="K234" s="739"/>
      <c r="L234" s="735">
        <v>4</v>
      </c>
      <c r="M234" s="736">
        <v>58653.599999999999</v>
      </c>
      <c r="N234" s="735"/>
      <c r="O234" s="735">
        <v>6</v>
      </c>
      <c r="P234" s="736">
        <v>87128.23</v>
      </c>
      <c r="Q234" s="214"/>
    </row>
    <row r="235" spans="1:17" ht="12" customHeight="1" x14ac:dyDescent="0.2">
      <c r="A235" s="735" t="s">
        <v>2169</v>
      </c>
      <c r="B235" s="735" t="s">
        <v>2170</v>
      </c>
      <c r="C235" s="735" t="s">
        <v>451</v>
      </c>
      <c r="D235" s="644" t="s">
        <v>2918</v>
      </c>
      <c r="E235" s="736">
        <v>8000</v>
      </c>
      <c r="F235" s="737" t="s">
        <v>2919</v>
      </c>
      <c r="G235" s="738" t="s">
        <v>2920</v>
      </c>
      <c r="H235" s="644" t="s">
        <v>2201</v>
      </c>
      <c r="I235" s="636"/>
      <c r="J235" s="644"/>
      <c r="K235" s="739"/>
      <c r="L235" s="735">
        <v>12</v>
      </c>
      <c r="M235" s="736">
        <v>97960.799999999988</v>
      </c>
      <c r="N235" s="735"/>
      <c r="O235" s="735">
        <v>6</v>
      </c>
      <c r="P235" s="736">
        <v>49044.9</v>
      </c>
      <c r="Q235" s="214"/>
    </row>
    <row r="236" spans="1:17" ht="12" customHeight="1" x14ac:dyDescent="0.2">
      <c r="A236" s="735" t="s">
        <v>2169</v>
      </c>
      <c r="B236" s="735" t="s">
        <v>2170</v>
      </c>
      <c r="C236" s="735" t="s">
        <v>451</v>
      </c>
      <c r="D236" s="644" t="s">
        <v>2921</v>
      </c>
      <c r="E236" s="736">
        <v>8000</v>
      </c>
      <c r="F236" s="737" t="s">
        <v>2922</v>
      </c>
      <c r="G236" s="738" t="s">
        <v>2923</v>
      </c>
      <c r="H236" s="644" t="s">
        <v>2924</v>
      </c>
      <c r="I236" s="636" t="s">
        <v>2250</v>
      </c>
      <c r="J236" s="644" t="s">
        <v>2250</v>
      </c>
      <c r="K236" s="739"/>
      <c r="L236" s="735">
        <v>12</v>
      </c>
      <c r="M236" s="736">
        <v>97847.4</v>
      </c>
      <c r="N236" s="735"/>
      <c r="O236" s="735">
        <v>6</v>
      </c>
      <c r="P236" s="736">
        <v>49033.98</v>
      </c>
      <c r="Q236" s="214"/>
    </row>
    <row r="237" spans="1:17" ht="12" customHeight="1" x14ac:dyDescent="0.2">
      <c r="A237" s="735" t="s">
        <v>2169</v>
      </c>
      <c r="B237" s="735" t="s">
        <v>2170</v>
      </c>
      <c r="C237" s="735" t="s">
        <v>451</v>
      </c>
      <c r="D237" s="644" t="s">
        <v>2925</v>
      </c>
      <c r="E237" s="736">
        <v>11500</v>
      </c>
      <c r="F237" s="737" t="s">
        <v>2926</v>
      </c>
      <c r="G237" s="738" t="s">
        <v>2927</v>
      </c>
      <c r="H237" s="644" t="s">
        <v>2201</v>
      </c>
      <c r="I237" s="636" t="s">
        <v>2201</v>
      </c>
      <c r="J237" s="644"/>
      <c r="K237" s="739"/>
      <c r="L237" s="735">
        <v>6</v>
      </c>
      <c r="M237" s="736">
        <v>65464.73</v>
      </c>
      <c r="N237" s="735"/>
      <c r="O237" s="735"/>
      <c r="P237" s="736"/>
      <c r="Q237" s="214"/>
    </row>
    <row r="238" spans="1:17" ht="12" customHeight="1" x14ac:dyDescent="0.2">
      <c r="A238" s="735" t="s">
        <v>2169</v>
      </c>
      <c r="B238" s="735" t="s">
        <v>2170</v>
      </c>
      <c r="C238" s="735" t="s">
        <v>451</v>
      </c>
      <c r="D238" s="644" t="s">
        <v>2928</v>
      </c>
      <c r="E238" s="736">
        <v>6000</v>
      </c>
      <c r="F238" s="737" t="s">
        <v>2929</v>
      </c>
      <c r="G238" s="738" t="s">
        <v>2930</v>
      </c>
      <c r="H238" s="644" t="s">
        <v>2201</v>
      </c>
      <c r="I238" s="636"/>
      <c r="J238" s="644"/>
      <c r="K238" s="739"/>
      <c r="L238" s="735">
        <v>12</v>
      </c>
      <c r="M238" s="736">
        <v>74247.87</v>
      </c>
      <c r="N238" s="735"/>
      <c r="O238" s="735">
        <v>6</v>
      </c>
      <c r="P238" s="736">
        <v>37043.61</v>
      </c>
      <c r="Q238" s="214"/>
    </row>
    <row r="239" spans="1:17" ht="12" customHeight="1" x14ac:dyDescent="0.2">
      <c r="A239" s="735" t="s">
        <v>2169</v>
      </c>
      <c r="B239" s="735" t="s">
        <v>2170</v>
      </c>
      <c r="C239" s="735" t="s">
        <v>451</v>
      </c>
      <c r="D239" s="644" t="s">
        <v>2931</v>
      </c>
      <c r="E239" s="736">
        <v>2000</v>
      </c>
      <c r="F239" s="737" t="s">
        <v>2932</v>
      </c>
      <c r="G239" s="738" t="s">
        <v>2933</v>
      </c>
      <c r="H239" s="644" t="s">
        <v>2504</v>
      </c>
      <c r="I239" s="636" t="s">
        <v>2254</v>
      </c>
      <c r="J239" s="644" t="s">
        <v>2254</v>
      </c>
      <c r="K239" s="739"/>
      <c r="L239" s="735">
        <v>12</v>
      </c>
      <c r="M239" s="736">
        <v>25960.800000000007</v>
      </c>
      <c r="N239" s="735"/>
      <c r="O239" s="735">
        <v>6</v>
      </c>
      <c r="P239" s="736">
        <v>13034.839999999998</v>
      </c>
      <c r="Q239" s="214"/>
    </row>
    <row r="240" spans="1:17" ht="12" customHeight="1" x14ac:dyDescent="0.2">
      <c r="A240" s="735" t="s">
        <v>2169</v>
      </c>
      <c r="B240" s="735" t="s">
        <v>2170</v>
      </c>
      <c r="C240" s="735" t="s">
        <v>451</v>
      </c>
      <c r="D240" s="644" t="s">
        <v>2934</v>
      </c>
      <c r="E240" s="736">
        <v>4000</v>
      </c>
      <c r="F240" s="737" t="s">
        <v>2935</v>
      </c>
      <c r="G240" s="738" t="s">
        <v>2936</v>
      </c>
      <c r="H240" s="644" t="s">
        <v>2346</v>
      </c>
      <c r="I240" s="636" t="s">
        <v>2385</v>
      </c>
      <c r="J240" s="644" t="s">
        <v>2385</v>
      </c>
      <c r="K240" s="739"/>
      <c r="L240" s="735">
        <v>12</v>
      </c>
      <c r="M240" s="736">
        <v>49953.180000000008</v>
      </c>
      <c r="N240" s="735"/>
      <c r="O240" s="735">
        <v>6</v>
      </c>
      <c r="P240" s="736">
        <v>25018.46</v>
      </c>
      <c r="Q240" s="214"/>
    </row>
    <row r="241" spans="1:17" ht="12" customHeight="1" x14ac:dyDescent="0.2">
      <c r="A241" s="735" t="s">
        <v>2169</v>
      </c>
      <c r="B241" s="735" t="s">
        <v>2170</v>
      </c>
      <c r="C241" s="735" t="s">
        <v>451</v>
      </c>
      <c r="D241" s="644" t="s">
        <v>2937</v>
      </c>
      <c r="E241" s="736">
        <v>3000</v>
      </c>
      <c r="F241" s="737" t="s">
        <v>2938</v>
      </c>
      <c r="G241" s="738" t="s">
        <v>2939</v>
      </c>
      <c r="H241" s="644">
        <v>0</v>
      </c>
      <c r="I241" s="636">
        <v>0</v>
      </c>
      <c r="J241" s="644">
        <v>0</v>
      </c>
      <c r="K241" s="739"/>
      <c r="L241" s="735">
        <v>3</v>
      </c>
      <c r="M241" s="736">
        <v>9340.2000000000007</v>
      </c>
      <c r="N241" s="735"/>
      <c r="O241" s="735"/>
      <c r="P241" s="736"/>
      <c r="Q241" s="214"/>
    </row>
    <row r="242" spans="1:17" ht="12" customHeight="1" x14ac:dyDescent="0.2">
      <c r="A242" s="735" t="s">
        <v>2169</v>
      </c>
      <c r="B242" s="735" t="s">
        <v>2170</v>
      </c>
      <c r="C242" s="735" t="s">
        <v>451</v>
      </c>
      <c r="D242" s="644" t="s">
        <v>2940</v>
      </c>
      <c r="E242" s="736">
        <v>9000</v>
      </c>
      <c r="F242" s="737" t="s">
        <v>2941</v>
      </c>
      <c r="G242" s="738" t="s">
        <v>2942</v>
      </c>
      <c r="H242" s="644" t="s">
        <v>2201</v>
      </c>
      <c r="I242" s="636"/>
      <c r="J242" s="644"/>
      <c r="K242" s="739"/>
      <c r="L242" s="735">
        <v>12</v>
      </c>
      <c r="M242" s="736">
        <v>109950.99999999999</v>
      </c>
      <c r="N242" s="735"/>
      <c r="O242" s="735">
        <v>6</v>
      </c>
      <c r="P242" s="736">
        <v>55029.380000000005</v>
      </c>
      <c r="Q242" s="214"/>
    </row>
    <row r="243" spans="1:17" ht="12" customHeight="1" x14ac:dyDescent="0.2">
      <c r="A243" s="735" t="s">
        <v>2169</v>
      </c>
      <c r="B243" s="735" t="s">
        <v>2170</v>
      </c>
      <c r="C243" s="735" t="s">
        <v>451</v>
      </c>
      <c r="D243" s="644" t="s">
        <v>2943</v>
      </c>
      <c r="E243" s="736">
        <v>6000</v>
      </c>
      <c r="F243" s="737" t="s">
        <v>2944</v>
      </c>
      <c r="G243" s="738" t="s">
        <v>2945</v>
      </c>
      <c r="H243" s="644" t="s">
        <v>2201</v>
      </c>
      <c r="I243" s="636"/>
      <c r="J243" s="644"/>
      <c r="K243" s="739"/>
      <c r="L243" s="735">
        <v>11</v>
      </c>
      <c r="M243" s="736">
        <v>67547.400000000009</v>
      </c>
      <c r="N243" s="735"/>
      <c r="O243" s="735"/>
      <c r="P243" s="736"/>
      <c r="Q243" s="214"/>
    </row>
    <row r="244" spans="1:17" ht="12" customHeight="1" x14ac:dyDescent="0.2">
      <c r="A244" s="735" t="s">
        <v>2169</v>
      </c>
      <c r="B244" s="735" t="s">
        <v>2170</v>
      </c>
      <c r="C244" s="735" t="s">
        <v>451</v>
      </c>
      <c r="D244" s="644" t="s">
        <v>2946</v>
      </c>
      <c r="E244" s="736">
        <v>7000</v>
      </c>
      <c r="F244" s="737" t="s">
        <v>2947</v>
      </c>
      <c r="G244" s="738" t="s">
        <v>2948</v>
      </c>
      <c r="H244" s="644" t="s">
        <v>2208</v>
      </c>
      <c r="I244" s="636" t="s">
        <v>2180</v>
      </c>
      <c r="J244" s="644" t="s">
        <v>2180</v>
      </c>
      <c r="K244" s="739"/>
      <c r="L244" s="735">
        <v>12</v>
      </c>
      <c r="M244" s="736">
        <v>85847.4</v>
      </c>
      <c r="N244" s="735"/>
      <c r="O244" s="735">
        <v>6</v>
      </c>
      <c r="P244" s="736">
        <v>43044.9</v>
      </c>
      <c r="Q244" s="214"/>
    </row>
    <row r="245" spans="1:17" ht="12" customHeight="1" x14ac:dyDescent="0.2">
      <c r="A245" s="735" t="s">
        <v>2169</v>
      </c>
      <c r="B245" s="735" t="s">
        <v>2170</v>
      </c>
      <c r="C245" s="735" t="s">
        <v>451</v>
      </c>
      <c r="D245" s="644" t="s">
        <v>2373</v>
      </c>
      <c r="E245" s="736">
        <v>4000</v>
      </c>
      <c r="F245" s="737" t="s">
        <v>2949</v>
      </c>
      <c r="G245" s="738" t="s">
        <v>2950</v>
      </c>
      <c r="H245" s="644">
        <v>0</v>
      </c>
      <c r="I245" s="636">
        <v>0</v>
      </c>
      <c r="J245" s="644">
        <v>0</v>
      </c>
      <c r="K245" s="739"/>
      <c r="L245" s="735">
        <v>3</v>
      </c>
      <c r="M245" s="736">
        <v>12318.07</v>
      </c>
      <c r="N245" s="735"/>
      <c r="O245" s="735"/>
      <c r="P245" s="736"/>
      <c r="Q245" s="214"/>
    </row>
    <row r="246" spans="1:17" ht="12" customHeight="1" x14ac:dyDescent="0.2">
      <c r="A246" s="735" t="s">
        <v>2169</v>
      </c>
      <c r="B246" s="735" t="s">
        <v>2170</v>
      </c>
      <c r="C246" s="735" t="s">
        <v>451</v>
      </c>
      <c r="D246" s="644" t="s">
        <v>2772</v>
      </c>
      <c r="E246" s="736">
        <v>3500</v>
      </c>
      <c r="F246" s="737" t="s">
        <v>2951</v>
      </c>
      <c r="G246" s="738" t="s">
        <v>2952</v>
      </c>
      <c r="H246" s="644" t="s">
        <v>2569</v>
      </c>
      <c r="I246" s="636" t="s">
        <v>2193</v>
      </c>
      <c r="J246" s="644" t="s">
        <v>2569</v>
      </c>
      <c r="K246" s="739"/>
      <c r="L246" s="735">
        <v>12</v>
      </c>
      <c r="M246" s="736">
        <v>43847.080000000009</v>
      </c>
      <c r="N246" s="735"/>
      <c r="O246" s="735">
        <v>6</v>
      </c>
      <c r="P246" s="736">
        <v>21941.06</v>
      </c>
      <c r="Q246" s="214"/>
    </row>
    <row r="247" spans="1:17" ht="12" customHeight="1" x14ac:dyDescent="0.2">
      <c r="A247" s="735" t="s">
        <v>2169</v>
      </c>
      <c r="B247" s="735" t="s">
        <v>2232</v>
      </c>
      <c r="C247" s="735" t="s">
        <v>451</v>
      </c>
      <c r="D247" s="644" t="s">
        <v>2272</v>
      </c>
      <c r="E247" s="736">
        <v>9500</v>
      </c>
      <c r="F247" s="737" t="s">
        <v>2953</v>
      </c>
      <c r="G247" s="738" t="s">
        <v>2954</v>
      </c>
      <c r="H247" s="644" t="s">
        <v>2420</v>
      </c>
      <c r="I247" s="636" t="s">
        <v>2228</v>
      </c>
      <c r="J247" s="644" t="s">
        <v>2420</v>
      </c>
      <c r="K247" s="739"/>
      <c r="L247" s="735">
        <v>11</v>
      </c>
      <c r="M247" s="736">
        <v>106037.05999999998</v>
      </c>
      <c r="N247" s="735"/>
      <c r="O247" s="735">
        <v>5</v>
      </c>
      <c r="P247" s="736">
        <v>48326.390000000007</v>
      </c>
      <c r="Q247" s="214"/>
    </row>
    <row r="248" spans="1:17" ht="12" customHeight="1" x14ac:dyDescent="0.2">
      <c r="A248" s="735" t="s">
        <v>2169</v>
      </c>
      <c r="B248" s="735" t="s">
        <v>2170</v>
      </c>
      <c r="C248" s="735" t="s">
        <v>451</v>
      </c>
      <c r="D248" s="644" t="s">
        <v>2955</v>
      </c>
      <c r="E248" s="736">
        <v>8000</v>
      </c>
      <c r="F248" s="737" t="s">
        <v>2956</v>
      </c>
      <c r="G248" s="738" t="s">
        <v>2957</v>
      </c>
      <c r="H248" s="644" t="s">
        <v>2323</v>
      </c>
      <c r="I248" s="636" t="s">
        <v>2175</v>
      </c>
      <c r="J248" s="644"/>
      <c r="K248" s="739"/>
      <c r="L248" s="735">
        <v>6</v>
      </c>
      <c r="M248" s="736">
        <v>45247.07</v>
      </c>
      <c r="N248" s="735"/>
      <c r="O248" s="735">
        <v>6</v>
      </c>
      <c r="P248" s="736">
        <v>49030.53</v>
      </c>
      <c r="Q248" s="214"/>
    </row>
    <row r="249" spans="1:17" ht="12" customHeight="1" x14ac:dyDescent="0.2">
      <c r="A249" s="735" t="s">
        <v>2169</v>
      </c>
      <c r="B249" s="735" t="s">
        <v>2170</v>
      </c>
      <c r="C249" s="735" t="s">
        <v>451</v>
      </c>
      <c r="D249" s="644" t="s">
        <v>2958</v>
      </c>
      <c r="E249" s="736">
        <v>13500</v>
      </c>
      <c r="F249" s="737" t="s">
        <v>2959</v>
      </c>
      <c r="G249" s="738" t="s">
        <v>2960</v>
      </c>
      <c r="H249" s="644">
        <v>0</v>
      </c>
      <c r="I249" s="636">
        <v>0</v>
      </c>
      <c r="J249" s="644">
        <v>0</v>
      </c>
      <c r="K249" s="739"/>
      <c r="L249" s="735">
        <v>3</v>
      </c>
      <c r="M249" s="736">
        <v>40840.199999999997</v>
      </c>
      <c r="N249" s="735"/>
      <c r="O249" s="735"/>
      <c r="P249" s="736"/>
      <c r="Q249" s="214"/>
    </row>
    <row r="250" spans="1:17" ht="12" customHeight="1" x14ac:dyDescent="0.2">
      <c r="A250" s="735" t="s">
        <v>2169</v>
      </c>
      <c r="B250" s="735" t="s">
        <v>2170</v>
      </c>
      <c r="C250" s="735" t="s">
        <v>451</v>
      </c>
      <c r="D250" s="644" t="s">
        <v>2446</v>
      </c>
      <c r="E250" s="736">
        <v>2500</v>
      </c>
      <c r="F250" s="737" t="s">
        <v>2961</v>
      </c>
      <c r="G250" s="738" t="s">
        <v>2962</v>
      </c>
      <c r="H250" s="644" t="s">
        <v>2253</v>
      </c>
      <c r="I250" s="636" t="s">
        <v>2254</v>
      </c>
      <c r="J250" s="644" t="s">
        <v>2254</v>
      </c>
      <c r="K250" s="739"/>
      <c r="L250" s="735">
        <v>12</v>
      </c>
      <c r="M250" s="736">
        <v>31960.800000000007</v>
      </c>
      <c r="N250" s="735"/>
      <c r="O250" s="735">
        <v>6</v>
      </c>
      <c r="P250" s="736">
        <v>16044.9</v>
      </c>
      <c r="Q250" s="214"/>
    </row>
    <row r="251" spans="1:17" ht="12" customHeight="1" x14ac:dyDescent="0.2">
      <c r="A251" s="735" t="s">
        <v>2169</v>
      </c>
      <c r="B251" s="735" t="s">
        <v>2170</v>
      </c>
      <c r="C251" s="735" t="s">
        <v>451</v>
      </c>
      <c r="D251" s="644" t="s">
        <v>2963</v>
      </c>
      <c r="E251" s="736">
        <v>3000</v>
      </c>
      <c r="F251" s="737" t="s">
        <v>2964</v>
      </c>
      <c r="G251" s="738" t="s">
        <v>2965</v>
      </c>
      <c r="H251" s="644" t="s">
        <v>2201</v>
      </c>
      <c r="I251" s="636"/>
      <c r="J251" s="644"/>
      <c r="K251" s="739"/>
      <c r="L251" s="735">
        <v>10</v>
      </c>
      <c r="M251" s="736">
        <v>31434.000000000007</v>
      </c>
      <c r="N251" s="735"/>
      <c r="O251" s="735"/>
      <c r="P251" s="736"/>
      <c r="Q251" s="214"/>
    </row>
    <row r="252" spans="1:17" ht="12" customHeight="1" x14ac:dyDescent="0.2">
      <c r="A252" s="735" t="s">
        <v>2169</v>
      </c>
      <c r="B252" s="735" t="s">
        <v>2170</v>
      </c>
      <c r="C252" s="735" t="s">
        <v>451</v>
      </c>
      <c r="D252" s="644" t="s">
        <v>2966</v>
      </c>
      <c r="E252" s="736">
        <v>2500</v>
      </c>
      <c r="F252" s="737" t="s">
        <v>2967</v>
      </c>
      <c r="G252" s="738" t="s">
        <v>2968</v>
      </c>
      <c r="H252" s="644" t="s">
        <v>2969</v>
      </c>
      <c r="I252" s="636" t="s">
        <v>2180</v>
      </c>
      <c r="J252" s="644" t="s">
        <v>2180</v>
      </c>
      <c r="K252" s="739"/>
      <c r="L252" s="735">
        <v>12</v>
      </c>
      <c r="M252" s="736">
        <v>31847.400000000005</v>
      </c>
      <c r="N252" s="735"/>
      <c r="O252" s="735">
        <v>6</v>
      </c>
      <c r="P252" s="736">
        <v>15397.74</v>
      </c>
      <c r="Q252" s="214"/>
    </row>
    <row r="253" spans="1:17" ht="12" customHeight="1" x14ac:dyDescent="0.2">
      <c r="A253" s="735" t="s">
        <v>2169</v>
      </c>
      <c r="B253" s="735" t="s">
        <v>2170</v>
      </c>
      <c r="C253" s="735" t="s">
        <v>451</v>
      </c>
      <c r="D253" s="644" t="s">
        <v>2970</v>
      </c>
      <c r="E253" s="736">
        <v>9500</v>
      </c>
      <c r="F253" s="737" t="s">
        <v>2971</v>
      </c>
      <c r="G253" s="738" t="s">
        <v>2972</v>
      </c>
      <c r="H253" s="644" t="s">
        <v>2420</v>
      </c>
      <c r="I253" s="636" t="s">
        <v>2175</v>
      </c>
      <c r="J253" s="644"/>
      <c r="K253" s="739"/>
      <c r="L253" s="735">
        <v>4</v>
      </c>
      <c r="M253" s="736">
        <v>40020.270000000004</v>
      </c>
      <c r="N253" s="735"/>
      <c r="O253" s="735">
        <v>6</v>
      </c>
      <c r="P253" s="736">
        <v>58044.9</v>
      </c>
      <c r="Q253" s="214"/>
    </row>
    <row r="254" spans="1:17" ht="12" customHeight="1" x14ac:dyDescent="0.2">
      <c r="A254" s="735" t="s">
        <v>2169</v>
      </c>
      <c r="B254" s="735" t="s">
        <v>2170</v>
      </c>
      <c r="C254" s="735" t="s">
        <v>451</v>
      </c>
      <c r="D254" s="644" t="s">
        <v>2973</v>
      </c>
      <c r="E254" s="736">
        <v>7000</v>
      </c>
      <c r="F254" s="737" t="s">
        <v>2974</v>
      </c>
      <c r="G254" s="738" t="s">
        <v>2975</v>
      </c>
      <c r="H254" s="644" t="s">
        <v>2201</v>
      </c>
      <c r="I254" s="636"/>
      <c r="J254" s="644"/>
      <c r="K254" s="739"/>
      <c r="L254" s="735">
        <v>12</v>
      </c>
      <c r="M254" s="736">
        <v>85955.719999999987</v>
      </c>
      <c r="N254" s="735"/>
      <c r="O254" s="735">
        <v>6</v>
      </c>
      <c r="P254" s="736">
        <v>42996.630000000005</v>
      </c>
      <c r="Q254" s="214"/>
    </row>
    <row r="255" spans="1:17" ht="12" customHeight="1" x14ac:dyDescent="0.2">
      <c r="A255" s="735" t="s">
        <v>2169</v>
      </c>
      <c r="B255" s="735" t="s">
        <v>2170</v>
      </c>
      <c r="C255" s="735" t="s">
        <v>451</v>
      </c>
      <c r="D255" s="644" t="s">
        <v>2976</v>
      </c>
      <c r="E255" s="736">
        <v>5000</v>
      </c>
      <c r="F255" s="737" t="s">
        <v>2977</v>
      </c>
      <c r="G255" s="738" t="s">
        <v>2978</v>
      </c>
      <c r="H255" s="644" t="s">
        <v>2979</v>
      </c>
      <c r="I255" s="636" t="s">
        <v>2180</v>
      </c>
      <c r="J255" s="644" t="s">
        <v>2180</v>
      </c>
      <c r="K255" s="739"/>
      <c r="L255" s="735">
        <v>3</v>
      </c>
      <c r="M255" s="736">
        <v>15331.58</v>
      </c>
      <c r="N255" s="735"/>
      <c r="O255" s="735"/>
      <c r="P255" s="736"/>
      <c r="Q255" s="214"/>
    </row>
    <row r="256" spans="1:17" ht="12" customHeight="1" x14ac:dyDescent="0.2">
      <c r="A256" s="735" t="s">
        <v>2169</v>
      </c>
      <c r="B256" s="735" t="s">
        <v>2170</v>
      </c>
      <c r="C256" s="735" t="s">
        <v>451</v>
      </c>
      <c r="D256" s="644" t="s">
        <v>2934</v>
      </c>
      <c r="E256" s="736">
        <v>6000</v>
      </c>
      <c r="F256" s="737" t="s">
        <v>2980</v>
      </c>
      <c r="G256" s="738" t="s">
        <v>2981</v>
      </c>
      <c r="H256" s="644" t="s">
        <v>2201</v>
      </c>
      <c r="I256" s="636"/>
      <c r="J256" s="644"/>
      <c r="K256" s="739"/>
      <c r="L256" s="735">
        <v>12</v>
      </c>
      <c r="M256" s="736">
        <v>74160.800000000003</v>
      </c>
      <c r="N256" s="735"/>
      <c r="O256" s="735">
        <v>6</v>
      </c>
      <c r="P256" s="736">
        <v>37044.9</v>
      </c>
      <c r="Q256" s="214"/>
    </row>
    <row r="257" spans="1:17" ht="12" customHeight="1" x14ac:dyDescent="0.2">
      <c r="A257" s="735" t="s">
        <v>2169</v>
      </c>
      <c r="B257" s="735" t="s">
        <v>2170</v>
      </c>
      <c r="C257" s="735" t="s">
        <v>451</v>
      </c>
      <c r="D257" s="644" t="s">
        <v>2982</v>
      </c>
      <c r="E257" s="736">
        <v>6500</v>
      </c>
      <c r="F257" s="737" t="s">
        <v>2983</v>
      </c>
      <c r="G257" s="738" t="s">
        <v>2984</v>
      </c>
      <c r="H257" s="644" t="s">
        <v>2985</v>
      </c>
      <c r="I257" s="636" t="s">
        <v>2175</v>
      </c>
      <c r="J257" s="644" t="s">
        <v>2985</v>
      </c>
      <c r="K257" s="739"/>
      <c r="L257" s="735">
        <v>12</v>
      </c>
      <c r="M257" s="736">
        <v>80877.51999999999</v>
      </c>
      <c r="N257" s="735"/>
      <c r="O257" s="735">
        <v>6</v>
      </c>
      <c r="P257" s="736">
        <v>40044.9</v>
      </c>
      <c r="Q257" s="214"/>
    </row>
    <row r="258" spans="1:17" ht="12" customHeight="1" x14ac:dyDescent="0.2">
      <c r="A258" s="735" t="s">
        <v>2169</v>
      </c>
      <c r="B258" s="735" t="s">
        <v>2170</v>
      </c>
      <c r="C258" s="735" t="s">
        <v>451</v>
      </c>
      <c r="D258" s="644" t="s">
        <v>2986</v>
      </c>
      <c r="E258" s="736">
        <v>2900</v>
      </c>
      <c r="F258" s="737" t="s">
        <v>2987</v>
      </c>
      <c r="G258" s="738" t="s">
        <v>2988</v>
      </c>
      <c r="H258" s="644" t="s">
        <v>2253</v>
      </c>
      <c r="I258" s="636" t="s">
        <v>2254</v>
      </c>
      <c r="J258" s="644" t="s">
        <v>2254</v>
      </c>
      <c r="K258" s="739"/>
      <c r="L258" s="735">
        <v>12</v>
      </c>
      <c r="M258" s="736">
        <v>36759.480000000003</v>
      </c>
      <c r="N258" s="735"/>
      <c r="O258" s="735">
        <v>6</v>
      </c>
      <c r="P258" s="736">
        <v>18433.86</v>
      </c>
      <c r="Q258" s="214"/>
    </row>
    <row r="259" spans="1:17" ht="12" customHeight="1" x14ac:dyDescent="0.2">
      <c r="A259" s="735" t="s">
        <v>2169</v>
      </c>
      <c r="B259" s="735" t="s">
        <v>2170</v>
      </c>
      <c r="C259" s="735" t="s">
        <v>451</v>
      </c>
      <c r="D259" s="644" t="s">
        <v>2630</v>
      </c>
      <c r="E259" s="736">
        <v>8000</v>
      </c>
      <c r="F259" s="737" t="s">
        <v>2989</v>
      </c>
      <c r="G259" s="738" t="s">
        <v>2990</v>
      </c>
      <c r="H259" s="644">
        <v>0</v>
      </c>
      <c r="I259" s="636">
        <v>0</v>
      </c>
      <c r="J259" s="644">
        <v>0</v>
      </c>
      <c r="K259" s="739"/>
      <c r="L259" s="735">
        <v>3</v>
      </c>
      <c r="M259" s="736">
        <v>24340.199999999997</v>
      </c>
      <c r="N259" s="735"/>
      <c r="O259" s="735"/>
      <c r="P259" s="736"/>
      <c r="Q259" s="214"/>
    </row>
    <row r="260" spans="1:17" ht="12" customHeight="1" x14ac:dyDescent="0.2">
      <c r="A260" s="735" t="s">
        <v>2169</v>
      </c>
      <c r="B260" s="735" t="s">
        <v>2170</v>
      </c>
      <c r="C260" s="735" t="s">
        <v>451</v>
      </c>
      <c r="D260" s="644" t="s">
        <v>2991</v>
      </c>
      <c r="E260" s="736">
        <v>8000</v>
      </c>
      <c r="F260" s="737" t="s">
        <v>2992</v>
      </c>
      <c r="G260" s="738" t="s">
        <v>2993</v>
      </c>
      <c r="H260" s="644" t="s">
        <v>2201</v>
      </c>
      <c r="I260" s="636" t="s">
        <v>2201</v>
      </c>
      <c r="J260" s="644"/>
      <c r="K260" s="739"/>
      <c r="L260" s="735">
        <v>4</v>
      </c>
      <c r="M260" s="736">
        <v>26673.53</v>
      </c>
      <c r="N260" s="735"/>
      <c r="O260" s="735">
        <v>1</v>
      </c>
      <c r="P260" s="736">
        <v>174.15</v>
      </c>
      <c r="Q260" s="214"/>
    </row>
    <row r="261" spans="1:17" ht="12" customHeight="1" x14ac:dyDescent="0.2">
      <c r="A261" s="735" t="s">
        <v>2169</v>
      </c>
      <c r="B261" s="735" t="s">
        <v>2170</v>
      </c>
      <c r="C261" s="735" t="s">
        <v>451</v>
      </c>
      <c r="D261" s="644" t="s">
        <v>2482</v>
      </c>
      <c r="E261" s="736">
        <v>9000</v>
      </c>
      <c r="F261" s="737" t="s">
        <v>2994</v>
      </c>
      <c r="G261" s="738" t="s">
        <v>2995</v>
      </c>
      <c r="H261" s="644" t="s">
        <v>2201</v>
      </c>
      <c r="I261" s="636"/>
      <c r="J261" s="644"/>
      <c r="K261" s="739"/>
      <c r="L261" s="735">
        <v>1</v>
      </c>
      <c r="M261" s="736">
        <v>9113.4</v>
      </c>
      <c r="N261" s="735"/>
      <c r="O261" s="735"/>
      <c r="P261" s="736"/>
      <c r="Q261" s="214"/>
    </row>
    <row r="262" spans="1:17" ht="12" customHeight="1" x14ac:dyDescent="0.2">
      <c r="A262" s="735" t="s">
        <v>2169</v>
      </c>
      <c r="B262" s="735" t="s">
        <v>2170</v>
      </c>
      <c r="C262" s="735" t="s">
        <v>451</v>
      </c>
      <c r="D262" s="644" t="s">
        <v>2179</v>
      </c>
      <c r="E262" s="736">
        <v>8000</v>
      </c>
      <c r="F262" s="737" t="s">
        <v>2996</v>
      </c>
      <c r="G262" s="738" t="s">
        <v>2997</v>
      </c>
      <c r="H262" s="644" t="s">
        <v>2201</v>
      </c>
      <c r="I262" s="636"/>
      <c r="J262" s="644"/>
      <c r="K262" s="739"/>
      <c r="L262" s="735">
        <v>12</v>
      </c>
      <c r="M262" s="736">
        <v>98222.389999999985</v>
      </c>
      <c r="N262" s="735"/>
      <c r="O262" s="735">
        <v>6</v>
      </c>
      <c r="P262" s="736">
        <v>49013.87</v>
      </c>
      <c r="Q262" s="214"/>
    </row>
    <row r="263" spans="1:17" ht="12" customHeight="1" x14ac:dyDescent="0.2">
      <c r="A263" s="735" t="s">
        <v>2169</v>
      </c>
      <c r="B263" s="735" t="s">
        <v>2170</v>
      </c>
      <c r="C263" s="735" t="s">
        <v>451</v>
      </c>
      <c r="D263" s="644" t="s">
        <v>2636</v>
      </c>
      <c r="E263" s="736">
        <v>7000</v>
      </c>
      <c r="F263" s="737" t="s">
        <v>2998</v>
      </c>
      <c r="G263" s="738" t="s">
        <v>2999</v>
      </c>
      <c r="H263" s="644" t="s">
        <v>2201</v>
      </c>
      <c r="I263" s="636"/>
      <c r="J263" s="644"/>
      <c r="K263" s="739"/>
      <c r="L263" s="735">
        <v>12</v>
      </c>
      <c r="M263" s="736">
        <v>85960.799999999988</v>
      </c>
      <c r="N263" s="735"/>
      <c r="O263" s="735">
        <v>6</v>
      </c>
      <c r="P263" s="736">
        <v>43044.9</v>
      </c>
      <c r="Q263" s="214"/>
    </row>
    <row r="264" spans="1:17" ht="12" customHeight="1" x14ac:dyDescent="0.2">
      <c r="A264" s="735" t="s">
        <v>2169</v>
      </c>
      <c r="B264" s="735" t="s">
        <v>2170</v>
      </c>
      <c r="C264" s="735" t="s">
        <v>451</v>
      </c>
      <c r="D264" s="644" t="s">
        <v>3000</v>
      </c>
      <c r="E264" s="736">
        <v>9000</v>
      </c>
      <c r="F264" s="737" t="s">
        <v>3001</v>
      </c>
      <c r="G264" s="738" t="s">
        <v>3002</v>
      </c>
      <c r="H264" s="644" t="s">
        <v>2201</v>
      </c>
      <c r="I264" s="636" t="s">
        <v>2201</v>
      </c>
      <c r="J264" s="644"/>
      <c r="K264" s="739"/>
      <c r="L264" s="735">
        <v>10</v>
      </c>
      <c r="M264" s="736">
        <v>81847.199999999997</v>
      </c>
      <c r="N264" s="735"/>
      <c r="O264" s="735"/>
      <c r="P264" s="736"/>
      <c r="Q264" s="214"/>
    </row>
    <row r="265" spans="1:17" ht="12" customHeight="1" x14ac:dyDescent="0.2">
      <c r="A265" s="735" t="s">
        <v>2169</v>
      </c>
      <c r="B265" s="735" t="s">
        <v>2170</v>
      </c>
      <c r="C265" s="735" t="s">
        <v>451</v>
      </c>
      <c r="D265" s="644" t="s">
        <v>2630</v>
      </c>
      <c r="E265" s="736">
        <v>8000</v>
      </c>
      <c r="F265" s="737" t="s">
        <v>3003</v>
      </c>
      <c r="G265" s="738" t="s">
        <v>3004</v>
      </c>
      <c r="H265" s="644" t="s">
        <v>2420</v>
      </c>
      <c r="I265" s="636" t="s">
        <v>2228</v>
      </c>
      <c r="J265" s="644"/>
      <c r="K265" s="739"/>
      <c r="L265" s="735">
        <v>2</v>
      </c>
      <c r="M265" s="736">
        <v>17926.8</v>
      </c>
      <c r="N265" s="735"/>
      <c r="O265" s="735">
        <v>6</v>
      </c>
      <c r="P265" s="736">
        <v>49044.9</v>
      </c>
      <c r="Q265" s="214"/>
    </row>
    <row r="266" spans="1:17" ht="12" customHeight="1" x14ac:dyDescent="0.2">
      <c r="A266" s="735" t="s">
        <v>2169</v>
      </c>
      <c r="B266" s="735" t="s">
        <v>2170</v>
      </c>
      <c r="C266" s="735" t="s">
        <v>451</v>
      </c>
      <c r="D266" s="644" t="s">
        <v>3005</v>
      </c>
      <c r="E266" s="736">
        <v>15600</v>
      </c>
      <c r="F266" s="737" t="s">
        <v>3006</v>
      </c>
      <c r="G266" s="738" t="s">
        <v>3007</v>
      </c>
      <c r="H266" s="644" t="s">
        <v>3008</v>
      </c>
      <c r="I266" s="636" t="s">
        <v>2180</v>
      </c>
      <c r="J266" s="644" t="s">
        <v>2180</v>
      </c>
      <c r="K266" s="739"/>
      <c r="L266" s="735">
        <v>1</v>
      </c>
      <c r="M266" s="736">
        <v>6873.4</v>
      </c>
      <c r="N266" s="735"/>
      <c r="O266" s="735"/>
      <c r="P266" s="736"/>
      <c r="Q266" s="214"/>
    </row>
    <row r="267" spans="1:17" ht="12" customHeight="1" x14ac:dyDescent="0.2">
      <c r="A267" s="735" t="s">
        <v>2169</v>
      </c>
      <c r="B267" s="735" t="s">
        <v>2170</v>
      </c>
      <c r="C267" s="735" t="s">
        <v>451</v>
      </c>
      <c r="D267" s="644" t="s">
        <v>3009</v>
      </c>
      <c r="E267" s="736">
        <v>12000</v>
      </c>
      <c r="F267" s="737" t="s">
        <v>3010</v>
      </c>
      <c r="G267" s="738" t="s">
        <v>3011</v>
      </c>
      <c r="H267" s="644" t="s">
        <v>2201</v>
      </c>
      <c r="I267" s="636"/>
      <c r="J267" s="644"/>
      <c r="K267" s="739"/>
      <c r="L267" s="735">
        <v>12</v>
      </c>
      <c r="M267" s="736">
        <v>147160.79999999996</v>
      </c>
      <c r="N267" s="735"/>
      <c r="O267" s="735">
        <v>6</v>
      </c>
      <c r="P267" s="736">
        <v>73021.62999999999</v>
      </c>
      <c r="Q267" s="214"/>
    </row>
    <row r="268" spans="1:17" ht="12" customHeight="1" x14ac:dyDescent="0.2">
      <c r="A268" s="735" t="s">
        <v>2169</v>
      </c>
      <c r="B268" s="735" t="s">
        <v>2170</v>
      </c>
      <c r="C268" s="735" t="s">
        <v>451</v>
      </c>
      <c r="D268" s="644" t="s">
        <v>3012</v>
      </c>
      <c r="E268" s="736">
        <v>8000</v>
      </c>
      <c r="F268" s="737" t="s">
        <v>3013</v>
      </c>
      <c r="G268" s="738" t="s">
        <v>3014</v>
      </c>
      <c r="H268" s="644" t="s">
        <v>2310</v>
      </c>
      <c r="I268" s="636" t="s">
        <v>2180</v>
      </c>
      <c r="J268" s="644" t="s">
        <v>2180</v>
      </c>
      <c r="K268" s="739"/>
      <c r="L268" s="735">
        <v>12</v>
      </c>
      <c r="M268" s="736">
        <v>99401.539999999979</v>
      </c>
      <c r="N268" s="735"/>
      <c r="O268" s="735">
        <v>6</v>
      </c>
      <c r="P268" s="736">
        <v>49031.11</v>
      </c>
      <c r="Q268" s="214"/>
    </row>
    <row r="269" spans="1:17" ht="12" customHeight="1" x14ac:dyDescent="0.2">
      <c r="A269" s="735" t="s">
        <v>2169</v>
      </c>
      <c r="B269" s="735" t="s">
        <v>2170</v>
      </c>
      <c r="C269" s="735" t="s">
        <v>451</v>
      </c>
      <c r="D269" s="644" t="s">
        <v>2864</v>
      </c>
      <c r="E269" s="736">
        <v>3000</v>
      </c>
      <c r="F269" s="737" t="s">
        <v>3015</v>
      </c>
      <c r="G269" s="738" t="s">
        <v>3016</v>
      </c>
      <c r="H269" s="644" t="s">
        <v>2867</v>
      </c>
      <c r="I269" s="636" t="s">
        <v>2218</v>
      </c>
      <c r="J269" s="644"/>
      <c r="K269" s="739"/>
      <c r="L269" s="735">
        <v>7</v>
      </c>
      <c r="M269" s="736">
        <v>20980.400000000001</v>
      </c>
      <c r="N269" s="735"/>
      <c r="O269" s="735">
        <v>6</v>
      </c>
      <c r="P269" s="736">
        <v>19028.310000000001</v>
      </c>
      <c r="Q269" s="214"/>
    </row>
    <row r="270" spans="1:17" ht="12" customHeight="1" x14ac:dyDescent="0.2">
      <c r="A270" s="735" t="s">
        <v>2169</v>
      </c>
      <c r="B270" s="735" t="s">
        <v>2170</v>
      </c>
      <c r="C270" s="735" t="s">
        <v>451</v>
      </c>
      <c r="D270" s="644" t="s">
        <v>2446</v>
      </c>
      <c r="E270" s="736">
        <v>2500</v>
      </c>
      <c r="F270" s="737" t="s">
        <v>3017</v>
      </c>
      <c r="G270" s="738" t="s">
        <v>3018</v>
      </c>
      <c r="H270" s="644" t="s">
        <v>2212</v>
      </c>
      <c r="I270" s="636" t="s">
        <v>2254</v>
      </c>
      <c r="J270" s="644" t="s">
        <v>2254</v>
      </c>
      <c r="K270" s="739"/>
      <c r="L270" s="735">
        <v>12</v>
      </c>
      <c r="M270" s="736">
        <v>31960.800000000007</v>
      </c>
      <c r="N270" s="735"/>
      <c r="O270" s="735">
        <v>6</v>
      </c>
      <c r="P270" s="736">
        <v>16044.9</v>
      </c>
      <c r="Q270" s="214"/>
    </row>
    <row r="271" spans="1:17" ht="12" customHeight="1" x14ac:dyDescent="0.2">
      <c r="A271" s="735" t="s">
        <v>2169</v>
      </c>
      <c r="B271" s="735" t="s">
        <v>2170</v>
      </c>
      <c r="C271" s="735" t="s">
        <v>451</v>
      </c>
      <c r="D271" s="644" t="s">
        <v>3019</v>
      </c>
      <c r="E271" s="736">
        <v>8000</v>
      </c>
      <c r="F271" s="737" t="s">
        <v>3020</v>
      </c>
      <c r="G271" s="738" t="s">
        <v>3021</v>
      </c>
      <c r="H271" s="644" t="s">
        <v>2189</v>
      </c>
      <c r="I271" s="636" t="s">
        <v>2175</v>
      </c>
      <c r="J271" s="644" t="s">
        <v>2189</v>
      </c>
      <c r="K271" s="739"/>
      <c r="L271" s="735">
        <v>9</v>
      </c>
      <c r="M271" s="736">
        <v>75358.200000000012</v>
      </c>
      <c r="N271" s="735"/>
      <c r="O271" s="735"/>
      <c r="P271" s="736"/>
      <c r="Q271" s="214"/>
    </row>
    <row r="272" spans="1:17" ht="12" customHeight="1" x14ac:dyDescent="0.2">
      <c r="A272" s="735" t="s">
        <v>2169</v>
      </c>
      <c r="B272" s="735" t="s">
        <v>2170</v>
      </c>
      <c r="C272" s="735" t="s">
        <v>451</v>
      </c>
      <c r="D272" s="644" t="s">
        <v>3022</v>
      </c>
      <c r="E272" s="736">
        <v>6000</v>
      </c>
      <c r="F272" s="737" t="s">
        <v>3023</v>
      </c>
      <c r="G272" s="738" t="s">
        <v>3024</v>
      </c>
      <c r="H272" s="644" t="s">
        <v>2569</v>
      </c>
      <c r="I272" s="636" t="s">
        <v>3025</v>
      </c>
      <c r="J272" s="644"/>
      <c r="K272" s="725"/>
      <c r="L272" s="735">
        <v>1</v>
      </c>
      <c r="M272" s="736">
        <v>5313.4</v>
      </c>
      <c r="N272" s="735"/>
      <c r="O272" s="735">
        <v>6</v>
      </c>
      <c r="P272" s="736">
        <v>37041.450000000004</v>
      </c>
      <c r="Q272" s="214"/>
    </row>
    <row r="273" spans="1:17" ht="12" customHeight="1" x14ac:dyDescent="0.2">
      <c r="A273" s="735" t="s">
        <v>2169</v>
      </c>
      <c r="B273" s="735" t="s">
        <v>2170</v>
      </c>
      <c r="C273" s="735" t="s">
        <v>451</v>
      </c>
      <c r="D273" s="644" t="s">
        <v>2225</v>
      </c>
      <c r="E273" s="736">
        <v>8000</v>
      </c>
      <c r="F273" s="737" t="s">
        <v>3026</v>
      </c>
      <c r="G273" s="738" t="s">
        <v>3027</v>
      </c>
      <c r="H273" s="644">
        <v>0</v>
      </c>
      <c r="I273" s="636">
        <v>0</v>
      </c>
      <c r="J273" s="644">
        <v>0</v>
      </c>
      <c r="K273" s="739"/>
      <c r="L273" s="735">
        <v>3</v>
      </c>
      <c r="M273" s="736">
        <v>23991.53</v>
      </c>
      <c r="N273" s="735"/>
      <c r="O273" s="735"/>
      <c r="P273" s="736"/>
      <c r="Q273" s="214"/>
    </row>
    <row r="274" spans="1:17" ht="12" customHeight="1" x14ac:dyDescent="0.2">
      <c r="A274" s="735" t="s">
        <v>2169</v>
      </c>
      <c r="B274" s="735" t="s">
        <v>2170</v>
      </c>
      <c r="C274" s="735" t="s">
        <v>451</v>
      </c>
      <c r="D274" s="644" t="s">
        <v>3028</v>
      </c>
      <c r="E274" s="736">
        <v>12000</v>
      </c>
      <c r="F274" s="737" t="s">
        <v>3029</v>
      </c>
      <c r="G274" s="738" t="s">
        <v>3030</v>
      </c>
      <c r="H274" s="644" t="s">
        <v>3031</v>
      </c>
      <c r="I274" s="636" t="s">
        <v>2228</v>
      </c>
      <c r="J274" s="644"/>
      <c r="K274" s="739"/>
      <c r="L274" s="735">
        <v>1</v>
      </c>
      <c r="M274" s="736">
        <v>11713.4</v>
      </c>
      <c r="N274" s="735"/>
      <c r="O274" s="735">
        <v>6</v>
      </c>
      <c r="P274" s="736">
        <v>73044.039999999994</v>
      </c>
      <c r="Q274" s="214"/>
    </row>
    <row r="275" spans="1:17" ht="12" customHeight="1" x14ac:dyDescent="0.2">
      <c r="A275" s="735" t="s">
        <v>2169</v>
      </c>
      <c r="B275" s="735" t="s">
        <v>2170</v>
      </c>
      <c r="C275" s="735" t="s">
        <v>451</v>
      </c>
      <c r="D275" s="644" t="s">
        <v>3032</v>
      </c>
      <c r="E275" s="736">
        <v>4000</v>
      </c>
      <c r="F275" s="737" t="s">
        <v>3033</v>
      </c>
      <c r="G275" s="738" t="s">
        <v>3034</v>
      </c>
      <c r="H275" s="644" t="s">
        <v>2745</v>
      </c>
      <c r="I275" s="636" t="s">
        <v>2284</v>
      </c>
      <c r="J275" s="644" t="s">
        <v>2284</v>
      </c>
      <c r="K275" s="739"/>
      <c r="L275" s="735">
        <v>12</v>
      </c>
      <c r="M275" s="736">
        <v>49978.55000000001</v>
      </c>
      <c r="N275" s="735"/>
      <c r="O275" s="735">
        <v>6</v>
      </c>
      <c r="P275" s="736">
        <v>24622.489999999998</v>
      </c>
      <c r="Q275" s="214"/>
    </row>
    <row r="276" spans="1:17" ht="12" customHeight="1" x14ac:dyDescent="0.2">
      <c r="A276" s="735" t="s">
        <v>2169</v>
      </c>
      <c r="B276" s="735" t="s">
        <v>2170</v>
      </c>
      <c r="C276" s="735" t="s">
        <v>451</v>
      </c>
      <c r="D276" s="644" t="s">
        <v>2630</v>
      </c>
      <c r="E276" s="736">
        <v>8000</v>
      </c>
      <c r="F276" s="737" t="s">
        <v>3035</v>
      </c>
      <c r="G276" s="738" t="s">
        <v>3036</v>
      </c>
      <c r="H276" s="644" t="s">
        <v>2201</v>
      </c>
      <c r="I276" s="636"/>
      <c r="J276" s="644"/>
      <c r="K276" s="739"/>
      <c r="L276" s="735">
        <v>12</v>
      </c>
      <c r="M276" s="736">
        <v>97414.39999999998</v>
      </c>
      <c r="N276" s="735"/>
      <c r="O276" s="735">
        <v>6</v>
      </c>
      <c r="P276" s="736">
        <v>47565.41</v>
      </c>
      <c r="Q276" s="214"/>
    </row>
    <row r="277" spans="1:17" ht="12" customHeight="1" x14ac:dyDescent="0.2">
      <c r="A277" s="735" t="s">
        <v>2169</v>
      </c>
      <c r="B277" s="735" t="s">
        <v>2170</v>
      </c>
      <c r="C277" s="735" t="s">
        <v>451</v>
      </c>
      <c r="D277" s="644" t="s">
        <v>3037</v>
      </c>
      <c r="E277" s="736">
        <v>8000</v>
      </c>
      <c r="F277" s="737" t="s">
        <v>3038</v>
      </c>
      <c r="G277" s="738" t="s">
        <v>3039</v>
      </c>
      <c r="H277" s="644">
        <v>0</v>
      </c>
      <c r="I277" s="636">
        <v>0</v>
      </c>
      <c r="J277" s="644">
        <v>0</v>
      </c>
      <c r="K277" s="739"/>
      <c r="L277" s="735">
        <v>3</v>
      </c>
      <c r="M277" s="736">
        <v>24290.129999999997</v>
      </c>
      <c r="N277" s="735"/>
      <c r="O277" s="735"/>
      <c r="P277" s="736"/>
      <c r="Q277" s="214"/>
    </row>
    <row r="278" spans="1:17" ht="12" customHeight="1" x14ac:dyDescent="0.2">
      <c r="A278" s="735" t="s">
        <v>2169</v>
      </c>
      <c r="B278" s="735" t="s">
        <v>2170</v>
      </c>
      <c r="C278" s="735" t="s">
        <v>451</v>
      </c>
      <c r="D278" s="644" t="s">
        <v>3040</v>
      </c>
      <c r="E278" s="736">
        <v>7000</v>
      </c>
      <c r="F278" s="737" t="s">
        <v>3041</v>
      </c>
      <c r="G278" s="738" t="s">
        <v>3042</v>
      </c>
      <c r="H278" s="644">
        <v>0</v>
      </c>
      <c r="I278" s="636">
        <v>0</v>
      </c>
      <c r="J278" s="644">
        <v>0</v>
      </c>
      <c r="K278" s="739"/>
      <c r="L278" s="735">
        <v>3</v>
      </c>
      <c r="M278" s="736">
        <v>21340.199999999997</v>
      </c>
      <c r="N278" s="735"/>
      <c r="O278" s="735"/>
      <c r="P278" s="736"/>
      <c r="Q278" s="214"/>
    </row>
    <row r="279" spans="1:17" ht="12" customHeight="1" x14ac:dyDescent="0.2">
      <c r="A279" s="735" t="s">
        <v>2169</v>
      </c>
      <c r="B279" s="735" t="s">
        <v>2170</v>
      </c>
      <c r="C279" s="735" t="s">
        <v>451</v>
      </c>
      <c r="D279" s="644" t="s">
        <v>3043</v>
      </c>
      <c r="E279" s="736">
        <v>7000</v>
      </c>
      <c r="F279" s="737" t="s">
        <v>3044</v>
      </c>
      <c r="G279" s="738" t="s">
        <v>3045</v>
      </c>
      <c r="H279" s="644" t="s">
        <v>2201</v>
      </c>
      <c r="I279" s="636"/>
      <c r="J279" s="644"/>
      <c r="K279" s="739"/>
      <c r="L279" s="735">
        <v>12</v>
      </c>
      <c r="M279" s="736">
        <v>85847.4</v>
      </c>
      <c r="N279" s="735"/>
      <c r="O279" s="735">
        <v>6</v>
      </c>
      <c r="P279" s="736">
        <v>43044.9</v>
      </c>
      <c r="Q279" s="214"/>
    </row>
    <row r="280" spans="1:17" ht="12" customHeight="1" x14ac:dyDescent="0.2">
      <c r="A280" s="735" t="s">
        <v>2169</v>
      </c>
      <c r="B280" s="735" t="s">
        <v>2170</v>
      </c>
      <c r="C280" s="735" t="s">
        <v>451</v>
      </c>
      <c r="D280" s="644" t="s">
        <v>2225</v>
      </c>
      <c r="E280" s="736">
        <v>12000</v>
      </c>
      <c r="F280" s="737" t="s">
        <v>3046</v>
      </c>
      <c r="G280" s="738" t="s">
        <v>3047</v>
      </c>
      <c r="H280" s="644" t="s">
        <v>2179</v>
      </c>
      <c r="I280" s="636" t="s">
        <v>2250</v>
      </c>
      <c r="J280" s="644" t="s">
        <v>2250</v>
      </c>
      <c r="K280" s="739"/>
      <c r="L280" s="735">
        <v>12</v>
      </c>
      <c r="M280" s="736">
        <v>145960.79999999996</v>
      </c>
      <c r="N280" s="735"/>
      <c r="O280" s="735">
        <v>3</v>
      </c>
      <c r="P280" s="736">
        <v>31819.279999999999</v>
      </c>
      <c r="Q280" s="214"/>
    </row>
    <row r="281" spans="1:17" ht="12" customHeight="1" x14ac:dyDescent="0.2">
      <c r="A281" s="735" t="s">
        <v>2169</v>
      </c>
      <c r="B281" s="735" t="s">
        <v>2170</v>
      </c>
      <c r="C281" s="735" t="s">
        <v>451</v>
      </c>
      <c r="D281" s="644" t="s">
        <v>3048</v>
      </c>
      <c r="E281" s="736">
        <v>13000</v>
      </c>
      <c r="F281" s="737" t="s">
        <v>3049</v>
      </c>
      <c r="G281" s="738" t="s">
        <v>3050</v>
      </c>
      <c r="H281" s="644" t="s">
        <v>2201</v>
      </c>
      <c r="I281" s="636" t="s">
        <v>2201</v>
      </c>
      <c r="J281" s="644"/>
      <c r="K281" s="739"/>
      <c r="L281" s="735">
        <v>6</v>
      </c>
      <c r="M281" s="736">
        <v>65880.400000000009</v>
      </c>
      <c r="N281" s="735"/>
      <c r="O281" s="735"/>
      <c r="P281" s="736"/>
      <c r="Q281" s="214"/>
    </row>
    <row r="282" spans="1:17" ht="12" customHeight="1" x14ac:dyDescent="0.2">
      <c r="A282" s="735" t="s">
        <v>2169</v>
      </c>
      <c r="B282" s="735" t="s">
        <v>2170</v>
      </c>
      <c r="C282" s="735" t="s">
        <v>451</v>
      </c>
      <c r="D282" s="644" t="s">
        <v>3051</v>
      </c>
      <c r="E282" s="736">
        <v>4600</v>
      </c>
      <c r="F282" s="737" t="s">
        <v>3052</v>
      </c>
      <c r="G282" s="738" t="s">
        <v>3053</v>
      </c>
      <c r="H282" s="644" t="s">
        <v>3054</v>
      </c>
      <c r="I282" s="636" t="s">
        <v>2254</v>
      </c>
      <c r="J282" s="644" t="s">
        <v>2254</v>
      </c>
      <c r="K282" s="739"/>
      <c r="L282" s="735">
        <v>12</v>
      </c>
      <c r="M282" s="736">
        <v>58462.600000000013</v>
      </c>
      <c r="N282" s="735"/>
      <c r="O282" s="735">
        <v>3</v>
      </c>
      <c r="P282" s="736">
        <v>18794.669999999998</v>
      </c>
      <c r="Q282" s="214"/>
    </row>
    <row r="283" spans="1:17" ht="12" customHeight="1" x14ac:dyDescent="0.2">
      <c r="A283" s="735" t="s">
        <v>2169</v>
      </c>
      <c r="B283" s="735" t="s">
        <v>2232</v>
      </c>
      <c r="C283" s="735" t="s">
        <v>451</v>
      </c>
      <c r="D283" s="644" t="s">
        <v>2272</v>
      </c>
      <c r="E283" s="736">
        <v>9500</v>
      </c>
      <c r="F283" s="737" t="s">
        <v>3055</v>
      </c>
      <c r="G283" s="738" t="s">
        <v>3056</v>
      </c>
      <c r="H283" s="644" t="s">
        <v>3057</v>
      </c>
      <c r="I283" s="636" t="s">
        <v>2250</v>
      </c>
      <c r="J283" s="644" t="s">
        <v>2250</v>
      </c>
      <c r="K283" s="739"/>
      <c r="L283" s="735">
        <v>12</v>
      </c>
      <c r="M283" s="736">
        <v>116910.79999999999</v>
      </c>
      <c r="N283" s="735"/>
      <c r="O283" s="735">
        <v>5</v>
      </c>
      <c r="P283" s="736">
        <v>48687.420000000006</v>
      </c>
      <c r="Q283" s="214"/>
    </row>
    <row r="284" spans="1:17" ht="12" customHeight="1" x14ac:dyDescent="0.2">
      <c r="A284" s="735" t="s">
        <v>2169</v>
      </c>
      <c r="B284" s="735" t="s">
        <v>2170</v>
      </c>
      <c r="C284" s="735" t="s">
        <v>451</v>
      </c>
      <c r="D284" s="644" t="s">
        <v>3058</v>
      </c>
      <c r="E284" s="736">
        <v>7000</v>
      </c>
      <c r="F284" s="737" t="s">
        <v>3059</v>
      </c>
      <c r="G284" s="738" t="s">
        <v>3060</v>
      </c>
      <c r="H284" s="644" t="s">
        <v>2174</v>
      </c>
      <c r="I284" s="636" t="s">
        <v>2175</v>
      </c>
      <c r="J284" s="644"/>
      <c r="K284" s="739"/>
      <c r="L284" s="735">
        <v>1</v>
      </c>
      <c r="M284" s="736">
        <v>6766.67</v>
      </c>
      <c r="N284" s="735"/>
      <c r="O284" s="735">
        <v>6</v>
      </c>
      <c r="P284" s="736">
        <v>43028.310000000005</v>
      </c>
      <c r="Q284" s="214"/>
    </row>
    <row r="285" spans="1:17" ht="12" customHeight="1" x14ac:dyDescent="0.2">
      <c r="A285" s="735" t="s">
        <v>2169</v>
      </c>
      <c r="B285" s="735" t="s">
        <v>2170</v>
      </c>
      <c r="C285" s="735" t="s">
        <v>451</v>
      </c>
      <c r="D285" s="644" t="s">
        <v>3061</v>
      </c>
      <c r="E285" s="736">
        <v>8000</v>
      </c>
      <c r="F285" s="737" t="s">
        <v>3062</v>
      </c>
      <c r="G285" s="738" t="s">
        <v>3063</v>
      </c>
      <c r="H285" s="644" t="s">
        <v>2468</v>
      </c>
      <c r="I285" s="636" t="s">
        <v>2228</v>
      </c>
      <c r="J285" s="644" t="s">
        <v>2468</v>
      </c>
      <c r="K285" s="739"/>
      <c r="L285" s="735">
        <v>12</v>
      </c>
      <c r="M285" s="736">
        <v>99108.269999999975</v>
      </c>
      <c r="N285" s="735"/>
      <c r="O285" s="735">
        <v>6</v>
      </c>
      <c r="P285" s="736">
        <v>49044.9</v>
      </c>
      <c r="Q285" s="214"/>
    </row>
    <row r="286" spans="1:17" ht="12" customHeight="1" x14ac:dyDescent="0.2">
      <c r="A286" s="735" t="s">
        <v>2169</v>
      </c>
      <c r="B286" s="735" t="s">
        <v>2170</v>
      </c>
      <c r="C286" s="735" t="s">
        <v>451</v>
      </c>
      <c r="D286" s="644" t="s">
        <v>3064</v>
      </c>
      <c r="E286" s="736">
        <v>8000</v>
      </c>
      <c r="F286" s="737" t="s">
        <v>3065</v>
      </c>
      <c r="G286" s="738" t="s">
        <v>3066</v>
      </c>
      <c r="H286" s="644" t="s">
        <v>2245</v>
      </c>
      <c r="I286" s="636" t="s">
        <v>2250</v>
      </c>
      <c r="J286" s="644" t="s">
        <v>2250</v>
      </c>
      <c r="K286" s="739"/>
      <c r="L286" s="735">
        <v>12</v>
      </c>
      <c r="M286" s="736">
        <v>97558.849999999991</v>
      </c>
      <c r="N286" s="735"/>
      <c r="O286" s="735">
        <v>6</v>
      </c>
      <c r="P286" s="736">
        <v>44067.450000000004</v>
      </c>
      <c r="Q286" s="214"/>
    </row>
    <row r="287" spans="1:17" ht="12" customHeight="1" x14ac:dyDescent="0.2">
      <c r="A287" s="735" t="s">
        <v>2169</v>
      </c>
      <c r="B287" s="735" t="s">
        <v>2170</v>
      </c>
      <c r="C287" s="735" t="s">
        <v>451</v>
      </c>
      <c r="D287" s="644" t="s">
        <v>3067</v>
      </c>
      <c r="E287" s="736">
        <v>6000</v>
      </c>
      <c r="F287" s="737" t="s">
        <v>3068</v>
      </c>
      <c r="G287" s="738" t="s">
        <v>3069</v>
      </c>
      <c r="H287" s="644" t="s">
        <v>3070</v>
      </c>
      <c r="I287" s="636" t="s">
        <v>2180</v>
      </c>
      <c r="J287" s="644" t="s">
        <v>2180</v>
      </c>
      <c r="K287" s="739"/>
      <c r="L287" s="735">
        <v>12</v>
      </c>
      <c r="M287" s="736">
        <v>73960.800000000003</v>
      </c>
      <c r="N287" s="735"/>
      <c r="O287" s="735">
        <v>6</v>
      </c>
      <c r="P287" s="736">
        <v>37044.9</v>
      </c>
      <c r="Q287" s="214"/>
    </row>
    <row r="288" spans="1:17" ht="12" customHeight="1" x14ac:dyDescent="0.2">
      <c r="A288" s="735" t="s">
        <v>2169</v>
      </c>
      <c r="B288" s="735" t="s">
        <v>2170</v>
      </c>
      <c r="C288" s="735" t="s">
        <v>451</v>
      </c>
      <c r="D288" s="644" t="s">
        <v>3071</v>
      </c>
      <c r="E288" s="736">
        <v>9000</v>
      </c>
      <c r="F288" s="737" t="s">
        <v>3072</v>
      </c>
      <c r="G288" s="738" t="s">
        <v>3073</v>
      </c>
      <c r="H288" s="644" t="s">
        <v>2201</v>
      </c>
      <c r="I288" s="636"/>
      <c r="J288" s="644"/>
      <c r="K288" s="739"/>
      <c r="L288" s="735">
        <v>12</v>
      </c>
      <c r="M288" s="736">
        <v>110240.38999999998</v>
      </c>
      <c r="N288" s="735"/>
      <c r="O288" s="735">
        <v>6</v>
      </c>
      <c r="P288" s="736">
        <v>54978.310000000005</v>
      </c>
      <c r="Q288" s="214"/>
    </row>
    <row r="289" spans="1:17" ht="12" customHeight="1" x14ac:dyDescent="0.2">
      <c r="A289" s="735" t="s">
        <v>2169</v>
      </c>
      <c r="B289" s="735" t="s">
        <v>2170</v>
      </c>
      <c r="C289" s="735" t="s">
        <v>451</v>
      </c>
      <c r="D289" s="644" t="s">
        <v>2202</v>
      </c>
      <c r="E289" s="736">
        <v>2700</v>
      </c>
      <c r="F289" s="737" t="s">
        <v>3074</v>
      </c>
      <c r="G289" s="738" t="s">
        <v>3075</v>
      </c>
      <c r="H289" s="644" t="s">
        <v>2201</v>
      </c>
      <c r="I289" s="636"/>
      <c r="J289" s="644"/>
      <c r="K289" s="739"/>
      <c r="L289" s="735">
        <v>12</v>
      </c>
      <c r="M289" s="736">
        <v>34360.80000000001</v>
      </c>
      <c r="N289" s="735"/>
      <c r="O289" s="735">
        <v>6</v>
      </c>
      <c r="P289" s="736">
        <v>17244.900000000001</v>
      </c>
      <c r="Q289" s="214"/>
    </row>
    <row r="290" spans="1:17" ht="12" customHeight="1" x14ac:dyDescent="0.2">
      <c r="A290" s="735" t="s">
        <v>2169</v>
      </c>
      <c r="B290" s="735" t="s">
        <v>2170</v>
      </c>
      <c r="C290" s="735" t="s">
        <v>451</v>
      </c>
      <c r="D290" s="644" t="s">
        <v>2925</v>
      </c>
      <c r="E290" s="736">
        <v>12000</v>
      </c>
      <c r="F290" s="737" t="s">
        <v>3076</v>
      </c>
      <c r="G290" s="738" t="s">
        <v>3077</v>
      </c>
      <c r="H290" s="644" t="s">
        <v>2179</v>
      </c>
      <c r="I290" s="636" t="s">
        <v>2250</v>
      </c>
      <c r="J290" s="644" t="s">
        <v>2250</v>
      </c>
      <c r="K290" s="739"/>
      <c r="L290" s="735">
        <v>12</v>
      </c>
      <c r="M290" s="736">
        <v>146348.82999999999</v>
      </c>
      <c r="N290" s="735"/>
      <c r="O290" s="735">
        <v>6</v>
      </c>
      <c r="P290" s="736">
        <v>73019.899999999994</v>
      </c>
      <c r="Q290" s="214"/>
    </row>
    <row r="291" spans="1:17" ht="12" customHeight="1" x14ac:dyDescent="0.2">
      <c r="A291" s="735" t="s">
        <v>2169</v>
      </c>
      <c r="B291" s="735" t="s">
        <v>2232</v>
      </c>
      <c r="C291" s="735" t="s">
        <v>451</v>
      </c>
      <c r="D291" s="644" t="s">
        <v>2548</v>
      </c>
      <c r="E291" s="736">
        <v>6000</v>
      </c>
      <c r="F291" s="737" t="s">
        <v>3078</v>
      </c>
      <c r="G291" s="738" t="s">
        <v>3079</v>
      </c>
      <c r="H291" s="644" t="s">
        <v>2876</v>
      </c>
      <c r="I291" s="636" t="s">
        <v>2284</v>
      </c>
      <c r="J291" s="644" t="s">
        <v>2284</v>
      </c>
      <c r="K291" s="739"/>
      <c r="L291" s="735">
        <v>12</v>
      </c>
      <c r="M291" s="736">
        <v>73942.3</v>
      </c>
      <c r="N291" s="735"/>
      <c r="O291" s="735">
        <v>5</v>
      </c>
      <c r="P291" s="736">
        <v>30790.14</v>
      </c>
      <c r="Q291" s="214"/>
    </row>
    <row r="292" spans="1:17" ht="12" customHeight="1" x14ac:dyDescent="0.2">
      <c r="A292" s="735" t="s">
        <v>2169</v>
      </c>
      <c r="B292" s="735" t="s">
        <v>2170</v>
      </c>
      <c r="C292" s="735" t="s">
        <v>451</v>
      </c>
      <c r="D292" s="644" t="s">
        <v>3080</v>
      </c>
      <c r="E292" s="736">
        <v>8000</v>
      </c>
      <c r="F292" s="737" t="s">
        <v>3081</v>
      </c>
      <c r="G292" s="738" t="s">
        <v>3082</v>
      </c>
      <c r="H292" s="644" t="s">
        <v>2323</v>
      </c>
      <c r="I292" s="636" t="s">
        <v>2180</v>
      </c>
      <c r="J292" s="644" t="s">
        <v>2180</v>
      </c>
      <c r="K292" s="739"/>
      <c r="L292" s="735">
        <v>12</v>
      </c>
      <c r="M292" s="736">
        <v>98841.549999999974</v>
      </c>
      <c r="N292" s="735"/>
      <c r="O292" s="735">
        <v>6</v>
      </c>
      <c r="P292" s="736">
        <v>49044.9</v>
      </c>
      <c r="Q292" s="214"/>
    </row>
    <row r="293" spans="1:17" ht="12" customHeight="1" x14ac:dyDescent="0.2">
      <c r="A293" s="735" t="s">
        <v>2169</v>
      </c>
      <c r="B293" s="735" t="s">
        <v>2170</v>
      </c>
      <c r="C293" s="735" t="s">
        <v>451</v>
      </c>
      <c r="D293" s="644" t="s">
        <v>3083</v>
      </c>
      <c r="E293" s="736">
        <v>3000</v>
      </c>
      <c r="F293" s="737" t="s">
        <v>3084</v>
      </c>
      <c r="G293" s="738" t="s">
        <v>3085</v>
      </c>
      <c r="H293" s="644" t="s">
        <v>2201</v>
      </c>
      <c r="I293" s="636"/>
      <c r="J293" s="644"/>
      <c r="K293" s="739"/>
      <c r="L293" s="735">
        <v>12</v>
      </c>
      <c r="M293" s="736">
        <v>37960.80000000001</v>
      </c>
      <c r="N293" s="735"/>
      <c r="O293" s="735">
        <v>6</v>
      </c>
      <c r="P293" s="736">
        <v>19029.59</v>
      </c>
      <c r="Q293" s="214"/>
    </row>
    <row r="294" spans="1:17" ht="12" customHeight="1" x14ac:dyDescent="0.2">
      <c r="A294" s="735" t="s">
        <v>2169</v>
      </c>
      <c r="B294" s="735" t="s">
        <v>2170</v>
      </c>
      <c r="C294" s="735" t="s">
        <v>451</v>
      </c>
      <c r="D294" s="644" t="s">
        <v>3086</v>
      </c>
      <c r="E294" s="736">
        <v>3000</v>
      </c>
      <c r="F294" s="737" t="s">
        <v>3087</v>
      </c>
      <c r="G294" s="738" t="s">
        <v>3088</v>
      </c>
      <c r="H294" s="644" t="s">
        <v>2184</v>
      </c>
      <c r="I294" s="636" t="s">
        <v>2185</v>
      </c>
      <c r="J294" s="644" t="s">
        <v>2184</v>
      </c>
      <c r="K294" s="739"/>
      <c r="L294" s="735">
        <v>12</v>
      </c>
      <c r="M294" s="736">
        <v>37847.400000000009</v>
      </c>
      <c r="N294" s="735"/>
      <c r="O294" s="735">
        <v>6</v>
      </c>
      <c r="P294" s="736">
        <v>19016.439999999999</v>
      </c>
      <c r="Q294" s="214"/>
    </row>
    <row r="295" spans="1:17" ht="12" customHeight="1" x14ac:dyDescent="0.2">
      <c r="A295" s="735" t="s">
        <v>2169</v>
      </c>
      <c r="B295" s="735" t="s">
        <v>2170</v>
      </c>
      <c r="C295" s="735" t="s">
        <v>451</v>
      </c>
      <c r="D295" s="644" t="s">
        <v>3089</v>
      </c>
      <c r="E295" s="736">
        <v>5000</v>
      </c>
      <c r="F295" s="737" t="s">
        <v>3090</v>
      </c>
      <c r="G295" s="738" t="s">
        <v>3091</v>
      </c>
      <c r="H295" s="644" t="s">
        <v>3092</v>
      </c>
      <c r="I295" s="636" t="s">
        <v>2241</v>
      </c>
      <c r="J295" s="644" t="s">
        <v>2241</v>
      </c>
      <c r="K295" s="739"/>
      <c r="L295" s="735">
        <v>12</v>
      </c>
      <c r="M295" s="736">
        <v>61824.270000000004</v>
      </c>
      <c r="N295" s="735"/>
      <c r="O295" s="735">
        <v>6</v>
      </c>
      <c r="P295" s="736">
        <v>30964.800000000003</v>
      </c>
      <c r="Q295" s="214"/>
    </row>
    <row r="296" spans="1:17" ht="12" customHeight="1" x14ac:dyDescent="0.2">
      <c r="A296" s="735" t="s">
        <v>2169</v>
      </c>
      <c r="B296" s="735" t="s">
        <v>2170</v>
      </c>
      <c r="C296" s="735" t="s">
        <v>451</v>
      </c>
      <c r="D296" s="644" t="s">
        <v>3093</v>
      </c>
      <c r="E296" s="736">
        <v>10000</v>
      </c>
      <c r="F296" s="737" t="s">
        <v>3094</v>
      </c>
      <c r="G296" s="738" t="s">
        <v>3095</v>
      </c>
      <c r="H296" s="644" t="s">
        <v>2201</v>
      </c>
      <c r="I296" s="636" t="s">
        <v>2201</v>
      </c>
      <c r="J296" s="644"/>
      <c r="K296" s="739"/>
      <c r="L296" s="735">
        <v>12</v>
      </c>
      <c r="M296" s="736">
        <v>123294.12999999998</v>
      </c>
      <c r="N296" s="735"/>
      <c r="O296" s="735">
        <v>2</v>
      </c>
      <c r="P296" s="736">
        <v>19347.59</v>
      </c>
      <c r="Q296" s="214"/>
    </row>
    <row r="297" spans="1:17" ht="12" customHeight="1" x14ac:dyDescent="0.2">
      <c r="A297" s="735" t="s">
        <v>2169</v>
      </c>
      <c r="B297" s="735" t="s">
        <v>2170</v>
      </c>
      <c r="C297" s="735" t="s">
        <v>451</v>
      </c>
      <c r="D297" s="644" t="s">
        <v>3096</v>
      </c>
      <c r="E297" s="736">
        <v>8000</v>
      </c>
      <c r="F297" s="737" t="s">
        <v>3097</v>
      </c>
      <c r="G297" s="738" t="s">
        <v>3098</v>
      </c>
      <c r="H297" s="644" t="s">
        <v>2201</v>
      </c>
      <c r="I297" s="636"/>
      <c r="J297" s="644"/>
      <c r="K297" s="739"/>
      <c r="L297" s="735">
        <v>12</v>
      </c>
      <c r="M297" s="736">
        <v>95443.289999999979</v>
      </c>
      <c r="N297" s="735"/>
      <c r="O297" s="735">
        <v>6</v>
      </c>
      <c r="P297" s="736">
        <v>47128.810000000005</v>
      </c>
      <c r="Q297" s="214"/>
    </row>
    <row r="298" spans="1:17" ht="12" customHeight="1" x14ac:dyDescent="0.2">
      <c r="A298" s="735" t="s">
        <v>2169</v>
      </c>
      <c r="B298" s="735" t="s">
        <v>2170</v>
      </c>
      <c r="C298" s="735" t="s">
        <v>451</v>
      </c>
      <c r="D298" s="644" t="s">
        <v>3099</v>
      </c>
      <c r="E298" s="736">
        <v>15600</v>
      </c>
      <c r="F298" s="737" t="s">
        <v>3100</v>
      </c>
      <c r="G298" s="738" t="s">
        <v>3101</v>
      </c>
      <c r="H298" s="644" t="s">
        <v>2201</v>
      </c>
      <c r="I298" s="636"/>
      <c r="J298" s="644"/>
      <c r="K298" s="739"/>
      <c r="L298" s="735">
        <v>4</v>
      </c>
      <c r="M298" s="736">
        <v>55573.599999999999</v>
      </c>
      <c r="N298" s="735"/>
      <c r="O298" s="735"/>
      <c r="P298" s="736"/>
      <c r="Q298" s="214"/>
    </row>
    <row r="299" spans="1:17" ht="12" customHeight="1" x14ac:dyDescent="0.2">
      <c r="A299" s="735" t="s">
        <v>2169</v>
      </c>
      <c r="B299" s="735" t="s">
        <v>2170</v>
      </c>
      <c r="C299" s="735" t="s">
        <v>451</v>
      </c>
      <c r="D299" s="644" t="s">
        <v>3102</v>
      </c>
      <c r="E299" s="736">
        <v>4000</v>
      </c>
      <c r="F299" s="737" t="s">
        <v>3103</v>
      </c>
      <c r="G299" s="738" t="s">
        <v>3104</v>
      </c>
      <c r="H299" s="644" t="s">
        <v>2647</v>
      </c>
      <c r="I299" s="636" t="s">
        <v>2228</v>
      </c>
      <c r="J299" s="644" t="s">
        <v>2647</v>
      </c>
      <c r="K299" s="739"/>
      <c r="L299" s="735">
        <v>12</v>
      </c>
      <c r="M299" s="736">
        <v>49928.510000000009</v>
      </c>
      <c r="N299" s="735"/>
      <c r="O299" s="735">
        <v>6</v>
      </c>
      <c r="P299" s="736">
        <v>24976.810000000005</v>
      </c>
      <c r="Q299" s="214"/>
    </row>
    <row r="300" spans="1:17" ht="12" customHeight="1" x14ac:dyDescent="0.2">
      <c r="A300" s="735" t="s">
        <v>2169</v>
      </c>
      <c r="B300" s="735" t="s">
        <v>2170</v>
      </c>
      <c r="C300" s="735" t="s">
        <v>451</v>
      </c>
      <c r="D300" s="644" t="s">
        <v>3105</v>
      </c>
      <c r="E300" s="736">
        <v>8000</v>
      </c>
      <c r="F300" s="737" t="s">
        <v>3106</v>
      </c>
      <c r="G300" s="738" t="s">
        <v>3107</v>
      </c>
      <c r="H300" s="644" t="s">
        <v>2310</v>
      </c>
      <c r="I300" s="636" t="s">
        <v>2180</v>
      </c>
      <c r="J300" s="644" t="s">
        <v>2180</v>
      </c>
      <c r="K300" s="739"/>
      <c r="L300" s="735">
        <v>12</v>
      </c>
      <c r="M300" s="736">
        <v>99401.559999999969</v>
      </c>
      <c r="N300" s="735"/>
      <c r="O300" s="735">
        <v>6</v>
      </c>
      <c r="P300" s="736">
        <v>49044.33</v>
      </c>
      <c r="Q300" s="214"/>
    </row>
    <row r="301" spans="1:17" ht="12" customHeight="1" x14ac:dyDescent="0.2">
      <c r="A301" s="735" t="s">
        <v>2169</v>
      </c>
      <c r="B301" s="735" t="s">
        <v>2170</v>
      </c>
      <c r="C301" s="735" t="s">
        <v>451</v>
      </c>
      <c r="D301" s="644" t="s">
        <v>3108</v>
      </c>
      <c r="E301" s="736">
        <v>5000</v>
      </c>
      <c r="F301" s="737" t="s">
        <v>3109</v>
      </c>
      <c r="G301" s="738" t="s">
        <v>3110</v>
      </c>
      <c r="H301" s="644" t="s">
        <v>2268</v>
      </c>
      <c r="I301" s="636" t="s">
        <v>2246</v>
      </c>
      <c r="J301" s="644" t="s">
        <v>2268</v>
      </c>
      <c r="K301" s="739"/>
      <c r="L301" s="735">
        <v>12</v>
      </c>
      <c r="M301" s="736">
        <v>61830.62000000001</v>
      </c>
      <c r="N301" s="735"/>
      <c r="O301" s="735">
        <v>6</v>
      </c>
      <c r="P301" s="736">
        <v>31312.870000000003</v>
      </c>
      <c r="Q301" s="214"/>
    </row>
    <row r="302" spans="1:17" ht="12" customHeight="1" x14ac:dyDescent="0.2">
      <c r="A302" s="735" t="s">
        <v>2169</v>
      </c>
      <c r="B302" s="735" t="s">
        <v>2170</v>
      </c>
      <c r="C302" s="735" t="s">
        <v>451</v>
      </c>
      <c r="D302" s="644" t="s">
        <v>3111</v>
      </c>
      <c r="E302" s="736">
        <v>8500</v>
      </c>
      <c r="F302" s="737" t="s">
        <v>3112</v>
      </c>
      <c r="G302" s="738" t="s">
        <v>3113</v>
      </c>
      <c r="H302" s="644" t="s">
        <v>2179</v>
      </c>
      <c r="I302" s="636" t="s">
        <v>2180</v>
      </c>
      <c r="J302" s="644" t="s">
        <v>2180</v>
      </c>
      <c r="K302" s="739"/>
      <c r="L302" s="735">
        <v>10</v>
      </c>
      <c r="M302" s="736">
        <v>81697.139999999985</v>
      </c>
      <c r="N302" s="735"/>
      <c r="O302" s="735"/>
      <c r="P302" s="736"/>
      <c r="Q302" s="214"/>
    </row>
    <row r="303" spans="1:17" ht="12" customHeight="1" x14ac:dyDescent="0.2">
      <c r="A303" s="735" t="s">
        <v>2169</v>
      </c>
      <c r="B303" s="735" t="s">
        <v>2170</v>
      </c>
      <c r="C303" s="735" t="s">
        <v>451</v>
      </c>
      <c r="D303" s="644" t="s">
        <v>2190</v>
      </c>
      <c r="E303" s="736">
        <v>3000</v>
      </c>
      <c r="F303" s="737" t="s">
        <v>3114</v>
      </c>
      <c r="G303" s="738" t="s">
        <v>3115</v>
      </c>
      <c r="H303" s="644" t="s">
        <v>2184</v>
      </c>
      <c r="I303" s="636" t="s">
        <v>2241</v>
      </c>
      <c r="J303" s="644" t="s">
        <v>2241</v>
      </c>
      <c r="K303" s="739"/>
      <c r="L303" s="735">
        <v>12</v>
      </c>
      <c r="M303" s="736">
        <v>38051.000000000007</v>
      </c>
      <c r="N303" s="735"/>
      <c r="O303" s="735">
        <v>6</v>
      </c>
      <c r="P303" s="736">
        <v>18816.439999999999</v>
      </c>
      <c r="Q303" s="214"/>
    </row>
    <row r="304" spans="1:17" ht="12" customHeight="1" x14ac:dyDescent="0.2">
      <c r="A304" s="735" t="s">
        <v>2169</v>
      </c>
      <c r="B304" s="735" t="s">
        <v>2170</v>
      </c>
      <c r="C304" s="735" t="s">
        <v>451</v>
      </c>
      <c r="D304" s="644" t="s">
        <v>2381</v>
      </c>
      <c r="E304" s="736">
        <v>3000</v>
      </c>
      <c r="F304" s="737" t="s">
        <v>3116</v>
      </c>
      <c r="G304" s="738" t="s">
        <v>3117</v>
      </c>
      <c r="H304" s="644" t="s">
        <v>2384</v>
      </c>
      <c r="I304" s="636" t="s">
        <v>2385</v>
      </c>
      <c r="J304" s="644" t="s">
        <v>2385</v>
      </c>
      <c r="K304" s="739"/>
      <c r="L304" s="735">
        <v>12</v>
      </c>
      <c r="M304" s="736">
        <v>37959.170000000006</v>
      </c>
      <c r="N304" s="735"/>
      <c r="O304" s="735">
        <v>6</v>
      </c>
      <c r="P304" s="736">
        <v>19041.45</v>
      </c>
      <c r="Q304" s="214"/>
    </row>
    <row r="305" spans="1:17" ht="12" customHeight="1" x14ac:dyDescent="0.2">
      <c r="A305" s="735" t="s">
        <v>2169</v>
      </c>
      <c r="B305" s="735" t="s">
        <v>2170</v>
      </c>
      <c r="C305" s="735" t="s">
        <v>451</v>
      </c>
      <c r="D305" s="644" t="s">
        <v>3118</v>
      </c>
      <c r="E305" s="736">
        <v>8000</v>
      </c>
      <c r="F305" s="737" t="s">
        <v>3119</v>
      </c>
      <c r="G305" s="738" t="s">
        <v>3120</v>
      </c>
      <c r="H305" s="644" t="s">
        <v>2189</v>
      </c>
      <c r="I305" s="636" t="s">
        <v>2180</v>
      </c>
      <c r="J305" s="644" t="s">
        <v>2180</v>
      </c>
      <c r="K305" s="739"/>
      <c r="L305" s="735">
        <v>12</v>
      </c>
      <c r="M305" s="736">
        <v>98470.919999999984</v>
      </c>
      <c r="N305" s="735"/>
      <c r="O305" s="735">
        <v>6</v>
      </c>
      <c r="P305" s="736">
        <v>49012.72</v>
      </c>
      <c r="Q305" s="214"/>
    </row>
    <row r="306" spans="1:17" ht="12" customHeight="1" x14ac:dyDescent="0.2">
      <c r="A306" s="735" t="s">
        <v>2169</v>
      </c>
      <c r="B306" s="735" t="s">
        <v>2170</v>
      </c>
      <c r="C306" s="735" t="s">
        <v>451</v>
      </c>
      <c r="D306" s="644" t="s">
        <v>3121</v>
      </c>
      <c r="E306" s="736">
        <v>3000</v>
      </c>
      <c r="F306" s="737" t="s">
        <v>3122</v>
      </c>
      <c r="G306" s="738" t="s">
        <v>3123</v>
      </c>
      <c r="H306" s="644" t="s">
        <v>3124</v>
      </c>
      <c r="I306" s="636" t="s">
        <v>2254</v>
      </c>
      <c r="J306" s="644" t="s">
        <v>2254</v>
      </c>
      <c r="K306" s="739"/>
      <c r="L306" s="735">
        <v>12</v>
      </c>
      <c r="M306" s="736">
        <v>38750.090000000004</v>
      </c>
      <c r="N306" s="735"/>
      <c r="O306" s="735">
        <v>6</v>
      </c>
      <c r="P306" s="736">
        <v>19041.240000000002</v>
      </c>
      <c r="Q306" s="214"/>
    </row>
    <row r="307" spans="1:17" ht="12" customHeight="1" x14ac:dyDescent="0.2">
      <c r="A307" s="735" t="s">
        <v>2169</v>
      </c>
      <c r="B307" s="735" t="s">
        <v>2170</v>
      </c>
      <c r="C307" s="735" t="s">
        <v>451</v>
      </c>
      <c r="D307" s="644" t="s">
        <v>3125</v>
      </c>
      <c r="E307" s="736">
        <v>4000</v>
      </c>
      <c r="F307" s="737" t="s">
        <v>3126</v>
      </c>
      <c r="G307" s="738" t="s">
        <v>3127</v>
      </c>
      <c r="H307" s="644" t="s">
        <v>2236</v>
      </c>
      <c r="I307" s="636" t="s">
        <v>2175</v>
      </c>
      <c r="J307" s="644"/>
      <c r="K307" s="739"/>
      <c r="L307" s="735">
        <v>5</v>
      </c>
      <c r="M307" s="736">
        <v>20753.599999999999</v>
      </c>
      <c r="N307" s="735"/>
      <c r="O307" s="735">
        <v>6</v>
      </c>
      <c r="P307" s="736">
        <v>25044.9</v>
      </c>
      <c r="Q307" s="214"/>
    </row>
    <row r="308" spans="1:17" ht="12" customHeight="1" x14ac:dyDescent="0.2">
      <c r="A308" s="735" t="s">
        <v>2169</v>
      </c>
      <c r="B308" s="735" t="s">
        <v>2170</v>
      </c>
      <c r="C308" s="735" t="s">
        <v>451</v>
      </c>
      <c r="D308" s="644" t="s">
        <v>3128</v>
      </c>
      <c r="E308" s="736">
        <v>14000</v>
      </c>
      <c r="F308" s="737" t="s">
        <v>3129</v>
      </c>
      <c r="G308" s="738" t="s">
        <v>3130</v>
      </c>
      <c r="H308" s="644" t="s">
        <v>2924</v>
      </c>
      <c r="I308" s="636" t="s">
        <v>2250</v>
      </c>
      <c r="J308" s="644" t="s">
        <v>2250</v>
      </c>
      <c r="K308" s="739"/>
      <c r="L308" s="735">
        <v>12</v>
      </c>
      <c r="M308" s="736">
        <v>169847.39999999997</v>
      </c>
      <c r="N308" s="735"/>
      <c r="O308" s="735">
        <v>6</v>
      </c>
      <c r="P308" s="736">
        <v>85044.9</v>
      </c>
      <c r="Q308" s="214"/>
    </row>
    <row r="309" spans="1:17" ht="12" customHeight="1" x14ac:dyDescent="0.2">
      <c r="A309" s="735" t="s">
        <v>2169</v>
      </c>
      <c r="B309" s="735" t="s">
        <v>2170</v>
      </c>
      <c r="C309" s="735" t="s">
        <v>451</v>
      </c>
      <c r="D309" s="644" t="s">
        <v>3131</v>
      </c>
      <c r="E309" s="736">
        <v>7000</v>
      </c>
      <c r="F309" s="737" t="s">
        <v>3132</v>
      </c>
      <c r="G309" s="738" t="s">
        <v>3133</v>
      </c>
      <c r="H309" s="644" t="s">
        <v>2201</v>
      </c>
      <c r="I309" s="636" t="s">
        <v>2201</v>
      </c>
      <c r="J309" s="644"/>
      <c r="K309" s="739"/>
      <c r="L309" s="735">
        <v>12</v>
      </c>
      <c r="M309" s="736">
        <v>87127.459999999992</v>
      </c>
      <c r="N309" s="735"/>
      <c r="O309" s="735">
        <v>6</v>
      </c>
      <c r="P309" s="736">
        <v>42722.05</v>
      </c>
      <c r="Q309" s="214"/>
    </row>
    <row r="310" spans="1:17" ht="12" customHeight="1" x14ac:dyDescent="0.2">
      <c r="A310" s="735" t="s">
        <v>2169</v>
      </c>
      <c r="B310" s="735" t="s">
        <v>2170</v>
      </c>
      <c r="C310" s="735" t="s">
        <v>451</v>
      </c>
      <c r="D310" s="644" t="s">
        <v>3134</v>
      </c>
      <c r="E310" s="736">
        <v>7000</v>
      </c>
      <c r="F310" s="737" t="s">
        <v>3135</v>
      </c>
      <c r="G310" s="738" t="s">
        <v>3136</v>
      </c>
      <c r="H310" s="644" t="s">
        <v>2201</v>
      </c>
      <c r="I310" s="636" t="s">
        <v>2201</v>
      </c>
      <c r="J310" s="644"/>
      <c r="K310" s="739"/>
      <c r="L310" s="735">
        <v>4</v>
      </c>
      <c r="M310" s="736">
        <v>26553.599999999999</v>
      </c>
      <c r="N310" s="735"/>
      <c r="O310" s="735">
        <v>6</v>
      </c>
      <c r="P310" s="736">
        <v>43044.9</v>
      </c>
      <c r="Q310" s="214"/>
    </row>
    <row r="311" spans="1:17" ht="12" customHeight="1" x14ac:dyDescent="0.2">
      <c r="A311" s="735" t="s">
        <v>2169</v>
      </c>
      <c r="B311" s="735" t="s">
        <v>2170</v>
      </c>
      <c r="C311" s="735" t="s">
        <v>451</v>
      </c>
      <c r="D311" s="644" t="s">
        <v>2369</v>
      </c>
      <c r="E311" s="736">
        <v>4500</v>
      </c>
      <c r="F311" s="737" t="s">
        <v>3137</v>
      </c>
      <c r="G311" s="738" t="s">
        <v>3138</v>
      </c>
      <c r="H311" s="644" t="s">
        <v>2372</v>
      </c>
      <c r="I311" s="636" t="s">
        <v>2284</v>
      </c>
      <c r="J311" s="644" t="s">
        <v>2284</v>
      </c>
      <c r="K311" s="739"/>
      <c r="L311" s="735">
        <v>12</v>
      </c>
      <c r="M311" s="736">
        <v>58853.450000000012</v>
      </c>
      <c r="N311" s="735"/>
      <c r="O311" s="735">
        <v>6</v>
      </c>
      <c r="P311" s="736">
        <v>34036.990000000005</v>
      </c>
      <c r="Q311" s="214"/>
    </row>
    <row r="312" spans="1:17" ht="12" customHeight="1" x14ac:dyDescent="0.2">
      <c r="A312" s="735" t="s">
        <v>2169</v>
      </c>
      <c r="B312" s="735" t="s">
        <v>2170</v>
      </c>
      <c r="C312" s="735" t="s">
        <v>451</v>
      </c>
      <c r="D312" s="644" t="s">
        <v>3139</v>
      </c>
      <c r="E312" s="736">
        <v>11000</v>
      </c>
      <c r="F312" s="737" t="s">
        <v>3140</v>
      </c>
      <c r="G312" s="738" t="s">
        <v>3141</v>
      </c>
      <c r="H312" s="644" t="s">
        <v>2201</v>
      </c>
      <c r="I312" s="636"/>
      <c r="J312" s="644"/>
      <c r="K312" s="739"/>
      <c r="L312" s="735">
        <v>12</v>
      </c>
      <c r="M312" s="736">
        <v>133821.45999999996</v>
      </c>
      <c r="N312" s="735"/>
      <c r="O312" s="735">
        <v>6</v>
      </c>
      <c r="P312" s="736">
        <v>66555.740000000005</v>
      </c>
      <c r="Q312" s="214"/>
    </row>
    <row r="313" spans="1:17" ht="12" customHeight="1" x14ac:dyDescent="0.2">
      <c r="A313" s="735" t="s">
        <v>2169</v>
      </c>
      <c r="B313" s="735" t="s">
        <v>2170</v>
      </c>
      <c r="C313" s="735" t="s">
        <v>451</v>
      </c>
      <c r="D313" s="644" t="s">
        <v>2925</v>
      </c>
      <c r="E313" s="736">
        <v>10000</v>
      </c>
      <c r="F313" s="737" t="s">
        <v>3142</v>
      </c>
      <c r="G313" s="738" t="s">
        <v>3143</v>
      </c>
      <c r="H313" s="644" t="s">
        <v>2179</v>
      </c>
      <c r="I313" s="636" t="s">
        <v>2250</v>
      </c>
      <c r="J313" s="644" t="s">
        <v>2250</v>
      </c>
      <c r="K313" s="739"/>
      <c r="L313" s="735">
        <v>12</v>
      </c>
      <c r="M313" s="736">
        <v>122293.21999999997</v>
      </c>
      <c r="N313" s="735"/>
      <c r="O313" s="735">
        <v>6</v>
      </c>
      <c r="P313" s="736">
        <v>61042.740000000005</v>
      </c>
      <c r="Q313" s="214"/>
    </row>
    <row r="314" spans="1:17" ht="12" customHeight="1" x14ac:dyDescent="0.2">
      <c r="A314" s="735" t="s">
        <v>2169</v>
      </c>
      <c r="B314" s="735" t="s">
        <v>2170</v>
      </c>
      <c r="C314" s="735" t="s">
        <v>451</v>
      </c>
      <c r="D314" s="644" t="s">
        <v>3144</v>
      </c>
      <c r="E314" s="736">
        <v>4000</v>
      </c>
      <c r="F314" s="737" t="s">
        <v>3145</v>
      </c>
      <c r="G314" s="738" t="s">
        <v>3146</v>
      </c>
      <c r="H314" s="644" t="s">
        <v>2184</v>
      </c>
      <c r="I314" s="636" t="s">
        <v>2254</v>
      </c>
      <c r="J314" s="644" t="s">
        <v>2254</v>
      </c>
      <c r="K314" s="739"/>
      <c r="L314" s="735">
        <v>12</v>
      </c>
      <c r="M314" s="736">
        <v>49980.73</v>
      </c>
      <c r="N314" s="735"/>
      <c r="O314" s="735">
        <v>6</v>
      </c>
      <c r="P314" s="736">
        <v>25044.9</v>
      </c>
      <c r="Q314" s="214"/>
    </row>
    <row r="315" spans="1:17" ht="12" customHeight="1" x14ac:dyDescent="0.2">
      <c r="A315" s="735" t="s">
        <v>2169</v>
      </c>
      <c r="B315" s="735" t="s">
        <v>2170</v>
      </c>
      <c r="C315" s="735" t="s">
        <v>451</v>
      </c>
      <c r="D315" s="644" t="s">
        <v>3147</v>
      </c>
      <c r="E315" s="736">
        <v>8000</v>
      </c>
      <c r="F315" s="737" t="s">
        <v>3148</v>
      </c>
      <c r="G315" s="738" t="s">
        <v>3149</v>
      </c>
      <c r="H315" s="644" t="s">
        <v>2317</v>
      </c>
      <c r="I315" s="636" t="s">
        <v>2175</v>
      </c>
      <c r="J315" s="644" t="s">
        <v>2317</v>
      </c>
      <c r="K315" s="739"/>
      <c r="L315" s="735">
        <v>12</v>
      </c>
      <c r="M315" s="736">
        <v>98058.919999999984</v>
      </c>
      <c r="N315" s="735"/>
      <c r="O315" s="735">
        <v>6</v>
      </c>
      <c r="P315" s="736">
        <v>48971.91</v>
      </c>
      <c r="Q315" s="214"/>
    </row>
    <row r="316" spans="1:17" ht="12" customHeight="1" x14ac:dyDescent="0.2">
      <c r="A316" s="735" t="s">
        <v>2169</v>
      </c>
      <c r="B316" s="735" t="s">
        <v>2170</v>
      </c>
      <c r="C316" s="735" t="s">
        <v>451</v>
      </c>
      <c r="D316" s="644" t="s">
        <v>2225</v>
      </c>
      <c r="E316" s="736">
        <v>12000</v>
      </c>
      <c r="F316" s="737" t="s">
        <v>3150</v>
      </c>
      <c r="G316" s="738" t="s">
        <v>3151</v>
      </c>
      <c r="H316" s="644" t="s">
        <v>2179</v>
      </c>
      <c r="I316" s="636" t="s">
        <v>2652</v>
      </c>
      <c r="J316" s="644"/>
      <c r="K316" s="739"/>
      <c r="L316" s="735">
        <v>5</v>
      </c>
      <c r="M316" s="736">
        <v>60867</v>
      </c>
      <c r="N316" s="735"/>
      <c r="O316" s="735">
        <v>6</v>
      </c>
      <c r="P316" s="736">
        <v>73044.899999999994</v>
      </c>
      <c r="Q316" s="214"/>
    </row>
    <row r="317" spans="1:17" ht="12" customHeight="1" x14ac:dyDescent="0.2">
      <c r="A317" s="735" t="s">
        <v>2169</v>
      </c>
      <c r="B317" s="735" t="s">
        <v>2170</v>
      </c>
      <c r="C317" s="735" t="s">
        <v>451</v>
      </c>
      <c r="D317" s="644" t="s">
        <v>3037</v>
      </c>
      <c r="E317" s="736">
        <v>8000</v>
      </c>
      <c r="F317" s="737" t="s">
        <v>3152</v>
      </c>
      <c r="G317" s="738" t="s">
        <v>3153</v>
      </c>
      <c r="H317" s="644" t="s">
        <v>2201</v>
      </c>
      <c r="I317" s="636" t="s">
        <v>2201</v>
      </c>
      <c r="J317" s="644"/>
      <c r="K317" s="739"/>
      <c r="L317" s="735">
        <v>2</v>
      </c>
      <c r="M317" s="736">
        <v>17926.8</v>
      </c>
      <c r="N317" s="735"/>
      <c r="O317" s="735">
        <v>6</v>
      </c>
      <c r="P317" s="736">
        <v>48775.360000000001</v>
      </c>
      <c r="Q317" s="214"/>
    </row>
    <row r="318" spans="1:17" ht="12" customHeight="1" x14ac:dyDescent="0.2">
      <c r="A318" s="735" t="s">
        <v>2169</v>
      </c>
      <c r="B318" s="735" t="s">
        <v>2232</v>
      </c>
      <c r="C318" s="735" t="s">
        <v>451</v>
      </c>
      <c r="D318" s="644" t="s">
        <v>3154</v>
      </c>
      <c r="E318" s="736">
        <v>11000</v>
      </c>
      <c r="F318" s="737" t="s">
        <v>3155</v>
      </c>
      <c r="G318" s="738" t="s">
        <v>3156</v>
      </c>
      <c r="H318" s="644" t="s">
        <v>2179</v>
      </c>
      <c r="I318" s="636" t="s">
        <v>2250</v>
      </c>
      <c r="J318" s="644" t="s">
        <v>2250</v>
      </c>
      <c r="K318" s="739"/>
      <c r="L318" s="735">
        <v>12</v>
      </c>
      <c r="M318" s="736">
        <v>134251.63999999998</v>
      </c>
      <c r="N318" s="735"/>
      <c r="O318" s="735">
        <v>5</v>
      </c>
      <c r="P318" s="736">
        <v>55820.18</v>
      </c>
      <c r="Q318" s="214"/>
    </row>
    <row r="319" spans="1:17" ht="12" customHeight="1" x14ac:dyDescent="0.2">
      <c r="A319" s="735" t="s">
        <v>2169</v>
      </c>
      <c r="B319" s="735" t="s">
        <v>2170</v>
      </c>
      <c r="C319" s="735" t="s">
        <v>451</v>
      </c>
      <c r="D319" s="644" t="s">
        <v>3022</v>
      </c>
      <c r="E319" s="736">
        <v>8000</v>
      </c>
      <c r="F319" s="737" t="s">
        <v>3157</v>
      </c>
      <c r="G319" s="738" t="s">
        <v>3158</v>
      </c>
      <c r="H319" s="644" t="s">
        <v>2179</v>
      </c>
      <c r="I319" s="636" t="s">
        <v>2180</v>
      </c>
      <c r="J319" s="644" t="s">
        <v>2180</v>
      </c>
      <c r="K319" s="739"/>
      <c r="L319" s="735">
        <v>12</v>
      </c>
      <c r="M319" s="736">
        <v>99397.019999999975</v>
      </c>
      <c r="N319" s="735"/>
      <c r="O319" s="735">
        <v>6</v>
      </c>
      <c r="P319" s="736">
        <v>49044.9</v>
      </c>
      <c r="Q319" s="214"/>
    </row>
    <row r="320" spans="1:17" ht="12" customHeight="1" x14ac:dyDescent="0.2">
      <c r="A320" s="735" t="s">
        <v>2169</v>
      </c>
      <c r="B320" s="735" t="s">
        <v>2170</v>
      </c>
      <c r="C320" s="735" t="s">
        <v>451</v>
      </c>
      <c r="D320" s="644" t="s">
        <v>3159</v>
      </c>
      <c r="E320" s="736">
        <v>6000</v>
      </c>
      <c r="F320" s="737" t="s">
        <v>3160</v>
      </c>
      <c r="G320" s="738" t="s">
        <v>3161</v>
      </c>
      <c r="H320" s="644" t="s">
        <v>3162</v>
      </c>
      <c r="I320" s="636" t="s">
        <v>2241</v>
      </c>
      <c r="J320" s="644" t="s">
        <v>2241</v>
      </c>
      <c r="K320" s="739"/>
      <c r="L320" s="735">
        <v>12</v>
      </c>
      <c r="M320" s="736">
        <v>73959.710000000006</v>
      </c>
      <c r="N320" s="735"/>
      <c r="O320" s="735">
        <v>2</v>
      </c>
      <c r="P320" s="736">
        <v>20697.87</v>
      </c>
      <c r="Q320" s="214"/>
    </row>
    <row r="321" spans="1:17" ht="12" customHeight="1" x14ac:dyDescent="0.2">
      <c r="A321" s="735" t="s">
        <v>2169</v>
      </c>
      <c r="B321" s="735" t="s">
        <v>2170</v>
      </c>
      <c r="C321" s="735" t="s">
        <v>451</v>
      </c>
      <c r="D321" s="644" t="s">
        <v>3163</v>
      </c>
      <c r="E321" s="736">
        <v>15600</v>
      </c>
      <c r="F321" s="737" t="s">
        <v>3164</v>
      </c>
      <c r="G321" s="738" t="s">
        <v>3165</v>
      </c>
      <c r="H321" s="644" t="s">
        <v>2189</v>
      </c>
      <c r="I321" s="636" t="s">
        <v>2180</v>
      </c>
      <c r="J321" s="644" t="s">
        <v>2180</v>
      </c>
      <c r="K321" s="739"/>
      <c r="L321" s="735">
        <v>10</v>
      </c>
      <c r="M321" s="736">
        <v>145993.99999999997</v>
      </c>
      <c r="N321" s="735"/>
      <c r="O321" s="735"/>
      <c r="P321" s="736"/>
      <c r="Q321" s="214"/>
    </row>
    <row r="322" spans="1:17" ht="12" customHeight="1" x14ac:dyDescent="0.2">
      <c r="A322" s="735" t="s">
        <v>2169</v>
      </c>
      <c r="B322" s="735" t="s">
        <v>2170</v>
      </c>
      <c r="C322" s="735" t="s">
        <v>451</v>
      </c>
      <c r="D322" s="644" t="s">
        <v>3166</v>
      </c>
      <c r="E322" s="736">
        <v>13500</v>
      </c>
      <c r="F322" s="737" t="s">
        <v>3167</v>
      </c>
      <c r="G322" s="738" t="s">
        <v>3168</v>
      </c>
      <c r="H322" s="644" t="s">
        <v>3169</v>
      </c>
      <c r="I322" s="636" t="s">
        <v>2175</v>
      </c>
      <c r="J322" s="644"/>
      <c r="K322" s="739"/>
      <c r="L322" s="735">
        <v>8</v>
      </c>
      <c r="M322" s="736">
        <v>99743.799999999988</v>
      </c>
      <c r="N322" s="735"/>
      <c r="O322" s="735">
        <v>6</v>
      </c>
      <c r="P322" s="736">
        <v>82044.899999999994</v>
      </c>
      <c r="Q322" s="214"/>
    </row>
    <row r="323" spans="1:17" ht="12" customHeight="1" x14ac:dyDescent="0.2">
      <c r="A323" s="735" t="s">
        <v>2169</v>
      </c>
      <c r="B323" s="735" t="s">
        <v>2170</v>
      </c>
      <c r="C323" s="735" t="s">
        <v>451</v>
      </c>
      <c r="D323" s="644" t="s">
        <v>3170</v>
      </c>
      <c r="E323" s="736">
        <v>6000</v>
      </c>
      <c r="F323" s="737" t="s">
        <v>3171</v>
      </c>
      <c r="G323" s="738" t="s">
        <v>3172</v>
      </c>
      <c r="H323" s="644" t="s">
        <v>2201</v>
      </c>
      <c r="I323" s="636"/>
      <c r="J323" s="644"/>
      <c r="K323" s="739"/>
      <c r="L323" s="735">
        <v>12</v>
      </c>
      <c r="M323" s="736">
        <v>69544.530000000013</v>
      </c>
      <c r="N323" s="735"/>
      <c r="O323" s="735">
        <v>6</v>
      </c>
      <c r="P323" s="736">
        <v>36969.040000000001</v>
      </c>
      <c r="Q323" s="214"/>
    </row>
    <row r="324" spans="1:17" ht="12" customHeight="1" x14ac:dyDescent="0.2">
      <c r="A324" s="735" t="s">
        <v>2169</v>
      </c>
      <c r="B324" s="735" t="s">
        <v>2170</v>
      </c>
      <c r="C324" s="735" t="s">
        <v>451</v>
      </c>
      <c r="D324" s="644" t="s">
        <v>3173</v>
      </c>
      <c r="E324" s="736">
        <v>12000</v>
      </c>
      <c r="F324" s="737" t="s">
        <v>3174</v>
      </c>
      <c r="G324" s="738" t="s">
        <v>3175</v>
      </c>
      <c r="H324" s="644" t="s">
        <v>2420</v>
      </c>
      <c r="I324" s="636" t="s">
        <v>2246</v>
      </c>
      <c r="J324" s="644" t="s">
        <v>2420</v>
      </c>
      <c r="K324" s="739"/>
      <c r="L324" s="735">
        <v>12</v>
      </c>
      <c r="M324" s="736">
        <v>145960.79999999996</v>
      </c>
      <c r="N324" s="735"/>
      <c r="O324" s="735">
        <v>6</v>
      </c>
      <c r="P324" s="736">
        <v>73022.490000000005</v>
      </c>
      <c r="Q324" s="214"/>
    </row>
    <row r="325" spans="1:17" ht="12" customHeight="1" x14ac:dyDescent="0.2">
      <c r="A325" s="735" t="s">
        <v>2169</v>
      </c>
      <c r="B325" s="735" t="s">
        <v>2170</v>
      </c>
      <c r="C325" s="735" t="s">
        <v>451</v>
      </c>
      <c r="D325" s="644" t="s">
        <v>2772</v>
      </c>
      <c r="E325" s="736">
        <v>4000</v>
      </c>
      <c r="F325" s="737" t="s">
        <v>3176</v>
      </c>
      <c r="G325" s="738" t="s">
        <v>3177</v>
      </c>
      <c r="H325" s="644" t="s">
        <v>3178</v>
      </c>
      <c r="I325" s="636" t="s">
        <v>2284</v>
      </c>
      <c r="J325" s="644" t="s">
        <v>2284</v>
      </c>
      <c r="K325" s="739"/>
      <c r="L325" s="735">
        <v>12</v>
      </c>
      <c r="M325" s="736">
        <v>49844.130000000005</v>
      </c>
      <c r="N325" s="735"/>
      <c r="O325" s="735">
        <v>6</v>
      </c>
      <c r="P325" s="736">
        <v>25042.6</v>
      </c>
      <c r="Q325" s="214"/>
    </row>
    <row r="326" spans="1:17" ht="12" customHeight="1" x14ac:dyDescent="0.2">
      <c r="A326" s="735" t="s">
        <v>2169</v>
      </c>
      <c r="B326" s="735" t="s">
        <v>2232</v>
      </c>
      <c r="C326" s="735" t="s">
        <v>451</v>
      </c>
      <c r="D326" s="644" t="s">
        <v>2225</v>
      </c>
      <c r="E326" s="736">
        <v>9000</v>
      </c>
      <c r="F326" s="737" t="s">
        <v>3179</v>
      </c>
      <c r="G326" s="738" t="s">
        <v>3180</v>
      </c>
      <c r="H326" s="644" t="s">
        <v>2201</v>
      </c>
      <c r="I326" s="636"/>
      <c r="J326" s="644"/>
      <c r="K326" s="739"/>
      <c r="L326" s="735">
        <v>10</v>
      </c>
      <c r="M326" s="736">
        <v>92490.51999999999</v>
      </c>
      <c r="N326" s="735"/>
      <c r="O326" s="735">
        <v>5</v>
      </c>
      <c r="P326" s="736">
        <v>45870.75</v>
      </c>
      <c r="Q326" s="214"/>
    </row>
    <row r="327" spans="1:17" ht="12" customHeight="1" x14ac:dyDescent="0.2">
      <c r="A327" s="735" t="s">
        <v>2169</v>
      </c>
      <c r="B327" s="735" t="s">
        <v>2170</v>
      </c>
      <c r="C327" s="735" t="s">
        <v>451</v>
      </c>
      <c r="D327" s="644" t="s">
        <v>3181</v>
      </c>
      <c r="E327" s="736">
        <v>15600</v>
      </c>
      <c r="F327" s="737" t="s">
        <v>3182</v>
      </c>
      <c r="G327" s="738" t="s">
        <v>3183</v>
      </c>
      <c r="H327" s="644" t="s">
        <v>2494</v>
      </c>
      <c r="I327" s="636" t="s">
        <v>2250</v>
      </c>
      <c r="J327" s="644" t="s">
        <v>2250</v>
      </c>
      <c r="K327" s="739"/>
      <c r="L327" s="735">
        <v>7</v>
      </c>
      <c r="M327" s="736">
        <v>95714</v>
      </c>
      <c r="N327" s="735"/>
      <c r="O327" s="735"/>
      <c r="P327" s="736"/>
      <c r="Q327" s="214"/>
    </row>
    <row r="328" spans="1:17" ht="12" customHeight="1" x14ac:dyDescent="0.2">
      <c r="A328" s="735" t="s">
        <v>2169</v>
      </c>
      <c r="B328" s="735" t="s">
        <v>2170</v>
      </c>
      <c r="C328" s="735" t="s">
        <v>451</v>
      </c>
      <c r="D328" s="644" t="s">
        <v>3184</v>
      </c>
      <c r="E328" s="736">
        <v>15600</v>
      </c>
      <c r="F328" s="737" t="s">
        <v>3185</v>
      </c>
      <c r="G328" s="738" t="s">
        <v>3186</v>
      </c>
      <c r="H328" s="644" t="s">
        <v>2189</v>
      </c>
      <c r="I328" s="636" t="s">
        <v>2175</v>
      </c>
      <c r="J328" s="644"/>
      <c r="K328" s="739"/>
      <c r="L328" s="735">
        <v>1</v>
      </c>
      <c r="M328" s="736">
        <v>13633.4</v>
      </c>
      <c r="N328" s="735"/>
      <c r="O328" s="735">
        <v>6</v>
      </c>
      <c r="P328" s="736">
        <v>93084.9</v>
      </c>
      <c r="Q328" s="214"/>
    </row>
    <row r="329" spans="1:17" ht="12" customHeight="1" x14ac:dyDescent="0.2">
      <c r="A329" s="735" t="s">
        <v>2169</v>
      </c>
      <c r="B329" s="735" t="s">
        <v>2170</v>
      </c>
      <c r="C329" s="735" t="s">
        <v>451</v>
      </c>
      <c r="D329" s="644" t="s">
        <v>3187</v>
      </c>
      <c r="E329" s="736">
        <v>12000</v>
      </c>
      <c r="F329" s="737" t="s">
        <v>3188</v>
      </c>
      <c r="G329" s="738" t="s">
        <v>3189</v>
      </c>
      <c r="H329" s="644" t="s">
        <v>2179</v>
      </c>
      <c r="I329" s="636" t="s">
        <v>2250</v>
      </c>
      <c r="J329" s="644" t="s">
        <v>2250</v>
      </c>
      <c r="K329" s="739"/>
      <c r="L329" s="735">
        <v>12</v>
      </c>
      <c r="M329" s="736">
        <v>145960.79999999996</v>
      </c>
      <c r="N329" s="735"/>
      <c r="O329" s="735">
        <v>7</v>
      </c>
      <c r="P329" s="736">
        <v>137478.22999999998</v>
      </c>
      <c r="Q329" s="214"/>
    </row>
    <row r="330" spans="1:17" ht="12" customHeight="1" x14ac:dyDescent="0.2">
      <c r="A330" s="735" t="s">
        <v>2169</v>
      </c>
      <c r="B330" s="735" t="s">
        <v>2170</v>
      </c>
      <c r="C330" s="735" t="s">
        <v>451</v>
      </c>
      <c r="D330" s="644" t="s">
        <v>2446</v>
      </c>
      <c r="E330" s="736">
        <v>2500</v>
      </c>
      <c r="F330" s="737" t="s">
        <v>3190</v>
      </c>
      <c r="G330" s="738" t="s">
        <v>3191</v>
      </c>
      <c r="H330" s="644" t="s">
        <v>2392</v>
      </c>
      <c r="I330" s="636" t="s">
        <v>2254</v>
      </c>
      <c r="J330" s="644" t="s">
        <v>2254</v>
      </c>
      <c r="K330" s="739"/>
      <c r="L330" s="735">
        <v>12</v>
      </c>
      <c r="M330" s="736">
        <v>31960.800000000007</v>
      </c>
      <c r="N330" s="735"/>
      <c r="O330" s="735">
        <v>6</v>
      </c>
      <c r="P330" s="736">
        <v>16043.1</v>
      </c>
      <c r="Q330" s="214"/>
    </row>
    <row r="331" spans="1:17" ht="12" customHeight="1" x14ac:dyDescent="0.2">
      <c r="A331" s="735" t="s">
        <v>2169</v>
      </c>
      <c r="B331" s="735" t="s">
        <v>2170</v>
      </c>
      <c r="C331" s="735" t="s">
        <v>451</v>
      </c>
      <c r="D331" s="644" t="s">
        <v>3192</v>
      </c>
      <c r="E331" s="736">
        <v>5000</v>
      </c>
      <c r="F331" s="737" t="s">
        <v>3193</v>
      </c>
      <c r="G331" s="738" t="s">
        <v>3194</v>
      </c>
      <c r="H331" s="644" t="s">
        <v>2184</v>
      </c>
      <c r="I331" s="636" t="s">
        <v>2185</v>
      </c>
      <c r="J331" s="644" t="s">
        <v>2184</v>
      </c>
      <c r="K331" s="739"/>
      <c r="L331" s="735">
        <v>12</v>
      </c>
      <c r="M331" s="736">
        <v>63375.80000000001</v>
      </c>
      <c r="N331" s="735"/>
      <c r="O331" s="735">
        <v>6</v>
      </c>
      <c r="P331" s="736">
        <v>31044.9</v>
      </c>
      <c r="Q331" s="214"/>
    </row>
    <row r="332" spans="1:17" ht="12" customHeight="1" x14ac:dyDescent="0.2">
      <c r="A332" s="735" t="s">
        <v>2169</v>
      </c>
      <c r="B332" s="735" t="s">
        <v>2170</v>
      </c>
      <c r="C332" s="735" t="s">
        <v>451</v>
      </c>
      <c r="D332" s="644" t="s">
        <v>3195</v>
      </c>
      <c r="E332" s="736">
        <v>12000</v>
      </c>
      <c r="F332" s="737" t="s">
        <v>3196</v>
      </c>
      <c r="G332" s="738" t="s">
        <v>3197</v>
      </c>
      <c r="H332" s="644" t="s">
        <v>3198</v>
      </c>
      <c r="I332" s="636" t="s">
        <v>2175</v>
      </c>
      <c r="J332" s="644" t="s">
        <v>3198</v>
      </c>
      <c r="K332" s="739"/>
      <c r="L332" s="735">
        <v>12</v>
      </c>
      <c r="M332" s="736">
        <v>145960.79999999996</v>
      </c>
      <c r="N332" s="735"/>
      <c r="O332" s="735">
        <v>6</v>
      </c>
      <c r="P332" s="736">
        <v>73044.899999999994</v>
      </c>
      <c r="Q332" s="214"/>
    </row>
    <row r="333" spans="1:17" ht="12" customHeight="1" x14ac:dyDescent="0.2">
      <c r="A333" s="735" t="s">
        <v>2169</v>
      </c>
      <c r="B333" s="735" t="s">
        <v>2170</v>
      </c>
      <c r="C333" s="735" t="s">
        <v>451</v>
      </c>
      <c r="D333" s="644" t="s">
        <v>2225</v>
      </c>
      <c r="E333" s="736">
        <v>12000</v>
      </c>
      <c r="F333" s="737" t="s">
        <v>3199</v>
      </c>
      <c r="G333" s="738" t="s">
        <v>3200</v>
      </c>
      <c r="H333" s="644" t="s">
        <v>2201</v>
      </c>
      <c r="I333" s="636"/>
      <c r="J333" s="644"/>
      <c r="K333" s="739"/>
      <c r="L333" s="735">
        <v>12</v>
      </c>
      <c r="M333" s="736">
        <v>133960.79999999999</v>
      </c>
      <c r="N333" s="735"/>
      <c r="O333" s="735">
        <v>6</v>
      </c>
      <c r="P333" s="736">
        <v>73028.52</v>
      </c>
      <c r="Q333" s="214"/>
    </row>
    <row r="334" spans="1:17" ht="12" customHeight="1" x14ac:dyDescent="0.2">
      <c r="A334" s="735" t="s">
        <v>2169</v>
      </c>
      <c r="B334" s="735" t="s">
        <v>2170</v>
      </c>
      <c r="C334" s="735" t="s">
        <v>451</v>
      </c>
      <c r="D334" s="644" t="s">
        <v>2511</v>
      </c>
      <c r="E334" s="736">
        <v>3500</v>
      </c>
      <c r="F334" s="737" t="s">
        <v>3201</v>
      </c>
      <c r="G334" s="738" t="s">
        <v>3202</v>
      </c>
      <c r="H334" s="644" t="s">
        <v>2253</v>
      </c>
      <c r="I334" s="636" t="s">
        <v>2254</v>
      </c>
      <c r="J334" s="644" t="s">
        <v>2254</v>
      </c>
      <c r="K334" s="739"/>
      <c r="L334" s="735">
        <v>12</v>
      </c>
      <c r="M334" s="736">
        <v>43960.80000000001</v>
      </c>
      <c r="N334" s="735"/>
      <c r="O334" s="735">
        <v>6</v>
      </c>
      <c r="P334" s="736">
        <v>22044.9</v>
      </c>
      <c r="Q334" s="214"/>
    </row>
    <row r="335" spans="1:17" ht="12" customHeight="1" x14ac:dyDescent="0.2">
      <c r="A335" s="735" t="s">
        <v>2169</v>
      </c>
      <c r="B335" s="735" t="s">
        <v>2170</v>
      </c>
      <c r="C335" s="735" t="s">
        <v>451</v>
      </c>
      <c r="D335" s="644" t="s">
        <v>2421</v>
      </c>
      <c r="E335" s="736">
        <v>4600</v>
      </c>
      <c r="F335" s="737" t="s">
        <v>3203</v>
      </c>
      <c r="G335" s="738" t="s">
        <v>3204</v>
      </c>
      <c r="H335" s="644" t="s">
        <v>2201</v>
      </c>
      <c r="I335" s="636"/>
      <c r="J335" s="644"/>
      <c r="K335" s="739"/>
      <c r="L335" s="735">
        <v>12</v>
      </c>
      <c r="M335" s="736">
        <v>58002.600000000013</v>
      </c>
      <c r="N335" s="735"/>
      <c r="O335" s="735">
        <v>6</v>
      </c>
      <c r="P335" s="736">
        <v>28644.9</v>
      </c>
      <c r="Q335" s="214"/>
    </row>
    <row r="336" spans="1:17" ht="12" customHeight="1" x14ac:dyDescent="0.2">
      <c r="A336" s="735" t="s">
        <v>2169</v>
      </c>
      <c r="B336" s="735" t="s">
        <v>2170</v>
      </c>
      <c r="C336" s="735" t="s">
        <v>451</v>
      </c>
      <c r="D336" s="644" t="s">
        <v>3205</v>
      </c>
      <c r="E336" s="736">
        <v>15600</v>
      </c>
      <c r="F336" s="737" t="s">
        <v>3206</v>
      </c>
      <c r="G336" s="738" t="s">
        <v>3207</v>
      </c>
      <c r="H336" s="644" t="s">
        <v>2189</v>
      </c>
      <c r="I336" s="636" t="s">
        <v>2180</v>
      </c>
      <c r="J336" s="644" t="s">
        <v>2180</v>
      </c>
      <c r="K336" s="739"/>
      <c r="L336" s="735">
        <v>12</v>
      </c>
      <c r="M336" s="736">
        <v>178980.72999999995</v>
      </c>
      <c r="N336" s="735"/>
      <c r="O336" s="735">
        <v>6</v>
      </c>
      <c r="P336" s="736">
        <v>93084.9</v>
      </c>
      <c r="Q336" s="214"/>
    </row>
    <row r="337" spans="1:17" ht="12" customHeight="1" x14ac:dyDescent="0.2">
      <c r="A337" s="735" t="s">
        <v>2169</v>
      </c>
      <c r="B337" s="735" t="s">
        <v>2170</v>
      </c>
      <c r="C337" s="735" t="s">
        <v>451</v>
      </c>
      <c r="D337" s="644" t="s">
        <v>3208</v>
      </c>
      <c r="E337" s="736">
        <v>4000</v>
      </c>
      <c r="F337" s="737" t="s">
        <v>3209</v>
      </c>
      <c r="G337" s="738" t="s">
        <v>3210</v>
      </c>
      <c r="H337" s="644" t="s">
        <v>2201</v>
      </c>
      <c r="I337" s="636"/>
      <c r="J337" s="644"/>
      <c r="K337" s="739"/>
      <c r="L337" s="735">
        <v>6</v>
      </c>
      <c r="M337" s="736">
        <v>24652.1</v>
      </c>
      <c r="N337" s="735"/>
      <c r="O337" s="735"/>
      <c r="P337" s="736"/>
      <c r="Q337" s="214"/>
    </row>
    <row r="338" spans="1:17" ht="12" customHeight="1" x14ac:dyDescent="0.2">
      <c r="A338" s="735" t="s">
        <v>2169</v>
      </c>
      <c r="B338" s="735" t="s">
        <v>2170</v>
      </c>
      <c r="C338" s="735" t="s">
        <v>451</v>
      </c>
      <c r="D338" s="644" t="s">
        <v>3211</v>
      </c>
      <c r="E338" s="736">
        <v>9500</v>
      </c>
      <c r="F338" s="737" t="s">
        <v>3212</v>
      </c>
      <c r="G338" s="738" t="s">
        <v>3213</v>
      </c>
      <c r="H338" s="644" t="s">
        <v>2179</v>
      </c>
      <c r="I338" s="636" t="s">
        <v>2250</v>
      </c>
      <c r="J338" s="644" t="s">
        <v>2250</v>
      </c>
      <c r="K338" s="739"/>
      <c r="L338" s="735">
        <v>12</v>
      </c>
      <c r="M338" s="736">
        <v>115847.39999999998</v>
      </c>
      <c r="N338" s="735"/>
      <c r="O338" s="735">
        <v>6</v>
      </c>
      <c r="P338" s="736">
        <v>58029.2</v>
      </c>
      <c r="Q338" s="214"/>
    </row>
    <row r="339" spans="1:17" ht="12" customHeight="1" x14ac:dyDescent="0.2">
      <c r="A339" s="735" t="s">
        <v>2169</v>
      </c>
      <c r="B339" s="735" t="s">
        <v>2170</v>
      </c>
      <c r="C339" s="735" t="s">
        <v>451</v>
      </c>
      <c r="D339" s="644" t="s">
        <v>3214</v>
      </c>
      <c r="E339" s="736">
        <v>7000</v>
      </c>
      <c r="F339" s="737" t="s">
        <v>3215</v>
      </c>
      <c r="G339" s="738" t="s">
        <v>3216</v>
      </c>
      <c r="H339" s="644" t="s">
        <v>2208</v>
      </c>
      <c r="I339" s="636" t="s">
        <v>2180</v>
      </c>
      <c r="J339" s="644" t="s">
        <v>2180</v>
      </c>
      <c r="K339" s="739"/>
      <c r="L339" s="735">
        <v>12</v>
      </c>
      <c r="M339" s="736">
        <v>85750.65</v>
      </c>
      <c r="N339" s="735"/>
      <c r="O339" s="735">
        <v>6</v>
      </c>
      <c r="P339" s="736">
        <v>43044.9</v>
      </c>
      <c r="Q339" s="214"/>
    </row>
    <row r="340" spans="1:17" ht="12" customHeight="1" x14ac:dyDescent="0.2">
      <c r="A340" s="735" t="s">
        <v>2169</v>
      </c>
      <c r="B340" s="735" t="s">
        <v>2170</v>
      </c>
      <c r="C340" s="735" t="s">
        <v>451</v>
      </c>
      <c r="D340" s="644" t="s">
        <v>3217</v>
      </c>
      <c r="E340" s="736">
        <v>7000</v>
      </c>
      <c r="F340" s="737" t="s">
        <v>3218</v>
      </c>
      <c r="G340" s="738" t="s">
        <v>3219</v>
      </c>
      <c r="H340" s="644" t="s">
        <v>2201</v>
      </c>
      <c r="I340" s="636"/>
      <c r="J340" s="644"/>
      <c r="K340" s="739"/>
      <c r="L340" s="735">
        <v>12</v>
      </c>
      <c r="M340" s="736">
        <v>85937.939999999988</v>
      </c>
      <c r="N340" s="735"/>
      <c r="O340" s="735">
        <v>6</v>
      </c>
      <c r="P340" s="736">
        <v>42976.51</v>
      </c>
      <c r="Q340" s="214"/>
    </row>
    <row r="341" spans="1:17" ht="12" customHeight="1" x14ac:dyDescent="0.2">
      <c r="A341" s="735" t="s">
        <v>2169</v>
      </c>
      <c r="B341" s="735" t="s">
        <v>2170</v>
      </c>
      <c r="C341" s="735" t="s">
        <v>451</v>
      </c>
      <c r="D341" s="644" t="s">
        <v>3220</v>
      </c>
      <c r="E341" s="736">
        <v>8000</v>
      </c>
      <c r="F341" s="737" t="s">
        <v>3221</v>
      </c>
      <c r="G341" s="738" t="s">
        <v>3222</v>
      </c>
      <c r="H341" s="644" t="s">
        <v>2629</v>
      </c>
      <c r="I341" s="636" t="s">
        <v>2180</v>
      </c>
      <c r="J341" s="644" t="s">
        <v>2180</v>
      </c>
      <c r="K341" s="739"/>
      <c r="L341" s="735">
        <v>12</v>
      </c>
      <c r="M341" s="736">
        <v>98034.98</v>
      </c>
      <c r="N341" s="735"/>
      <c r="O341" s="735">
        <v>6</v>
      </c>
      <c r="P341" s="736">
        <v>48751.22</v>
      </c>
      <c r="Q341" s="214"/>
    </row>
    <row r="342" spans="1:17" ht="12" customHeight="1" x14ac:dyDescent="0.2">
      <c r="A342" s="735" t="s">
        <v>2169</v>
      </c>
      <c r="B342" s="735" t="s">
        <v>2170</v>
      </c>
      <c r="C342" s="735" t="s">
        <v>451</v>
      </c>
      <c r="D342" s="644" t="s">
        <v>2446</v>
      </c>
      <c r="E342" s="736">
        <v>2500</v>
      </c>
      <c r="F342" s="737" t="s">
        <v>3223</v>
      </c>
      <c r="G342" s="738" t="s">
        <v>3224</v>
      </c>
      <c r="H342" s="644" t="s">
        <v>2253</v>
      </c>
      <c r="I342" s="636" t="s">
        <v>2254</v>
      </c>
      <c r="J342" s="644" t="s">
        <v>2254</v>
      </c>
      <c r="K342" s="739"/>
      <c r="L342" s="735">
        <v>12</v>
      </c>
      <c r="M342" s="736">
        <v>31960.120000000006</v>
      </c>
      <c r="N342" s="735"/>
      <c r="O342" s="735">
        <v>6</v>
      </c>
      <c r="P342" s="736">
        <v>16044.9</v>
      </c>
      <c r="Q342" s="214"/>
    </row>
    <row r="343" spans="1:17" ht="12" customHeight="1" x14ac:dyDescent="0.2">
      <c r="A343" s="735" t="s">
        <v>2169</v>
      </c>
      <c r="B343" s="735" t="s">
        <v>2170</v>
      </c>
      <c r="C343" s="735" t="s">
        <v>451</v>
      </c>
      <c r="D343" s="644" t="s">
        <v>3225</v>
      </c>
      <c r="E343" s="736">
        <v>9500</v>
      </c>
      <c r="F343" s="737" t="s">
        <v>3226</v>
      </c>
      <c r="G343" s="738" t="s">
        <v>3227</v>
      </c>
      <c r="H343" s="644" t="s">
        <v>2201</v>
      </c>
      <c r="I343" s="636"/>
      <c r="J343" s="644"/>
      <c r="K343" s="739"/>
      <c r="L343" s="735">
        <v>12</v>
      </c>
      <c r="M343" s="736">
        <v>115960.79999999997</v>
      </c>
      <c r="N343" s="735"/>
      <c r="O343" s="735">
        <v>6</v>
      </c>
      <c r="P343" s="736">
        <v>58044.9</v>
      </c>
      <c r="Q343" s="214"/>
    </row>
    <row r="344" spans="1:17" ht="12" customHeight="1" x14ac:dyDescent="0.2">
      <c r="A344" s="735" t="s">
        <v>2169</v>
      </c>
      <c r="B344" s="735" t="s">
        <v>2170</v>
      </c>
      <c r="C344" s="735" t="s">
        <v>451</v>
      </c>
      <c r="D344" s="644" t="s">
        <v>3228</v>
      </c>
      <c r="E344" s="736">
        <v>10000</v>
      </c>
      <c r="F344" s="737" t="s">
        <v>3229</v>
      </c>
      <c r="G344" s="738" t="s">
        <v>3230</v>
      </c>
      <c r="H344" s="644" t="s">
        <v>2201</v>
      </c>
      <c r="I344" s="636"/>
      <c r="J344" s="644"/>
      <c r="K344" s="739"/>
      <c r="L344" s="735">
        <v>12</v>
      </c>
      <c r="M344" s="736">
        <v>121806.57999999997</v>
      </c>
      <c r="N344" s="735"/>
      <c r="O344" s="735">
        <v>7</v>
      </c>
      <c r="P344" s="736">
        <v>60987.420000000006</v>
      </c>
      <c r="Q344" s="214"/>
    </row>
    <row r="345" spans="1:17" ht="12" customHeight="1" x14ac:dyDescent="0.2">
      <c r="A345" s="735" t="s">
        <v>2169</v>
      </c>
      <c r="B345" s="735" t="s">
        <v>2170</v>
      </c>
      <c r="C345" s="735" t="s">
        <v>451</v>
      </c>
      <c r="D345" s="644" t="s">
        <v>2560</v>
      </c>
      <c r="E345" s="736">
        <v>4000</v>
      </c>
      <c r="F345" s="737" t="s">
        <v>3231</v>
      </c>
      <c r="G345" s="738" t="s">
        <v>3232</v>
      </c>
      <c r="H345" s="644" t="s">
        <v>2201</v>
      </c>
      <c r="I345" s="636"/>
      <c r="J345" s="644"/>
      <c r="K345" s="739"/>
      <c r="L345" s="735">
        <v>12</v>
      </c>
      <c r="M345" s="736">
        <v>49839.420000000006</v>
      </c>
      <c r="N345" s="735"/>
      <c r="O345" s="735">
        <v>6</v>
      </c>
      <c r="P345" s="736">
        <v>25036.29</v>
      </c>
      <c r="Q345" s="214"/>
    </row>
    <row r="346" spans="1:17" ht="12" customHeight="1" x14ac:dyDescent="0.2">
      <c r="A346" s="735" t="s">
        <v>2169</v>
      </c>
      <c r="B346" s="735" t="s">
        <v>2170</v>
      </c>
      <c r="C346" s="735" t="s">
        <v>451</v>
      </c>
      <c r="D346" s="644" t="s">
        <v>3233</v>
      </c>
      <c r="E346" s="736">
        <v>7000</v>
      </c>
      <c r="F346" s="737" t="s">
        <v>3234</v>
      </c>
      <c r="G346" s="738" t="s">
        <v>3235</v>
      </c>
      <c r="H346" s="644" t="s">
        <v>2201</v>
      </c>
      <c r="I346" s="636"/>
      <c r="J346" s="644"/>
      <c r="K346" s="739"/>
      <c r="L346" s="735">
        <v>12</v>
      </c>
      <c r="M346" s="736">
        <v>85954.45</v>
      </c>
      <c r="N346" s="735"/>
      <c r="O346" s="735">
        <v>6</v>
      </c>
      <c r="P346" s="736">
        <v>43043.39</v>
      </c>
      <c r="Q346" s="214"/>
    </row>
    <row r="347" spans="1:17" ht="12" customHeight="1" x14ac:dyDescent="0.2">
      <c r="A347" s="735" t="s">
        <v>2169</v>
      </c>
      <c r="B347" s="735" t="s">
        <v>2170</v>
      </c>
      <c r="C347" s="735" t="s">
        <v>451</v>
      </c>
      <c r="D347" s="644" t="s">
        <v>3236</v>
      </c>
      <c r="E347" s="736">
        <v>3000</v>
      </c>
      <c r="F347" s="737" t="s">
        <v>3237</v>
      </c>
      <c r="G347" s="738" t="s">
        <v>3238</v>
      </c>
      <c r="H347" s="644" t="s">
        <v>2253</v>
      </c>
      <c r="I347" s="636" t="s">
        <v>2284</v>
      </c>
      <c r="J347" s="644" t="s">
        <v>2284</v>
      </c>
      <c r="K347" s="739"/>
      <c r="L347" s="735">
        <v>12</v>
      </c>
      <c r="M347" s="736">
        <v>37960.80000000001</v>
      </c>
      <c r="N347" s="735"/>
      <c r="O347" s="735">
        <v>6</v>
      </c>
      <c r="P347" s="736">
        <v>19044.900000000001</v>
      </c>
      <c r="Q347" s="214"/>
    </row>
    <row r="348" spans="1:17" ht="12" customHeight="1" x14ac:dyDescent="0.2">
      <c r="A348" s="735" t="s">
        <v>2169</v>
      </c>
      <c r="B348" s="735" t="s">
        <v>2170</v>
      </c>
      <c r="C348" s="735" t="s">
        <v>451</v>
      </c>
      <c r="D348" s="644" t="s">
        <v>3239</v>
      </c>
      <c r="E348" s="736">
        <v>15600</v>
      </c>
      <c r="F348" s="737" t="s">
        <v>3240</v>
      </c>
      <c r="G348" s="738" t="s">
        <v>3241</v>
      </c>
      <c r="H348" s="644" t="s">
        <v>2179</v>
      </c>
      <c r="I348" s="636" t="s">
        <v>2180</v>
      </c>
      <c r="J348" s="644" t="s">
        <v>2180</v>
      </c>
      <c r="K348" s="739"/>
      <c r="L348" s="735">
        <v>12</v>
      </c>
      <c r="M348" s="736">
        <v>189160.79999999996</v>
      </c>
      <c r="N348" s="735"/>
      <c r="O348" s="735">
        <v>6</v>
      </c>
      <c r="P348" s="736">
        <v>93084.9</v>
      </c>
      <c r="Q348" s="214"/>
    </row>
    <row r="349" spans="1:17" ht="12" customHeight="1" x14ac:dyDescent="0.2">
      <c r="A349" s="735" t="s">
        <v>2169</v>
      </c>
      <c r="B349" s="735" t="s">
        <v>2170</v>
      </c>
      <c r="C349" s="735" t="s">
        <v>451</v>
      </c>
      <c r="D349" s="644" t="s">
        <v>2630</v>
      </c>
      <c r="E349" s="736">
        <v>8000</v>
      </c>
      <c r="F349" s="737" t="s">
        <v>3242</v>
      </c>
      <c r="G349" s="738" t="s">
        <v>3243</v>
      </c>
      <c r="H349" s="644" t="s">
        <v>2245</v>
      </c>
      <c r="I349" s="636" t="s">
        <v>2228</v>
      </c>
      <c r="J349" s="644" t="s">
        <v>2245</v>
      </c>
      <c r="K349" s="739"/>
      <c r="L349" s="735">
        <v>12</v>
      </c>
      <c r="M349" s="736">
        <v>97686.869999999981</v>
      </c>
      <c r="N349" s="735"/>
      <c r="O349" s="735">
        <v>6</v>
      </c>
      <c r="P349" s="736">
        <v>48698.92</v>
      </c>
      <c r="Q349" s="214"/>
    </row>
    <row r="350" spans="1:17" ht="12" customHeight="1" x14ac:dyDescent="0.2">
      <c r="A350" s="735" t="s">
        <v>2169</v>
      </c>
      <c r="B350" s="735" t="s">
        <v>2170</v>
      </c>
      <c r="C350" s="735" t="s">
        <v>451</v>
      </c>
      <c r="D350" s="644" t="s">
        <v>3244</v>
      </c>
      <c r="E350" s="736">
        <v>8500</v>
      </c>
      <c r="F350" s="737" t="s">
        <v>3245</v>
      </c>
      <c r="G350" s="738" t="s">
        <v>3246</v>
      </c>
      <c r="H350" s="644" t="s">
        <v>3247</v>
      </c>
      <c r="I350" s="636" t="s">
        <v>2250</v>
      </c>
      <c r="J350" s="644" t="s">
        <v>2250</v>
      </c>
      <c r="K350" s="739"/>
      <c r="L350" s="735">
        <v>4</v>
      </c>
      <c r="M350" s="736">
        <v>34253.599999999999</v>
      </c>
      <c r="N350" s="735"/>
      <c r="O350" s="735"/>
      <c r="P350" s="736"/>
      <c r="Q350" s="214"/>
    </row>
    <row r="351" spans="1:17" ht="12" customHeight="1" x14ac:dyDescent="0.2">
      <c r="A351" s="735" t="s">
        <v>2169</v>
      </c>
      <c r="B351" s="735" t="s">
        <v>2170</v>
      </c>
      <c r="C351" s="735" t="s">
        <v>451</v>
      </c>
      <c r="D351" s="644" t="s">
        <v>2261</v>
      </c>
      <c r="E351" s="736">
        <v>3000</v>
      </c>
      <c r="F351" s="737" t="s">
        <v>3248</v>
      </c>
      <c r="G351" s="738" t="s">
        <v>3249</v>
      </c>
      <c r="H351" s="644">
        <v>0</v>
      </c>
      <c r="I351" s="636">
        <v>0</v>
      </c>
      <c r="J351" s="644">
        <v>0</v>
      </c>
      <c r="K351" s="739"/>
      <c r="L351" s="735">
        <v>5</v>
      </c>
      <c r="M351" s="736">
        <v>13137.300000000001</v>
      </c>
      <c r="N351" s="735"/>
      <c r="O351" s="735"/>
      <c r="P351" s="736"/>
      <c r="Q351" s="214"/>
    </row>
    <row r="352" spans="1:17" ht="12" customHeight="1" x14ac:dyDescent="0.2">
      <c r="A352" s="735" t="s">
        <v>2169</v>
      </c>
      <c r="B352" s="735" t="s">
        <v>2170</v>
      </c>
      <c r="C352" s="735" t="s">
        <v>451</v>
      </c>
      <c r="D352" s="644" t="s">
        <v>3250</v>
      </c>
      <c r="E352" s="736">
        <v>6500</v>
      </c>
      <c r="F352" s="737" t="s">
        <v>3251</v>
      </c>
      <c r="G352" s="738" t="s">
        <v>3252</v>
      </c>
      <c r="H352" s="644" t="s">
        <v>2201</v>
      </c>
      <c r="I352" s="636" t="s">
        <v>2201</v>
      </c>
      <c r="J352" s="644"/>
      <c r="K352" s="739"/>
      <c r="L352" s="735">
        <v>4</v>
      </c>
      <c r="M352" s="736">
        <v>26220.269999999997</v>
      </c>
      <c r="N352" s="735"/>
      <c r="O352" s="735">
        <v>2</v>
      </c>
      <c r="P352" s="736">
        <v>3002.33</v>
      </c>
      <c r="Q352" s="214"/>
    </row>
    <row r="353" spans="1:17" ht="12" customHeight="1" x14ac:dyDescent="0.2">
      <c r="A353" s="735" t="s">
        <v>2169</v>
      </c>
      <c r="B353" s="735" t="s">
        <v>2232</v>
      </c>
      <c r="C353" s="735" t="s">
        <v>451</v>
      </c>
      <c r="D353" s="644" t="s">
        <v>3253</v>
      </c>
      <c r="E353" s="736">
        <v>4000</v>
      </c>
      <c r="F353" s="737" t="s">
        <v>3254</v>
      </c>
      <c r="G353" s="738" t="s">
        <v>3255</v>
      </c>
      <c r="H353" s="644" t="s">
        <v>2551</v>
      </c>
      <c r="I353" s="636" t="s">
        <v>3256</v>
      </c>
      <c r="J353" s="644" t="s">
        <v>2551</v>
      </c>
      <c r="K353" s="739"/>
      <c r="L353" s="735">
        <v>12</v>
      </c>
      <c r="M353" s="736">
        <v>49960.80000000001</v>
      </c>
      <c r="N353" s="735"/>
      <c r="O353" s="735">
        <v>5</v>
      </c>
      <c r="P353" s="736">
        <v>20870.75</v>
      </c>
      <c r="Q353" s="214"/>
    </row>
    <row r="354" spans="1:17" ht="12" customHeight="1" x14ac:dyDescent="0.2">
      <c r="A354" s="735" t="s">
        <v>2169</v>
      </c>
      <c r="B354" s="735" t="s">
        <v>2170</v>
      </c>
      <c r="C354" s="735" t="s">
        <v>451</v>
      </c>
      <c r="D354" s="644" t="s">
        <v>3257</v>
      </c>
      <c r="E354" s="736">
        <v>8000</v>
      </c>
      <c r="F354" s="737" t="s">
        <v>3258</v>
      </c>
      <c r="G354" s="738" t="s">
        <v>3259</v>
      </c>
      <c r="H354" s="644" t="s">
        <v>2201</v>
      </c>
      <c r="I354" s="636"/>
      <c r="J354" s="644"/>
      <c r="K354" s="739"/>
      <c r="L354" s="735">
        <v>12</v>
      </c>
      <c r="M354" s="736">
        <v>97960.799999999988</v>
      </c>
      <c r="N354" s="735"/>
      <c r="O354" s="735">
        <v>6</v>
      </c>
      <c r="P354" s="736">
        <v>49044.9</v>
      </c>
      <c r="Q354" s="214"/>
    </row>
    <row r="355" spans="1:17" ht="12" customHeight="1" x14ac:dyDescent="0.2">
      <c r="A355" s="735" t="s">
        <v>2169</v>
      </c>
      <c r="B355" s="735" t="s">
        <v>2170</v>
      </c>
      <c r="C355" s="735" t="s">
        <v>451</v>
      </c>
      <c r="D355" s="644" t="s">
        <v>3260</v>
      </c>
      <c r="E355" s="736">
        <v>9500</v>
      </c>
      <c r="F355" s="737" t="s">
        <v>3261</v>
      </c>
      <c r="G355" s="738" t="s">
        <v>3262</v>
      </c>
      <c r="H355" s="644" t="s">
        <v>2197</v>
      </c>
      <c r="I355" s="636" t="s">
        <v>2250</v>
      </c>
      <c r="J355" s="644" t="s">
        <v>2250</v>
      </c>
      <c r="K355" s="739"/>
      <c r="L355" s="735">
        <v>12</v>
      </c>
      <c r="M355" s="736">
        <v>115928.05999999997</v>
      </c>
      <c r="N355" s="735"/>
      <c r="O355" s="735">
        <v>6</v>
      </c>
      <c r="P355" s="736">
        <v>57997.810000000005</v>
      </c>
      <c r="Q355" s="214"/>
    </row>
    <row r="356" spans="1:17" ht="12" customHeight="1" x14ac:dyDescent="0.2">
      <c r="A356" s="735" t="s">
        <v>2169</v>
      </c>
      <c r="B356" s="735" t="s">
        <v>2170</v>
      </c>
      <c r="C356" s="735" t="s">
        <v>451</v>
      </c>
      <c r="D356" s="644" t="s">
        <v>3263</v>
      </c>
      <c r="E356" s="736">
        <v>10000</v>
      </c>
      <c r="F356" s="737" t="s">
        <v>3264</v>
      </c>
      <c r="G356" s="738" t="s">
        <v>3265</v>
      </c>
      <c r="H356" s="644" t="s">
        <v>2201</v>
      </c>
      <c r="I356" s="636"/>
      <c r="J356" s="644"/>
      <c r="K356" s="739"/>
      <c r="L356" s="735">
        <v>12</v>
      </c>
      <c r="M356" s="736">
        <v>121960.79999999997</v>
      </c>
      <c r="N356" s="735"/>
      <c r="O356" s="735">
        <v>6</v>
      </c>
      <c r="P356" s="736">
        <v>61044.9</v>
      </c>
      <c r="Q356" s="214"/>
    </row>
    <row r="357" spans="1:17" ht="12" customHeight="1" x14ac:dyDescent="0.2">
      <c r="A357" s="735" t="s">
        <v>2169</v>
      </c>
      <c r="B357" s="735" t="s">
        <v>2170</v>
      </c>
      <c r="C357" s="735" t="s">
        <v>451</v>
      </c>
      <c r="D357" s="644" t="s">
        <v>2245</v>
      </c>
      <c r="E357" s="736">
        <v>7500</v>
      </c>
      <c r="F357" s="737" t="s">
        <v>3266</v>
      </c>
      <c r="G357" s="738" t="s">
        <v>3267</v>
      </c>
      <c r="H357" s="644" t="s">
        <v>2245</v>
      </c>
      <c r="I357" s="636" t="s">
        <v>2180</v>
      </c>
      <c r="J357" s="644" t="s">
        <v>2180</v>
      </c>
      <c r="K357" s="739"/>
      <c r="L357" s="735">
        <v>12</v>
      </c>
      <c r="M357" s="736">
        <v>91960.799999999988</v>
      </c>
      <c r="N357" s="735"/>
      <c r="O357" s="735">
        <v>6</v>
      </c>
      <c r="P357" s="736">
        <v>46044.9</v>
      </c>
      <c r="Q357" s="214"/>
    </row>
    <row r="358" spans="1:17" ht="12" customHeight="1" x14ac:dyDescent="0.2">
      <c r="A358" s="735" t="s">
        <v>2169</v>
      </c>
      <c r="B358" s="735" t="s">
        <v>2170</v>
      </c>
      <c r="C358" s="735" t="s">
        <v>451</v>
      </c>
      <c r="D358" s="644" t="s">
        <v>2369</v>
      </c>
      <c r="E358" s="736">
        <v>5500</v>
      </c>
      <c r="F358" s="737" t="s">
        <v>3268</v>
      </c>
      <c r="G358" s="738" t="s">
        <v>3269</v>
      </c>
      <c r="H358" s="644" t="s">
        <v>2346</v>
      </c>
      <c r="I358" s="636" t="s">
        <v>2385</v>
      </c>
      <c r="J358" s="644" t="s">
        <v>2385</v>
      </c>
      <c r="K358" s="739"/>
      <c r="L358" s="735">
        <v>2</v>
      </c>
      <c r="M358" s="736">
        <v>11112.06</v>
      </c>
      <c r="N358" s="735"/>
      <c r="O358" s="735"/>
      <c r="P358" s="736"/>
      <c r="Q358" s="214"/>
    </row>
    <row r="359" spans="1:17" ht="12" customHeight="1" x14ac:dyDescent="0.2">
      <c r="A359" s="735" t="s">
        <v>2169</v>
      </c>
      <c r="B359" s="735" t="s">
        <v>2170</v>
      </c>
      <c r="C359" s="735" t="s">
        <v>451</v>
      </c>
      <c r="D359" s="644" t="s">
        <v>3270</v>
      </c>
      <c r="E359" s="736">
        <v>4500</v>
      </c>
      <c r="F359" s="737" t="s">
        <v>3271</v>
      </c>
      <c r="G359" s="738" t="s">
        <v>3272</v>
      </c>
      <c r="H359" s="644" t="s">
        <v>3273</v>
      </c>
      <c r="I359" s="636" t="s">
        <v>2385</v>
      </c>
      <c r="J359" s="644" t="s">
        <v>2385</v>
      </c>
      <c r="K359" s="739"/>
      <c r="L359" s="735">
        <v>12</v>
      </c>
      <c r="M359" s="736">
        <v>55960.80000000001</v>
      </c>
      <c r="N359" s="735"/>
      <c r="O359" s="735">
        <v>6</v>
      </c>
      <c r="P359" s="736">
        <v>27880.35</v>
      </c>
      <c r="Q359" s="214"/>
    </row>
    <row r="360" spans="1:17" ht="12" customHeight="1" x14ac:dyDescent="0.2">
      <c r="A360" s="735" t="s">
        <v>2169</v>
      </c>
      <c r="B360" s="735" t="s">
        <v>2170</v>
      </c>
      <c r="C360" s="735" t="s">
        <v>451</v>
      </c>
      <c r="D360" s="644" t="s">
        <v>3274</v>
      </c>
      <c r="E360" s="736">
        <v>7500</v>
      </c>
      <c r="F360" s="737" t="s">
        <v>3275</v>
      </c>
      <c r="G360" s="738" t="s">
        <v>3276</v>
      </c>
      <c r="H360" s="644">
        <v>0</v>
      </c>
      <c r="I360" s="636">
        <v>0</v>
      </c>
      <c r="J360" s="644">
        <v>0</v>
      </c>
      <c r="K360" s="739"/>
      <c r="L360" s="735">
        <v>4</v>
      </c>
      <c r="M360" s="736">
        <v>24141.91</v>
      </c>
      <c r="N360" s="735"/>
      <c r="O360" s="735"/>
      <c r="P360" s="736"/>
      <c r="Q360" s="214"/>
    </row>
    <row r="361" spans="1:17" ht="12" customHeight="1" x14ac:dyDescent="0.2">
      <c r="A361" s="735" t="s">
        <v>2169</v>
      </c>
      <c r="B361" s="735" t="s">
        <v>2170</v>
      </c>
      <c r="C361" s="735" t="s">
        <v>451</v>
      </c>
      <c r="D361" s="644" t="s">
        <v>2749</v>
      </c>
      <c r="E361" s="736">
        <v>10500</v>
      </c>
      <c r="F361" s="737" t="s">
        <v>3277</v>
      </c>
      <c r="G361" s="738" t="s">
        <v>3278</v>
      </c>
      <c r="H361" s="644" t="s">
        <v>2201</v>
      </c>
      <c r="I361" s="636"/>
      <c r="J361" s="644"/>
      <c r="K361" s="739"/>
      <c r="L361" s="735">
        <v>12</v>
      </c>
      <c r="M361" s="736">
        <v>128107.87999999998</v>
      </c>
      <c r="N361" s="735"/>
      <c r="O361" s="735">
        <v>6</v>
      </c>
      <c r="P361" s="736">
        <v>63996.62</v>
      </c>
      <c r="Q361" s="214"/>
    </row>
    <row r="362" spans="1:17" ht="12" customHeight="1" x14ac:dyDescent="0.2">
      <c r="A362" s="735" t="s">
        <v>2169</v>
      </c>
      <c r="B362" s="735" t="s">
        <v>2170</v>
      </c>
      <c r="C362" s="735" t="s">
        <v>451</v>
      </c>
      <c r="D362" s="644" t="s">
        <v>3279</v>
      </c>
      <c r="E362" s="736">
        <v>15600</v>
      </c>
      <c r="F362" s="737" t="s">
        <v>3280</v>
      </c>
      <c r="G362" s="738" t="s">
        <v>3281</v>
      </c>
      <c r="H362" s="644" t="s">
        <v>2201</v>
      </c>
      <c r="I362" s="636" t="s">
        <v>2201</v>
      </c>
      <c r="J362" s="644"/>
      <c r="K362" s="739"/>
      <c r="L362" s="735">
        <v>2</v>
      </c>
      <c r="M362" s="736">
        <v>15826.8</v>
      </c>
      <c r="N362" s="735"/>
      <c r="O362" s="735"/>
      <c r="P362" s="736"/>
      <c r="Q362" s="214"/>
    </row>
    <row r="363" spans="1:17" ht="12" customHeight="1" x14ac:dyDescent="0.2">
      <c r="A363" s="735" t="s">
        <v>2169</v>
      </c>
      <c r="B363" s="735" t="s">
        <v>2170</v>
      </c>
      <c r="C363" s="735" t="s">
        <v>451</v>
      </c>
      <c r="D363" s="644" t="s">
        <v>2781</v>
      </c>
      <c r="E363" s="736">
        <v>3000</v>
      </c>
      <c r="F363" s="737" t="s">
        <v>3282</v>
      </c>
      <c r="G363" s="738" t="s">
        <v>3283</v>
      </c>
      <c r="H363" s="644" t="s">
        <v>2184</v>
      </c>
      <c r="I363" s="636" t="s">
        <v>2185</v>
      </c>
      <c r="J363" s="644" t="s">
        <v>2184</v>
      </c>
      <c r="K363" s="739"/>
      <c r="L363" s="735">
        <v>12</v>
      </c>
      <c r="M363" s="736">
        <v>37893.05000000001</v>
      </c>
      <c r="N363" s="735"/>
      <c r="O363" s="735">
        <v>6</v>
      </c>
      <c r="P363" s="736">
        <v>19033.689999999999</v>
      </c>
      <c r="Q363" s="214"/>
    </row>
    <row r="364" spans="1:17" ht="12" customHeight="1" x14ac:dyDescent="0.2">
      <c r="A364" s="735" t="s">
        <v>2169</v>
      </c>
      <c r="B364" s="735" t="s">
        <v>2170</v>
      </c>
      <c r="C364" s="735" t="s">
        <v>451</v>
      </c>
      <c r="D364" s="644" t="s">
        <v>3284</v>
      </c>
      <c r="E364" s="736">
        <v>3000</v>
      </c>
      <c r="F364" s="737" t="s">
        <v>3285</v>
      </c>
      <c r="G364" s="738" t="s">
        <v>3286</v>
      </c>
      <c r="H364" s="644" t="s">
        <v>2184</v>
      </c>
      <c r="I364" s="636" t="s">
        <v>2254</v>
      </c>
      <c r="J364" s="644" t="s">
        <v>2254</v>
      </c>
      <c r="K364" s="739"/>
      <c r="L364" s="735">
        <v>12</v>
      </c>
      <c r="M364" s="736">
        <v>37960.80000000001</v>
      </c>
      <c r="N364" s="735"/>
      <c r="O364" s="735">
        <v>6</v>
      </c>
      <c r="P364" s="736">
        <v>19044.900000000001</v>
      </c>
      <c r="Q364" s="214"/>
    </row>
    <row r="365" spans="1:17" ht="12" customHeight="1" x14ac:dyDescent="0.2">
      <c r="A365" s="735" t="s">
        <v>2169</v>
      </c>
      <c r="B365" s="735" t="s">
        <v>2170</v>
      </c>
      <c r="C365" s="735" t="s">
        <v>451</v>
      </c>
      <c r="D365" s="644" t="s">
        <v>3287</v>
      </c>
      <c r="E365" s="736">
        <v>12000</v>
      </c>
      <c r="F365" s="737" t="s">
        <v>3288</v>
      </c>
      <c r="G365" s="738" t="s">
        <v>3289</v>
      </c>
      <c r="H365" s="644" t="s">
        <v>2201</v>
      </c>
      <c r="I365" s="636"/>
      <c r="J365" s="644"/>
      <c r="K365" s="739"/>
      <c r="L365" s="735">
        <v>12</v>
      </c>
      <c r="M365" s="736">
        <v>145866.10999999999</v>
      </c>
      <c r="N365" s="735"/>
      <c r="O365" s="735">
        <v>6</v>
      </c>
      <c r="P365" s="736">
        <v>72538.880000000005</v>
      </c>
      <c r="Q365" s="214"/>
    </row>
    <row r="366" spans="1:17" ht="12" customHeight="1" x14ac:dyDescent="0.2">
      <c r="A366" s="735" t="s">
        <v>2169</v>
      </c>
      <c r="B366" s="735" t="s">
        <v>2170</v>
      </c>
      <c r="C366" s="735" t="s">
        <v>451</v>
      </c>
      <c r="D366" s="644" t="s">
        <v>3290</v>
      </c>
      <c r="E366" s="736">
        <v>3000</v>
      </c>
      <c r="F366" s="737" t="s">
        <v>3291</v>
      </c>
      <c r="G366" s="738" t="s">
        <v>3292</v>
      </c>
      <c r="H366" s="644" t="s">
        <v>2201</v>
      </c>
      <c r="I366" s="636"/>
      <c r="J366" s="644"/>
      <c r="K366" s="739"/>
      <c r="L366" s="735">
        <v>12</v>
      </c>
      <c r="M366" s="736">
        <v>37947.400000000009</v>
      </c>
      <c r="N366" s="735"/>
      <c r="O366" s="735">
        <v>6</v>
      </c>
      <c r="P366" s="736">
        <v>19028.740000000002</v>
      </c>
      <c r="Q366" s="214"/>
    </row>
    <row r="367" spans="1:17" ht="12" customHeight="1" x14ac:dyDescent="0.2">
      <c r="A367" s="735" t="s">
        <v>2169</v>
      </c>
      <c r="B367" s="735" t="s">
        <v>2170</v>
      </c>
      <c r="C367" s="735" t="s">
        <v>451</v>
      </c>
      <c r="D367" s="644" t="s">
        <v>3293</v>
      </c>
      <c r="E367" s="736">
        <v>4600</v>
      </c>
      <c r="F367" s="737" t="s">
        <v>3294</v>
      </c>
      <c r="G367" s="738" t="s">
        <v>3295</v>
      </c>
      <c r="H367" s="644" t="s">
        <v>2253</v>
      </c>
      <c r="I367" s="636" t="s">
        <v>2254</v>
      </c>
      <c r="J367" s="644" t="s">
        <v>2254</v>
      </c>
      <c r="K367" s="739"/>
      <c r="L367" s="735">
        <v>12</v>
      </c>
      <c r="M367" s="736">
        <v>58002.600000000013</v>
      </c>
      <c r="N367" s="735"/>
      <c r="O367" s="735">
        <v>6</v>
      </c>
      <c r="P367" s="736">
        <v>28644.9</v>
      </c>
      <c r="Q367" s="214"/>
    </row>
    <row r="368" spans="1:17" ht="12" customHeight="1" x14ac:dyDescent="0.2">
      <c r="A368" s="735" t="s">
        <v>2169</v>
      </c>
      <c r="B368" s="735" t="s">
        <v>2170</v>
      </c>
      <c r="C368" s="735" t="s">
        <v>451</v>
      </c>
      <c r="D368" s="644" t="s">
        <v>3296</v>
      </c>
      <c r="E368" s="736">
        <v>7000</v>
      </c>
      <c r="F368" s="737" t="s">
        <v>3297</v>
      </c>
      <c r="G368" s="738" t="s">
        <v>3298</v>
      </c>
      <c r="H368" s="644" t="s">
        <v>2174</v>
      </c>
      <c r="I368" s="636" t="s">
        <v>2250</v>
      </c>
      <c r="J368" s="644" t="s">
        <v>2250</v>
      </c>
      <c r="K368" s="739"/>
      <c r="L368" s="735">
        <v>12</v>
      </c>
      <c r="M368" s="736">
        <v>85960.799999999988</v>
      </c>
      <c r="N368" s="735"/>
      <c r="O368" s="735">
        <v>6</v>
      </c>
      <c r="P368" s="736">
        <v>43044.9</v>
      </c>
      <c r="Q368" s="214"/>
    </row>
    <row r="369" spans="1:17" ht="12" customHeight="1" x14ac:dyDescent="0.2">
      <c r="A369" s="735" t="s">
        <v>2169</v>
      </c>
      <c r="B369" s="735" t="s">
        <v>2170</v>
      </c>
      <c r="C369" s="735" t="s">
        <v>451</v>
      </c>
      <c r="D369" s="644" t="s">
        <v>3299</v>
      </c>
      <c r="E369" s="736">
        <v>12000</v>
      </c>
      <c r="F369" s="737" t="s">
        <v>3300</v>
      </c>
      <c r="G369" s="738" t="s">
        <v>3301</v>
      </c>
      <c r="H369" s="644" t="s">
        <v>2197</v>
      </c>
      <c r="I369" s="636" t="s">
        <v>2218</v>
      </c>
      <c r="J369" s="644" t="s">
        <v>2197</v>
      </c>
      <c r="K369" s="739"/>
      <c r="L369" s="735">
        <v>12</v>
      </c>
      <c r="M369" s="736">
        <v>145847.39999999997</v>
      </c>
      <c r="N369" s="735"/>
      <c r="O369" s="735">
        <v>6</v>
      </c>
      <c r="P369" s="736">
        <v>72825.08</v>
      </c>
      <c r="Q369" s="214"/>
    </row>
    <row r="370" spans="1:17" ht="12" customHeight="1" x14ac:dyDescent="0.2">
      <c r="A370" s="735" t="s">
        <v>2169</v>
      </c>
      <c r="B370" s="735" t="s">
        <v>2170</v>
      </c>
      <c r="C370" s="735" t="s">
        <v>451</v>
      </c>
      <c r="D370" s="644" t="s">
        <v>3302</v>
      </c>
      <c r="E370" s="736">
        <v>8000</v>
      </c>
      <c r="F370" s="737" t="s">
        <v>3303</v>
      </c>
      <c r="G370" s="738" t="s">
        <v>3304</v>
      </c>
      <c r="H370" s="644">
        <v>0</v>
      </c>
      <c r="I370" s="636">
        <v>0</v>
      </c>
      <c r="J370" s="644">
        <v>0</v>
      </c>
      <c r="K370" s="739"/>
      <c r="L370" s="735">
        <v>3</v>
      </c>
      <c r="M370" s="736">
        <v>24340.199999999997</v>
      </c>
      <c r="N370" s="735"/>
      <c r="O370" s="735"/>
      <c r="P370" s="736"/>
      <c r="Q370" s="214"/>
    </row>
    <row r="371" spans="1:17" ht="12" customHeight="1" x14ac:dyDescent="0.2">
      <c r="A371" s="735" t="s">
        <v>2169</v>
      </c>
      <c r="B371" s="735" t="s">
        <v>2170</v>
      </c>
      <c r="C371" s="735" t="s">
        <v>451</v>
      </c>
      <c r="D371" s="644" t="s">
        <v>3305</v>
      </c>
      <c r="E371" s="736">
        <v>12000</v>
      </c>
      <c r="F371" s="737" t="s">
        <v>3306</v>
      </c>
      <c r="G371" s="738" t="s">
        <v>3307</v>
      </c>
      <c r="H371" s="644" t="s">
        <v>3308</v>
      </c>
      <c r="I371" s="636" t="s">
        <v>2228</v>
      </c>
      <c r="J371" s="644" t="s">
        <v>3308</v>
      </c>
      <c r="K371" s="739"/>
      <c r="L371" s="735">
        <v>12</v>
      </c>
      <c r="M371" s="736">
        <v>145960.79999999996</v>
      </c>
      <c r="N371" s="735"/>
      <c r="O371" s="735">
        <v>6</v>
      </c>
      <c r="P371" s="736">
        <v>73496.62999999999</v>
      </c>
      <c r="Q371" s="214"/>
    </row>
    <row r="372" spans="1:17" ht="12" customHeight="1" x14ac:dyDescent="0.2">
      <c r="A372" s="735" t="s">
        <v>2169</v>
      </c>
      <c r="B372" s="735" t="s">
        <v>2170</v>
      </c>
      <c r="C372" s="735" t="s">
        <v>451</v>
      </c>
      <c r="D372" s="644" t="s">
        <v>3309</v>
      </c>
      <c r="E372" s="736">
        <v>8000</v>
      </c>
      <c r="F372" s="737" t="s">
        <v>3310</v>
      </c>
      <c r="G372" s="738" t="s">
        <v>3311</v>
      </c>
      <c r="H372" s="644" t="s">
        <v>2420</v>
      </c>
      <c r="I372" s="636" t="s">
        <v>2175</v>
      </c>
      <c r="J372" s="644"/>
      <c r="K372" s="739"/>
      <c r="L372" s="735">
        <v>3</v>
      </c>
      <c r="M372" s="736">
        <v>26140.199999999997</v>
      </c>
      <c r="N372" s="735"/>
      <c r="O372" s="735">
        <v>6</v>
      </c>
      <c r="P372" s="736">
        <v>48881.68</v>
      </c>
      <c r="Q372" s="214"/>
    </row>
    <row r="373" spans="1:17" ht="12" customHeight="1" x14ac:dyDescent="0.2">
      <c r="A373" s="735" t="s">
        <v>2169</v>
      </c>
      <c r="B373" s="735" t="s">
        <v>2170</v>
      </c>
      <c r="C373" s="735" t="s">
        <v>451</v>
      </c>
      <c r="D373" s="644" t="s">
        <v>3312</v>
      </c>
      <c r="E373" s="736">
        <v>4500</v>
      </c>
      <c r="F373" s="737" t="s">
        <v>3313</v>
      </c>
      <c r="G373" s="738" t="s">
        <v>3314</v>
      </c>
      <c r="H373" s="644" t="s">
        <v>2184</v>
      </c>
      <c r="I373" s="636" t="s">
        <v>2284</v>
      </c>
      <c r="J373" s="644" t="s">
        <v>2284</v>
      </c>
      <c r="K373" s="739"/>
      <c r="L373" s="735">
        <v>12</v>
      </c>
      <c r="M373" s="736">
        <v>55763.400000000009</v>
      </c>
      <c r="N373" s="735"/>
      <c r="O373" s="735">
        <v>6</v>
      </c>
      <c r="P373" s="736">
        <v>28044.58</v>
      </c>
      <c r="Q373" s="214"/>
    </row>
    <row r="374" spans="1:17" ht="12" customHeight="1" x14ac:dyDescent="0.2">
      <c r="A374" s="735" t="s">
        <v>2169</v>
      </c>
      <c r="B374" s="735" t="s">
        <v>2170</v>
      </c>
      <c r="C374" s="735" t="s">
        <v>451</v>
      </c>
      <c r="D374" s="644" t="s">
        <v>3315</v>
      </c>
      <c r="E374" s="736">
        <v>3000</v>
      </c>
      <c r="F374" s="737" t="s">
        <v>3316</v>
      </c>
      <c r="G374" s="738" t="s">
        <v>3317</v>
      </c>
      <c r="H374" s="644" t="s">
        <v>2268</v>
      </c>
      <c r="I374" s="636" t="s">
        <v>2175</v>
      </c>
      <c r="J374" s="644" t="s">
        <v>2268</v>
      </c>
      <c r="K374" s="739"/>
      <c r="L374" s="735">
        <v>12</v>
      </c>
      <c r="M374" s="736">
        <v>37960.80000000001</v>
      </c>
      <c r="N374" s="735"/>
      <c r="O374" s="735">
        <v>6</v>
      </c>
      <c r="P374" s="736">
        <v>19040.810000000001</v>
      </c>
      <c r="Q374" s="214"/>
    </row>
    <row r="375" spans="1:17" ht="12" customHeight="1" x14ac:dyDescent="0.2">
      <c r="A375" s="735" t="s">
        <v>2169</v>
      </c>
      <c r="B375" s="735" t="s">
        <v>2170</v>
      </c>
      <c r="C375" s="735" t="s">
        <v>451</v>
      </c>
      <c r="D375" s="644" t="s">
        <v>2261</v>
      </c>
      <c r="E375" s="736">
        <v>4500</v>
      </c>
      <c r="F375" s="737" t="s">
        <v>3318</v>
      </c>
      <c r="G375" s="738" t="s">
        <v>3319</v>
      </c>
      <c r="H375" s="644" t="s">
        <v>2201</v>
      </c>
      <c r="I375" s="636"/>
      <c r="J375" s="644"/>
      <c r="K375" s="739"/>
      <c r="L375" s="735">
        <v>4</v>
      </c>
      <c r="M375" s="736">
        <v>18448.699999999997</v>
      </c>
      <c r="N375" s="735"/>
      <c r="O375" s="735"/>
      <c r="P375" s="736"/>
      <c r="Q375" s="214"/>
    </row>
    <row r="376" spans="1:17" ht="12" customHeight="1" x14ac:dyDescent="0.2">
      <c r="A376" s="735" t="s">
        <v>2169</v>
      </c>
      <c r="B376" s="735" t="s">
        <v>2170</v>
      </c>
      <c r="C376" s="735" t="s">
        <v>451</v>
      </c>
      <c r="D376" s="644" t="s">
        <v>3320</v>
      </c>
      <c r="E376" s="736">
        <v>15600</v>
      </c>
      <c r="F376" s="737" t="s">
        <v>3321</v>
      </c>
      <c r="G376" s="738" t="s">
        <v>3322</v>
      </c>
      <c r="H376" s="644" t="s">
        <v>2201</v>
      </c>
      <c r="I376" s="636" t="s">
        <v>2201</v>
      </c>
      <c r="J376" s="644"/>
      <c r="K376" s="739"/>
      <c r="L376" s="735">
        <v>4</v>
      </c>
      <c r="M376" s="736">
        <v>63153.599999999999</v>
      </c>
      <c r="N376" s="735"/>
      <c r="O376" s="735"/>
      <c r="P376" s="736"/>
      <c r="Q376" s="214"/>
    </row>
    <row r="377" spans="1:17" ht="12" customHeight="1" x14ac:dyDescent="0.2">
      <c r="A377" s="735" t="s">
        <v>2169</v>
      </c>
      <c r="B377" s="735" t="s">
        <v>2232</v>
      </c>
      <c r="C377" s="735" t="s">
        <v>451</v>
      </c>
      <c r="D377" s="644" t="s">
        <v>2272</v>
      </c>
      <c r="E377" s="736">
        <v>9500</v>
      </c>
      <c r="F377" s="737" t="s">
        <v>3323</v>
      </c>
      <c r="G377" s="738" t="s">
        <v>3324</v>
      </c>
      <c r="H377" s="644" t="s">
        <v>3057</v>
      </c>
      <c r="I377" s="636" t="s">
        <v>2250</v>
      </c>
      <c r="J377" s="644" t="s">
        <v>2250</v>
      </c>
      <c r="K377" s="739"/>
      <c r="L377" s="735">
        <v>12</v>
      </c>
      <c r="M377" s="736">
        <v>116267.98999999999</v>
      </c>
      <c r="N377" s="735"/>
      <c r="O377" s="735">
        <v>5</v>
      </c>
      <c r="P377" s="736">
        <v>48343.450000000004</v>
      </c>
      <c r="Q377" s="214"/>
    </row>
    <row r="378" spans="1:17" ht="12" customHeight="1" x14ac:dyDescent="0.2">
      <c r="A378" s="735" t="s">
        <v>2169</v>
      </c>
      <c r="B378" s="735" t="s">
        <v>2170</v>
      </c>
      <c r="C378" s="735" t="s">
        <v>451</v>
      </c>
      <c r="D378" s="644" t="s">
        <v>3325</v>
      </c>
      <c r="E378" s="736">
        <v>3000</v>
      </c>
      <c r="F378" s="737" t="s">
        <v>3326</v>
      </c>
      <c r="G378" s="738" t="s">
        <v>3327</v>
      </c>
      <c r="H378" s="644" t="s">
        <v>3328</v>
      </c>
      <c r="I378" s="636" t="s">
        <v>2180</v>
      </c>
      <c r="J378" s="644" t="s">
        <v>2180</v>
      </c>
      <c r="K378" s="739"/>
      <c r="L378" s="735">
        <v>12</v>
      </c>
      <c r="M378" s="736">
        <v>37960.80000000001</v>
      </c>
      <c r="N378" s="735"/>
      <c r="O378" s="735">
        <v>6</v>
      </c>
      <c r="P378" s="736">
        <v>19044.900000000001</v>
      </c>
      <c r="Q378" s="214"/>
    </row>
    <row r="379" spans="1:17" ht="12" customHeight="1" x14ac:dyDescent="0.2">
      <c r="A379" s="735" t="s">
        <v>2169</v>
      </c>
      <c r="B379" s="735" t="s">
        <v>2170</v>
      </c>
      <c r="C379" s="735" t="s">
        <v>451</v>
      </c>
      <c r="D379" s="644" t="s">
        <v>2585</v>
      </c>
      <c r="E379" s="736">
        <v>4600</v>
      </c>
      <c r="F379" s="737" t="s">
        <v>3329</v>
      </c>
      <c r="G379" s="738" t="s">
        <v>3330</v>
      </c>
      <c r="H379" s="644" t="s">
        <v>2201</v>
      </c>
      <c r="I379" s="636"/>
      <c r="J379" s="644"/>
      <c r="K379" s="739"/>
      <c r="L379" s="735">
        <v>12</v>
      </c>
      <c r="M379" s="736">
        <v>58462.600000000013</v>
      </c>
      <c r="N379" s="735"/>
      <c r="O379" s="735">
        <v>6</v>
      </c>
      <c r="P379" s="736">
        <v>28644.9</v>
      </c>
      <c r="Q379" s="214"/>
    </row>
    <row r="380" spans="1:17" ht="12" customHeight="1" x14ac:dyDescent="0.2">
      <c r="A380" s="735" t="s">
        <v>2169</v>
      </c>
      <c r="B380" s="735" t="s">
        <v>2170</v>
      </c>
      <c r="C380" s="735" t="s">
        <v>451</v>
      </c>
      <c r="D380" s="644" t="s">
        <v>3125</v>
      </c>
      <c r="E380" s="736">
        <v>4000</v>
      </c>
      <c r="F380" s="737" t="s">
        <v>3331</v>
      </c>
      <c r="G380" s="738" t="s">
        <v>3332</v>
      </c>
      <c r="H380" s="644">
        <v>0</v>
      </c>
      <c r="I380" s="636">
        <v>0</v>
      </c>
      <c r="J380" s="644">
        <v>0</v>
      </c>
      <c r="K380" s="739"/>
      <c r="L380" s="735">
        <v>7</v>
      </c>
      <c r="M380" s="736">
        <v>29093.800000000003</v>
      </c>
      <c r="N380" s="735"/>
      <c r="O380" s="735"/>
      <c r="P380" s="736"/>
      <c r="Q380" s="214"/>
    </row>
    <row r="381" spans="1:17" ht="12" customHeight="1" x14ac:dyDescent="0.2">
      <c r="A381" s="735" t="s">
        <v>2169</v>
      </c>
      <c r="B381" s="735" t="s">
        <v>2170</v>
      </c>
      <c r="C381" s="735" t="s">
        <v>451</v>
      </c>
      <c r="D381" s="644" t="s">
        <v>3333</v>
      </c>
      <c r="E381" s="736">
        <v>8000</v>
      </c>
      <c r="F381" s="737" t="s">
        <v>3334</v>
      </c>
      <c r="G381" s="738" t="s">
        <v>3335</v>
      </c>
      <c r="H381" s="644" t="s">
        <v>2201</v>
      </c>
      <c r="I381" s="636"/>
      <c r="J381" s="644"/>
      <c r="K381" s="739"/>
      <c r="L381" s="735">
        <v>12</v>
      </c>
      <c r="M381" s="736">
        <v>97960.799999999988</v>
      </c>
      <c r="N381" s="735"/>
      <c r="O381" s="735">
        <v>6</v>
      </c>
      <c r="P381" s="736">
        <v>49044.9</v>
      </c>
      <c r="Q381" s="214"/>
    </row>
    <row r="382" spans="1:17" ht="12" customHeight="1" x14ac:dyDescent="0.2">
      <c r="A382" s="735" t="s">
        <v>2169</v>
      </c>
      <c r="B382" s="735" t="s">
        <v>2170</v>
      </c>
      <c r="C382" s="735" t="s">
        <v>451</v>
      </c>
      <c r="D382" s="644" t="s">
        <v>3336</v>
      </c>
      <c r="E382" s="736">
        <v>8000</v>
      </c>
      <c r="F382" s="737" t="s">
        <v>3337</v>
      </c>
      <c r="G382" s="738" t="s">
        <v>3338</v>
      </c>
      <c r="H382" s="644" t="s">
        <v>3339</v>
      </c>
      <c r="I382" s="636" t="s">
        <v>2403</v>
      </c>
      <c r="J382" s="644" t="s">
        <v>2403</v>
      </c>
      <c r="K382" s="739"/>
      <c r="L382" s="735">
        <v>12</v>
      </c>
      <c r="M382" s="736">
        <v>98227.469999999987</v>
      </c>
      <c r="N382" s="735"/>
      <c r="O382" s="735">
        <v>6</v>
      </c>
      <c r="P382" s="736">
        <v>49037.43</v>
      </c>
      <c r="Q382" s="214"/>
    </row>
    <row r="383" spans="1:17" ht="12" customHeight="1" x14ac:dyDescent="0.2">
      <c r="A383" s="735" t="s">
        <v>2169</v>
      </c>
      <c r="B383" s="735" t="s">
        <v>2170</v>
      </c>
      <c r="C383" s="735" t="s">
        <v>451</v>
      </c>
      <c r="D383" s="644" t="s">
        <v>3340</v>
      </c>
      <c r="E383" s="736">
        <v>7000</v>
      </c>
      <c r="F383" s="737" t="s">
        <v>3341</v>
      </c>
      <c r="G383" s="738" t="s">
        <v>3342</v>
      </c>
      <c r="H383" s="644" t="s">
        <v>2208</v>
      </c>
      <c r="I383" s="636" t="s">
        <v>2250</v>
      </c>
      <c r="J383" s="644" t="s">
        <v>2250</v>
      </c>
      <c r="K383" s="739"/>
      <c r="L383" s="735">
        <v>12</v>
      </c>
      <c r="M383" s="736">
        <v>86314.9</v>
      </c>
      <c r="N383" s="735"/>
      <c r="O383" s="735">
        <v>6</v>
      </c>
      <c r="P383" s="736">
        <v>43043.9</v>
      </c>
      <c r="Q383" s="214"/>
    </row>
    <row r="384" spans="1:17" ht="12" customHeight="1" x14ac:dyDescent="0.2">
      <c r="A384" s="735" t="s">
        <v>2169</v>
      </c>
      <c r="B384" s="735" t="s">
        <v>2170</v>
      </c>
      <c r="C384" s="735" t="s">
        <v>451</v>
      </c>
      <c r="D384" s="644" t="s">
        <v>2261</v>
      </c>
      <c r="E384" s="736">
        <v>6000</v>
      </c>
      <c r="F384" s="737" t="s">
        <v>3343</v>
      </c>
      <c r="G384" s="738" t="s">
        <v>3344</v>
      </c>
      <c r="H384" s="644" t="s">
        <v>2346</v>
      </c>
      <c r="I384" s="636" t="s">
        <v>2385</v>
      </c>
      <c r="J384" s="644" t="s">
        <v>2385</v>
      </c>
      <c r="K384" s="739"/>
      <c r="L384" s="735">
        <v>12</v>
      </c>
      <c r="M384" s="736">
        <v>73960.800000000003</v>
      </c>
      <c r="N384" s="735"/>
      <c r="O384" s="735">
        <v>6</v>
      </c>
      <c r="P384" s="736">
        <v>37044.47</v>
      </c>
      <c r="Q384" s="214"/>
    </row>
    <row r="385" spans="1:17" ht="12" customHeight="1" x14ac:dyDescent="0.2">
      <c r="A385" s="735" t="s">
        <v>2169</v>
      </c>
      <c r="B385" s="735" t="s">
        <v>2170</v>
      </c>
      <c r="C385" s="735" t="s">
        <v>451</v>
      </c>
      <c r="D385" s="644" t="s">
        <v>3345</v>
      </c>
      <c r="E385" s="736">
        <v>8000</v>
      </c>
      <c r="F385" s="737" t="s">
        <v>3346</v>
      </c>
      <c r="G385" s="738" t="s">
        <v>3347</v>
      </c>
      <c r="H385" s="644" t="s">
        <v>2201</v>
      </c>
      <c r="I385" s="636"/>
      <c r="J385" s="644"/>
      <c r="K385" s="739"/>
      <c r="L385" s="735">
        <v>4</v>
      </c>
      <c r="M385" s="736">
        <v>32452.15</v>
      </c>
      <c r="N385" s="735"/>
      <c r="O385" s="735"/>
      <c r="P385" s="736"/>
      <c r="Q385" s="214"/>
    </row>
    <row r="386" spans="1:17" ht="12" customHeight="1" x14ac:dyDescent="0.2">
      <c r="A386" s="735" t="s">
        <v>2169</v>
      </c>
      <c r="B386" s="735" t="s">
        <v>2170</v>
      </c>
      <c r="C386" s="735" t="s">
        <v>451</v>
      </c>
      <c r="D386" s="644" t="s">
        <v>3348</v>
      </c>
      <c r="E386" s="736">
        <v>5500</v>
      </c>
      <c r="F386" s="737" t="s">
        <v>3349</v>
      </c>
      <c r="G386" s="738" t="s">
        <v>3350</v>
      </c>
      <c r="H386" s="644" t="s">
        <v>3351</v>
      </c>
      <c r="I386" s="636" t="s">
        <v>2246</v>
      </c>
      <c r="J386" s="644" t="s">
        <v>3351</v>
      </c>
      <c r="K386" s="739"/>
      <c r="L386" s="735">
        <v>12</v>
      </c>
      <c r="M386" s="736">
        <v>67913.91</v>
      </c>
      <c r="N386" s="735"/>
      <c r="O386" s="735">
        <v>6</v>
      </c>
      <c r="P386" s="736">
        <v>34011.31</v>
      </c>
      <c r="Q386" s="214"/>
    </row>
    <row r="387" spans="1:17" ht="12" customHeight="1" x14ac:dyDescent="0.2">
      <c r="A387" s="735" t="s">
        <v>2169</v>
      </c>
      <c r="B387" s="735" t="s">
        <v>2170</v>
      </c>
      <c r="C387" s="735" t="s">
        <v>451</v>
      </c>
      <c r="D387" s="644" t="s">
        <v>2864</v>
      </c>
      <c r="E387" s="736">
        <v>3000</v>
      </c>
      <c r="F387" s="737" t="s">
        <v>3352</v>
      </c>
      <c r="G387" s="738" t="s">
        <v>3353</v>
      </c>
      <c r="H387" s="644" t="s">
        <v>2201</v>
      </c>
      <c r="I387" s="636" t="s">
        <v>2201</v>
      </c>
      <c r="J387" s="644"/>
      <c r="K387" s="739"/>
      <c r="L387" s="735">
        <v>4</v>
      </c>
      <c r="M387" s="736">
        <v>9423.9000000000015</v>
      </c>
      <c r="N387" s="735"/>
      <c r="O387" s="735"/>
      <c r="P387" s="736"/>
      <c r="Q387" s="214"/>
    </row>
    <row r="388" spans="1:17" ht="12" customHeight="1" x14ac:dyDescent="0.2">
      <c r="A388" s="735" t="s">
        <v>2169</v>
      </c>
      <c r="B388" s="735" t="s">
        <v>2170</v>
      </c>
      <c r="C388" s="735" t="s">
        <v>451</v>
      </c>
      <c r="D388" s="644" t="s">
        <v>3354</v>
      </c>
      <c r="E388" s="736">
        <v>2800</v>
      </c>
      <c r="F388" s="737" t="s">
        <v>3355</v>
      </c>
      <c r="G388" s="738" t="s">
        <v>3356</v>
      </c>
      <c r="H388" s="644" t="s">
        <v>2253</v>
      </c>
      <c r="I388" s="636" t="s">
        <v>2254</v>
      </c>
      <c r="J388" s="644" t="s">
        <v>2254</v>
      </c>
      <c r="K388" s="739"/>
      <c r="L388" s="735">
        <v>12</v>
      </c>
      <c r="M388" s="736">
        <v>35560.55000000001</v>
      </c>
      <c r="N388" s="735"/>
      <c r="O388" s="735">
        <v>6</v>
      </c>
      <c r="P388" s="736">
        <v>17830.02</v>
      </c>
      <c r="Q388" s="214"/>
    </row>
    <row r="389" spans="1:17" ht="12" customHeight="1" x14ac:dyDescent="0.2">
      <c r="A389" s="735" t="s">
        <v>2169</v>
      </c>
      <c r="B389" s="735" t="s">
        <v>2170</v>
      </c>
      <c r="C389" s="735" t="s">
        <v>451</v>
      </c>
      <c r="D389" s="644" t="s">
        <v>3357</v>
      </c>
      <c r="E389" s="736">
        <v>2500</v>
      </c>
      <c r="F389" s="737" t="s">
        <v>3358</v>
      </c>
      <c r="G389" s="738" t="s">
        <v>3359</v>
      </c>
      <c r="H389" s="644" t="s">
        <v>643</v>
      </c>
      <c r="I389" s="636" t="s">
        <v>2254</v>
      </c>
      <c r="J389" s="644" t="s">
        <v>2254</v>
      </c>
      <c r="K389" s="739"/>
      <c r="L389" s="735">
        <v>12</v>
      </c>
      <c r="M389" s="736">
        <v>32044.130000000008</v>
      </c>
      <c r="N389" s="735"/>
      <c r="O389" s="735">
        <v>6</v>
      </c>
      <c r="P389" s="736">
        <v>16044.9</v>
      </c>
      <c r="Q389" s="214"/>
    </row>
    <row r="390" spans="1:17" ht="12" customHeight="1" x14ac:dyDescent="0.2">
      <c r="A390" s="735" t="s">
        <v>2169</v>
      </c>
      <c r="B390" s="735" t="s">
        <v>2170</v>
      </c>
      <c r="C390" s="735" t="s">
        <v>451</v>
      </c>
      <c r="D390" s="644" t="s">
        <v>2482</v>
      </c>
      <c r="E390" s="736">
        <v>9000</v>
      </c>
      <c r="F390" s="737" t="s">
        <v>3360</v>
      </c>
      <c r="G390" s="738" t="s">
        <v>3361</v>
      </c>
      <c r="H390" s="644" t="s">
        <v>3362</v>
      </c>
      <c r="I390" s="636" t="s">
        <v>2175</v>
      </c>
      <c r="J390" s="644"/>
      <c r="K390" s="739"/>
      <c r="L390" s="735">
        <v>10</v>
      </c>
      <c r="M390" s="736">
        <v>90533.999999999985</v>
      </c>
      <c r="N390" s="735"/>
      <c r="O390" s="735">
        <v>6</v>
      </c>
      <c r="P390" s="736">
        <v>55026.15</v>
      </c>
      <c r="Q390" s="214"/>
    </row>
    <row r="391" spans="1:17" ht="12" customHeight="1" x14ac:dyDescent="0.2">
      <c r="A391" s="735" t="s">
        <v>2169</v>
      </c>
      <c r="B391" s="735" t="s">
        <v>2170</v>
      </c>
      <c r="C391" s="735" t="s">
        <v>451</v>
      </c>
      <c r="D391" s="644" t="s">
        <v>3363</v>
      </c>
      <c r="E391" s="736">
        <v>5000</v>
      </c>
      <c r="F391" s="737" t="s">
        <v>3364</v>
      </c>
      <c r="G391" s="738" t="s">
        <v>3365</v>
      </c>
      <c r="H391" s="644" t="s">
        <v>2384</v>
      </c>
      <c r="I391" s="636" t="s">
        <v>2385</v>
      </c>
      <c r="J391" s="644" t="s">
        <v>2385</v>
      </c>
      <c r="K391" s="739"/>
      <c r="L391" s="735">
        <v>12</v>
      </c>
      <c r="M391" s="736">
        <v>61960.80000000001</v>
      </c>
      <c r="N391" s="735"/>
      <c r="O391" s="735">
        <v>6</v>
      </c>
      <c r="P391" s="736">
        <v>31042.739999999998</v>
      </c>
      <c r="Q391" s="214"/>
    </row>
    <row r="392" spans="1:17" ht="12" customHeight="1" x14ac:dyDescent="0.2">
      <c r="A392" s="735" t="s">
        <v>2169</v>
      </c>
      <c r="B392" s="735" t="s">
        <v>2170</v>
      </c>
      <c r="C392" s="735" t="s">
        <v>451</v>
      </c>
      <c r="D392" s="644" t="s">
        <v>3366</v>
      </c>
      <c r="E392" s="736">
        <v>3500</v>
      </c>
      <c r="F392" s="737" t="s">
        <v>3367</v>
      </c>
      <c r="G392" s="738" t="s">
        <v>3368</v>
      </c>
      <c r="H392" s="644" t="s">
        <v>2201</v>
      </c>
      <c r="I392" s="636"/>
      <c r="J392" s="644"/>
      <c r="K392" s="739"/>
      <c r="L392" s="735">
        <v>12</v>
      </c>
      <c r="M392" s="736">
        <v>44357.000000000007</v>
      </c>
      <c r="N392" s="735"/>
      <c r="O392" s="735">
        <v>6</v>
      </c>
      <c r="P392" s="736">
        <v>22044.9</v>
      </c>
      <c r="Q392" s="214"/>
    </row>
    <row r="393" spans="1:17" ht="12" customHeight="1" x14ac:dyDescent="0.2">
      <c r="A393" s="735" t="s">
        <v>2169</v>
      </c>
      <c r="B393" s="735" t="s">
        <v>2170</v>
      </c>
      <c r="C393" s="735" t="s">
        <v>451</v>
      </c>
      <c r="D393" s="644" t="s">
        <v>3369</v>
      </c>
      <c r="E393" s="736">
        <v>6000</v>
      </c>
      <c r="F393" s="737" t="s">
        <v>3370</v>
      </c>
      <c r="G393" s="738" t="s">
        <v>3371</v>
      </c>
      <c r="H393" s="644" t="s">
        <v>2201</v>
      </c>
      <c r="I393" s="636"/>
      <c r="J393" s="644"/>
      <c r="K393" s="739"/>
      <c r="L393" s="735">
        <v>12</v>
      </c>
      <c r="M393" s="736">
        <v>73828.350000000006</v>
      </c>
      <c r="N393" s="735"/>
      <c r="O393" s="735">
        <v>6</v>
      </c>
      <c r="P393" s="736">
        <v>37012.14</v>
      </c>
      <c r="Q393" s="214"/>
    </row>
    <row r="394" spans="1:17" ht="12" customHeight="1" x14ac:dyDescent="0.2">
      <c r="A394" s="735" t="s">
        <v>2169</v>
      </c>
      <c r="B394" s="735" t="s">
        <v>2170</v>
      </c>
      <c r="C394" s="735" t="s">
        <v>451</v>
      </c>
      <c r="D394" s="644" t="s">
        <v>3250</v>
      </c>
      <c r="E394" s="736">
        <v>7000</v>
      </c>
      <c r="F394" s="737" t="s">
        <v>3372</v>
      </c>
      <c r="G394" s="738" t="s">
        <v>3373</v>
      </c>
      <c r="H394" s="644" t="s">
        <v>2201</v>
      </c>
      <c r="I394" s="636"/>
      <c r="J394" s="644"/>
      <c r="K394" s="739"/>
      <c r="L394" s="735">
        <v>12</v>
      </c>
      <c r="M394" s="736">
        <v>85960.799999999988</v>
      </c>
      <c r="N394" s="735"/>
      <c r="O394" s="735">
        <v>6</v>
      </c>
      <c r="P394" s="736">
        <v>43044.9</v>
      </c>
      <c r="Q394" s="214"/>
    </row>
    <row r="395" spans="1:17" ht="12" customHeight="1" x14ac:dyDescent="0.2">
      <c r="A395" s="735" t="s">
        <v>2169</v>
      </c>
      <c r="B395" s="735" t="s">
        <v>2170</v>
      </c>
      <c r="C395" s="735" t="s">
        <v>451</v>
      </c>
      <c r="D395" s="644" t="s">
        <v>2446</v>
      </c>
      <c r="E395" s="736">
        <v>2500</v>
      </c>
      <c r="F395" s="737" t="s">
        <v>3374</v>
      </c>
      <c r="G395" s="738" t="s">
        <v>3375</v>
      </c>
      <c r="H395" s="644" t="s">
        <v>3376</v>
      </c>
      <c r="I395" s="636" t="s">
        <v>2250</v>
      </c>
      <c r="J395" s="644" t="s">
        <v>2250</v>
      </c>
      <c r="K395" s="739"/>
      <c r="L395" s="735">
        <v>12</v>
      </c>
      <c r="M395" s="736">
        <v>31960.800000000007</v>
      </c>
      <c r="N395" s="735"/>
      <c r="O395" s="735">
        <v>6</v>
      </c>
      <c r="P395" s="736">
        <v>16041.31</v>
      </c>
      <c r="Q395" s="214"/>
    </row>
    <row r="396" spans="1:17" ht="12" customHeight="1" x14ac:dyDescent="0.2">
      <c r="A396" s="735" t="s">
        <v>2169</v>
      </c>
      <c r="B396" s="735" t="s">
        <v>2170</v>
      </c>
      <c r="C396" s="735" t="s">
        <v>451</v>
      </c>
      <c r="D396" s="644" t="s">
        <v>3377</v>
      </c>
      <c r="E396" s="736">
        <v>8000</v>
      </c>
      <c r="F396" s="737" t="s">
        <v>3378</v>
      </c>
      <c r="G396" s="738" t="s">
        <v>3379</v>
      </c>
      <c r="H396" s="644">
        <v>0</v>
      </c>
      <c r="I396" s="636">
        <v>0</v>
      </c>
      <c r="J396" s="644">
        <v>0</v>
      </c>
      <c r="K396" s="739"/>
      <c r="L396" s="735">
        <v>4</v>
      </c>
      <c r="M396" s="736">
        <v>27609.34</v>
      </c>
      <c r="N396" s="735"/>
      <c r="O396" s="735"/>
      <c r="P396" s="736"/>
      <c r="Q396" s="214"/>
    </row>
    <row r="397" spans="1:17" ht="12" customHeight="1" x14ac:dyDescent="0.2">
      <c r="A397" s="735" t="s">
        <v>2169</v>
      </c>
      <c r="B397" s="735" t="s">
        <v>2170</v>
      </c>
      <c r="C397" s="735" t="s">
        <v>451</v>
      </c>
      <c r="D397" s="644" t="s">
        <v>3380</v>
      </c>
      <c r="E397" s="736">
        <v>9200</v>
      </c>
      <c r="F397" s="737" t="s">
        <v>3381</v>
      </c>
      <c r="G397" s="738" t="s">
        <v>3382</v>
      </c>
      <c r="H397" s="644" t="s">
        <v>2189</v>
      </c>
      <c r="I397" s="636" t="s">
        <v>2180</v>
      </c>
      <c r="J397" s="644" t="s">
        <v>2180</v>
      </c>
      <c r="K397" s="739"/>
      <c r="L397" s="735">
        <v>12</v>
      </c>
      <c r="M397" s="736">
        <v>112510.67999999998</v>
      </c>
      <c r="N397" s="735"/>
      <c r="O397" s="735">
        <v>6</v>
      </c>
      <c r="P397" s="736">
        <v>56182.12</v>
      </c>
      <c r="Q397" s="214"/>
    </row>
    <row r="398" spans="1:17" ht="12" customHeight="1" x14ac:dyDescent="0.2">
      <c r="A398" s="735" t="s">
        <v>2169</v>
      </c>
      <c r="B398" s="735" t="s">
        <v>2170</v>
      </c>
      <c r="C398" s="735" t="s">
        <v>451</v>
      </c>
      <c r="D398" s="644" t="s">
        <v>3383</v>
      </c>
      <c r="E398" s="736">
        <v>8000</v>
      </c>
      <c r="F398" s="737" t="s">
        <v>3384</v>
      </c>
      <c r="G398" s="738" t="s">
        <v>3385</v>
      </c>
      <c r="H398" s="644" t="s">
        <v>2201</v>
      </c>
      <c r="I398" s="636"/>
      <c r="J398" s="644"/>
      <c r="K398" s="739"/>
      <c r="L398" s="735">
        <v>12</v>
      </c>
      <c r="M398" s="736">
        <v>93495.89</v>
      </c>
      <c r="N398" s="735"/>
      <c r="O398" s="735">
        <v>6</v>
      </c>
      <c r="P398" s="736">
        <v>41754.450000000004</v>
      </c>
      <c r="Q398" s="214"/>
    </row>
    <row r="399" spans="1:17" ht="12" customHeight="1" x14ac:dyDescent="0.2">
      <c r="A399" s="735" t="s">
        <v>2169</v>
      </c>
      <c r="B399" s="735" t="s">
        <v>2170</v>
      </c>
      <c r="C399" s="735" t="s">
        <v>451</v>
      </c>
      <c r="D399" s="644" t="s">
        <v>2373</v>
      </c>
      <c r="E399" s="736">
        <v>4000</v>
      </c>
      <c r="F399" s="737" t="s">
        <v>3386</v>
      </c>
      <c r="G399" s="738" t="s">
        <v>3387</v>
      </c>
      <c r="H399" s="644" t="s">
        <v>3388</v>
      </c>
      <c r="I399" s="636" t="s">
        <v>2385</v>
      </c>
      <c r="J399" s="644" t="s">
        <v>2385</v>
      </c>
      <c r="K399" s="739"/>
      <c r="L399" s="735">
        <v>12</v>
      </c>
      <c r="M399" s="736">
        <v>50292.460000000006</v>
      </c>
      <c r="N399" s="735"/>
      <c r="O399" s="735">
        <v>6</v>
      </c>
      <c r="P399" s="736">
        <v>24972.489999999998</v>
      </c>
      <c r="Q399" s="214"/>
    </row>
    <row r="400" spans="1:17" ht="12" customHeight="1" x14ac:dyDescent="0.2">
      <c r="A400" s="735" t="s">
        <v>2169</v>
      </c>
      <c r="B400" s="735" t="s">
        <v>2170</v>
      </c>
      <c r="C400" s="735" t="s">
        <v>451</v>
      </c>
      <c r="D400" s="644" t="s">
        <v>3389</v>
      </c>
      <c r="E400" s="736">
        <v>15600</v>
      </c>
      <c r="F400" s="737" t="s">
        <v>3390</v>
      </c>
      <c r="G400" s="738" t="s">
        <v>3391</v>
      </c>
      <c r="H400" s="644" t="s">
        <v>2201</v>
      </c>
      <c r="I400" s="636" t="s">
        <v>2201</v>
      </c>
      <c r="J400" s="644"/>
      <c r="K400" s="739"/>
      <c r="L400" s="735">
        <v>2</v>
      </c>
      <c r="M400" s="736">
        <v>13727</v>
      </c>
      <c r="N400" s="735"/>
      <c r="O400" s="735"/>
      <c r="P400" s="736"/>
      <c r="Q400" s="214"/>
    </row>
    <row r="401" spans="1:17" ht="12" customHeight="1" x14ac:dyDescent="0.2">
      <c r="A401" s="735" t="s">
        <v>2169</v>
      </c>
      <c r="B401" s="735" t="s">
        <v>2170</v>
      </c>
      <c r="C401" s="735" t="s">
        <v>451</v>
      </c>
      <c r="D401" s="644" t="s">
        <v>2630</v>
      </c>
      <c r="E401" s="736">
        <v>8000</v>
      </c>
      <c r="F401" s="737" t="s">
        <v>3392</v>
      </c>
      <c r="G401" s="738" t="s">
        <v>3393</v>
      </c>
      <c r="H401" s="644" t="s">
        <v>2201</v>
      </c>
      <c r="I401" s="636"/>
      <c r="J401" s="644"/>
      <c r="K401" s="739"/>
      <c r="L401" s="735">
        <v>12</v>
      </c>
      <c r="M401" s="736">
        <v>97345.479999999981</v>
      </c>
      <c r="N401" s="735"/>
      <c r="O401" s="735">
        <v>6</v>
      </c>
      <c r="P401" s="736">
        <v>48978.81</v>
      </c>
      <c r="Q401" s="214"/>
    </row>
    <row r="402" spans="1:17" ht="12" customHeight="1" x14ac:dyDescent="0.2">
      <c r="A402" s="735" t="s">
        <v>2169</v>
      </c>
      <c r="B402" s="735" t="s">
        <v>2170</v>
      </c>
      <c r="C402" s="735" t="s">
        <v>451</v>
      </c>
      <c r="D402" s="644" t="s">
        <v>3000</v>
      </c>
      <c r="E402" s="736">
        <v>10000</v>
      </c>
      <c r="F402" s="737" t="s">
        <v>3394</v>
      </c>
      <c r="G402" s="738" t="s">
        <v>3395</v>
      </c>
      <c r="H402" s="644" t="s">
        <v>2201</v>
      </c>
      <c r="I402" s="636" t="s">
        <v>2201</v>
      </c>
      <c r="J402" s="644"/>
      <c r="K402" s="739"/>
      <c r="L402" s="735">
        <v>4</v>
      </c>
      <c r="M402" s="736">
        <v>40306.870000000003</v>
      </c>
      <c r="N402" s="735"/>
      <c r="O402" s="735">
        <v>1</v>
      </c>
      <c r="P402" s="736">
        <v>3479.71</v>
      </c>
      <c r="Q402" s="214"/>
    </row>
    <row r="403" spans="1:17" ht="12" customHeight="1" x14ac:dyDescent="0.2">
      <c r="A403" s="735" t="s">
        <v>2169</v>
      </c>
      <c r="B403" s="735" t="s">
        <v>2170</v>
      </c>
      <c r="C403" s="735" t="s">
        <v>451</v>
      </c>
      <c r="D403" s="644" t="s">
        <v>2190</v>
      </c>
      <c r="E403" s="736">
        <v>3000</v>
      </c>
      <c r="F403" s="737" t="s">
        <v>3396</v>
      </c>
      <c r="G403" s="738" t="s">
        <v>3397</v>
      </c>
      <c r="H403" s="644" t="s">
        <v>2184</v>
      </c>
      <c r="I403" s="636" t="s">
        <v>2180</v>
      </c>
      <c r="J403" s="644" t="s">
        <v>2180</v>
      </c>
      <c r="K403" s="739"/>
      <c r="L403" s="735">
        <v>12</v>
      </c>
      <c r="M403" s="736">
        <v>38045.770000000004</v>
      </c>
      <c r="N403" s="735"/>
      <c r="O403" s="735">
        <v>6</v>
      </c>
      <c r="P403" s="736">
        <v>18978.939999999999</v>
      </c>
      <c r="Q403" s="214"/>
    </row>
    <row r="404" spans="1:17" ht="12" customHeight="1" x14ac:dyDescent="0.2">
      <c r="A404" s="735" t="s">
        <v>2169</v>
      </c>
      <c r="B404" s="735" t="s">
        <v>2170</v>
      </c>
      <c r="C404" s="735" t="s">
        <v>451</v>
      </c>
      <c r="D404" s="644" t="s">
        <v>2258</v>
      </c>
      <c r="E404" s="736">
        <v>10000</v>
      </c>
      <c r="F404" s="737" t="s">
        <v>3398</v>
      </c>
      <c r="G404" s="738" t="s">
        <v>3399</v>
      </c>
      <c r="H404" s="644" t="s">
        <v>3400</v>
      </c>
      <c r="I404" s="636" t="s">
        <v>2175</v>
      </c>
      <c r="J404" s="644"/>
      <c r="K404" s="739"/>
      <c r="L404" s="735">
        <v>9</v>
      </c>
      <c r="M404" s="736">
        <v>92287.26999999999</v>
      </c>
      <c r="N404" s="735"/>
      <c r="O404" s="735">
        <v>6</v>
      </c>
      <c r="P404" s="736">
        <v>62001.8</v>
      </c>
      <c r="Q404" s="214"/>
    </row>
    <row r="405" spans="1:17" ht="12" customHeight="1" x14ac:dyDescent="0.2">
      <c r="A405" s="735" t="s">
        <v>2169</v>
      </c>
      <c r="B405" s="735" t="s">
        <v>2170</v>
      </c>
      <c r="C405" s="735" t="s">
        <v>451</v>
      </c>
      <c r="D405" s="644" t="s">
        <v>3401</v>
      </c>
      <c r="E405" s="736">
        <v>8000</v>
      </c>
      <c r="F405" s="737" t="s">
        <v>3402</v>
      </c>
      <c r="G405" s="738" t="s">
        <v>3403</v>
      </c>
      <c r="H405" s="644" t="s">
        <v>2268</v>
      </c>
      <c r="I405" s="636" t="s">
        <v>2175</v>
      </c>
      <c r="J405" s="644"/>
      <c r="K405" s="739"/>
      <c r="L405" s="735">
        <v>6</v>
      </c>
      <c r="M405" s="736">
        <v>48447.07</v>
      </c>
      <c r="N405" s="735"/>
      <c r="O405" s="735">
        <v>6</v>
      </c>
      <c r="P405" s="736">
        <v>49017.89</v>
      </c>
      <c r="Q405" s="214"/>
    </row>
    <row r="406" spans="1:17" ht="12" customHeight="1" x14ac:dyDescent="0.2">
      <c r="A406" s="735" t="s">
        <v>2169</v>
      </c>
      <c r="B406" s="735" t="s">
        <v>2170</v>
      </c>
      <c r="C406" s="735" t="s">
        <v>451</v>
      </c>
      <c r="D406" s="644" t="s">
        <v>2424</v>
      </c>
      <c r="E406" s="736">
        <v>8000</v>
      </c>
      <c r="F406" s="737" t="s">
        <v>3404</v>
      </c>
      <c r="G406" s="738" t="s">
        <v>3405</v>
      </c>
      <c r="H406" s="644" t="s">
        <v>2201</v>
      </c>
      <c r="I406" s="636"/>
      <c r="J406" s="644"/>
      <c r="K406" s="739"/>
      <c r="L406" s="735">
        <v>12</v>
      </c>
      <c r="M406" s="736">
        <v>97883.87999999999</v>
      </c>
      <c r="N406" s="735"/>
      <c r="O406" s="735">
        <v>6</v>
      </c>
      <c r="P406" s="736">
        <v>49028.810000000005</v>
      </c>
      <c r="Q406" s="214"/>
    </row>
    <row r="407" spans="1:17" ht="12" customHeight="1" x14ac:dyDescent="0.2">
      <c r="A407" s="735" t="s">
        <v>2169</v>
      </c>
      <c r="B407" s="735" t="s">
        <v>2170</v>
      </c>
      <c r="C407" s="735" t="s">
        <v>451</v>
      </c>
      <c r="D407" s="644" t="s">
        <v>3406</v>
      </c>
      <c r="E407" s="736">
        <v>15600</v>
      </c>
      <c r="F407" s="737" t="s">
        <v>3407</v>
      </c>
      <c r="G407" s="738" t="s">
        <v>3408</v>
      </c>
      <c r="H407" s="644" t="s">
        <v>2179</v>
      </c>
      <c r="I407" s="636" t="s">
        <v>2175</v>
      </c>
      <c r="J407" s="644"/>
      <c r="K407" s="739"/>
      <c r="L407" s="735">
        <v>1</v>
      </c>
      <c r="M407" s="736">
        <v>15713.4</v>
      </c>
      <c r="N407" s="735"/>
      <c r="O407" s="735">
        <v>6</v>
      </c>
      <c r="P407" s="736">
        <v>93084.9</v>
      </c>
      <c r="Q407" s="214"/>
    </row>
    <row r="408" spans="1:17" ht="12" customHeight="1" x14ac:dyDescent="0.2">
      <c r="A408" s="735" t="s">
        <v>2169</v>
      </c>
      <c r="B408" s="735" t="s">
        <v>2170</v>
      </c>
      <c r="C408" s="735" t="s">
        <v>451</v>
      </c>
      <c r="D408" s="644" t="s">
        <v>3409</v>
      </c>
      <c r="E408" s="736">
        <v>8000</v>
      </c>
      <c r="F408" s="737" t="s">
        <v>3410</v>
      </c>
      <c r="G408" s="738" t="s">
        <v>3411</v>
      </c>
      <c r="H408" s="644" t="s">
        <v>2317</v>
      </c>
      <c r="I408" s="636" t="s">
        <v>2250</v>
      </c>
      <c r="J408" s="644" t="s">
        <v>2250</v>
      </c>
      <c r="K408" s="739"/>
      <c r="L408" s="735">
        <v>12</v>
      </c>
      <c r="M408" s="736">
        <v>97847.4</v>
      </c>
      <c r="N408" s="735"/>
      <c r="O408" s="735">
        <v>6</v>
      </c>
      <c r="P408" s="736">
        <v>49044.9</v>
      </c>
      <c r="Q408" s="214"/>
    </row>
    <row r="409" spans="1:17" ht="12" customHeight="1" x14ac:dyDescent="0.2">
      <c r="A409" s="735" t="s">
        <v>2169</v>
      </c>
      <c r="B409" s="735" t="s">
        <v>2170</v>
      </c>
      <c r="C409" s="735" t="s">
        <v>451</v>
      </c>
      <c r="D409" s="644" t="s">
        <v>3412</v>
      </c>
      <c r="E409" s="736">
        <v>9500</v>
      </c>
      <c r="F409" s="737" t="s">
        <v>3413</v>
      </c>
      <c r="G409" s="738" t="s">
        <v>3414</v>
      </c>
      <c r="H409" s="644" t="s">
        <v>2208</v>
      </c>
      <c r="I409" s="636" t="s">
        <v>2250</v>
      </c>
      <c r="J409" s="644" t="s">
        <v>2250</v>
      </c>
      <c r="K409" s="739"/>
      <c r="L409" s="735">
        <v>12</v>
      </c>
      <c r="M409" s="736">
        <v>115960.79999999997</v>
      </c>
      <c r="N409" s="735"/>
      <c r="O409" s="735">
        <v>6</v>
      </c>
      <c r="P409" s="736">
        <v>58038.76</v>
      </c>
      <c r="Q409" s="214"/>
    </row>
    <row r="410" spans="1:17" ht="12" customHeight="1" x14ac:dyDescent="0.2">
      <c r="A410" s="735" t="s">
        <v>2169</v>
      </c>
      <c r="B410" s="735" t="s">
        <v>2170</v>
      </c>
      <c r="C410" s="735" t="s">
        <v>451</v>
      </c>
      <c r="D410" s="644" t="s">
        <v>3415</v>
      </c>
      <c r="E410" s="736">
        <v>9500</v>
      </c>
      <c r="F410" s="737" t="s">
        <v>3416</v>
      </c>
      <c r="G410" s="738" t="s">
        <v>3417</v>
      </c>
      <c r="H410" s="644" t="s">
        <v>2201</v>
      </c>
      <c r="I410" s="636"/>
      <c r="J410" s="644"/>
      <c r="K410" s="739"/>
      <c r="L410" s="735">
        <v>7</v>
      </c>
      <c r="M410" s="736">
        <v>65077.13</v>
      </c>
      <c r="N410" s="735"/>
      <c r="O410" s="735">
        <v>6</v>
      </c>
      <c r="P410" s="736">
        <v>58007.37</v>
      </c>
      <c r="Q410" s="214"/>
    </row>
    <row r="411" spans="1:17" ht="12" customHeight="1" x14ac:dyDescent="0.2">
      <c r="A411" s="735" t="s">
        <v>2169</v>
      </c>
      <c r="B411" s="735" t="s">
        <v>2170</v>
      </c>
      <c r="C411" s="735" t="s">
        <v>451</v>
      </c>
      <c r="D411" s="644" t="s">
        <v>3380</v>
      </c>
      <c r="E411" s="736">
        <v>9200</v>
      </c>
      <c r="F411" s="737" t="s">
        <v>3418</v>
      </c>
      <c r="G411" s="738" t="s">
        <v>3419</v>
      </c>
      <c r="H411" s="644" t="s">
        <v>2189</v>
      </c>
      <c r="I411" s="636" t="s">
        <v>2180</v>
      </c>
      <c r="J411" s="644" t="s">
        <v>2180</v>
      </c>
      <c r="K411" s="739"/>
      <c r="L411" s="735">
        <v>12</v>
      </c>
      <c r="M411" s="736">
        <v>113151.54999999997</v>
      </c>
      <c r="N411" s="735"/>
      <c r="O411" s="735">
        <v>7</v>
      </c>
      <c r="P411" s="736">
        <v>72702.77</v>
      </c>
      <c r="Q411" s="214"/>
    </row>
    <row r="412" spans="1:17" ht="12" customHeight="1" x14ac:dyDescent="0.2">
      <c r="A412" s="735" t="s">
        <v>2169</v>
      </c>
      <c r="B412" s="735" t="s">
        <v>2170</v>
      </c>
      <c r="C412" s="735" t="s">
        <v>451</v>
      </c>
      <c r="D412" s="644" t="s">
        <v>3420</v>
      </c>
      <c r="E412" s="736">
        <v>11000</v>
      </c>
      <c r="F412" s="737" t="s">
        <v>3421</v>
      </c>
      <c r="G412" s="738" t="s">
        <v>3422</v>
      </c>
      <c r="H412" s="644" t="s">
        <v>2201</v>
      </c>
      <c r="I412" s="636"/>
      <c r="J412" s="644"/>
      <c r="K412" s="739"/>
      <c r="L412" s="735">
        <v>12</v>
      </c>
      <c r="M412" s="736">
        <v>133847.39999999997</v>
      </c>
      <c r="N412" s="735"/>
      <c r="O412" s="735">
        <v>2</v>
      </c>
      <c r="P412" s="736">
        <v>25558.47</v>
      </c>
      <c r="Q412" s="214"/>
    </row>
    <row r="413" spans="1:17" ht="12" customHeight="1" x14ac:dyDescent="0.2">
      <c r="A413" s="735" t="s">
        <v>2169</v>
      </c>
      <c r="B413" s="735" t="s">
        <v>2170</v>
      </c>
      <c r="C413" s="735" t="s">
        <v>451</v>
      </c>
      <c r="D413" s="644" t="s">
        <v>3423</v>
      </c>
      <c r="E413" s="736">
        <v>3000</v>
      </c>
      <c r="F413" s="737" t="s">
        <v>3424</v>
      </c>
      <c r="G413" s="738" t="s">
        <v>3425</v>
      </c>
      <c r="H413" s="644">
        <v>0</v>
      </c>
      <c r="I413" s="636">
        <v>0</v>
      </c>
      <c r="J413" s="644">
        <v>0</v>
      </c>
      <c r="K413" s="739"/>
      <c r="L413" s="735">
        <v>3</v>
      </c>
      <c r="M413" s="736">
        <v>9340.2000000000007</v>
      </c>
      <c r="N413" s="735"/>
      <c r="O413" s="735"/>
      <c r="P413" s="736"/>
      <c r="Q413" s="214"/>
    </row>
    <row r="414" spans="1:17" ht="12" customHeight="1" x14ac:dyDescent="0.2">
      <c r="A414" s="735" t="s">
        <v>2169</v>
      </c>
      <c r="B414" s="735" t="s">
        <v>2170</v>
      </c>
      <c r="C414" s="735" t="s">
        <v>451</v>
      </c>
      <c r="D414" s="644" t="s">
        <v>2585</v>
      </c>
      <c r="E414" s="736">
        <v>4600</v>
      </c>
      <c r="F414" s="737" t="s">
        <v>3426</v>
      </c>
      <c r="G414" s="738" t="s">
        <v>3427</v>
      </c>
      <c r="H414" s="644" t="s">
        <v>2201</v>
      </c>
      <c r="I414" s="636"/>
      <c r="J414" s="644"/>
      <c r="K414" s="739"/>
      <c r="L414" s="735">
        <v>12</v>
      </c>
      <c r="M414" s="736">
        <v>58462.600000000013</v>
      </c>
      <c r="N414" s="735"/>
      <c r="O414" s="735">
        <v>6</v>
      </c>
      <c r="P414" s="736">
        <v>28644.9</v>
      </c>
      <c r="Q414" s="214"/>
    </row>
    <row r="415" spans="1:17" ht="12" customHeight="1" x14ac:dyDescent="0.2">
      <c r="A415" s="735" t="s">
        <v>2169</v>
      </c>
      <c r="B415" s="735" t="s">
        <v>2170</v>
      </c>
      <c r="C415" s="735" t="s">
        <v>451</v>
      </c>
      <c r="D415" s="644" t="s">
        <v>3428</v>
      </c>
      <c r="E415" s="736">
        <v>9500</v>
      </c>
      <c r="F415" s="737" t="s">
        <v>3429</v>
      </c>
      <c r="G415" s="738" t="s">
        <v>3430</v>
      </c>
      <c r="H415" s="644" t="s">
        <v>2197</v>
      </c>
      <c r="I415" s="636" t="s">
        <v>2250</v>
      </c>
      <c r="J415" s="644" t="s">
        <v>2250</v>
      </c>
      <c r="K415" s="739"/>
      <c r="L415" s="735">
        <v>12</v>
      </c>
      <c r="M415" s="736">
        <v>115847.39999999998</v>
      </c>
      <c r="N415" s="735"/>
      <c r="O415" s="735">
        <v>2</v>
      </c>
      <c r="P415" s="736">
        <v>18185.14</v>
      </c>
      <c r="Q415" s="214"/>
    </row>
    <row r="416" spans="1:17" ht="12" customHeight="1" x14ac:dyDescent="0.2">
      <c r="A416" s="735" t="s">
        <v>2169</v>
      </c>
      <c r="B416" s="735" t="s">
        <v>2170</v>
      </c>
      <c r="C416" s="735" t="s">
        <v>451</v>
      </c>
      <c r="D416" s="644" t="s">
        <v>2272</v>
      </c>
      <c r="E416" s="736">
        <v>9500</v>
      </c>
      <c r="F416" s="737" t="s">
        <v>3431</v>
      </c>
      <c r="G416" s="738" t="s">
        <v>3432</v>
      </c>
      <c r="H416" s="644" t="s">
        <v>2420</v>
      </c>
      <c r="I416" s="636" t="s">
        <v>2175</v>
      </c>
      <c r="J416" s="644"/>
      <c r="K416" s="739"/>
      <c r="L416" s="735">
        <v>6</v>
      </c>
      <c r="M416" s="736">
        <v>55017</v>
      </c>
      <c r="N416" s="735"/>
      <c r="O416" s="735">
        <v>6</v>
      </c>
      <c r="P416" s="736">
        <v>58044.9</v>
      </c>
      <c r="Q416" s="214"/>
    </row>
    <row r="417" spans="1:17" ht="12" customHeight="1" x14ac:dyDescent="0.2">
      <c r="A417" s="735" t="s">
        <v>2169</v>
      </c>
      <c r="B417" s="735" t="s">
        <v>2170</v>
      </c>
      <c r="C417" s="735" t="s">
        <v>451</v>
      </c>
      <c r="D417" s="644" t="s">
        <v>2724</v>
      </c>
      <c r="E417" s="736">
        <v>4000</v>
      </c>
      <c r="F417" s="737" t="s">
        <v>3433</v>
      </c>
      <c r="G417" s="738" t="s">
        <v>3434</v>
      </c>
      <c r="H417" s="644" t="s">
        <v>2201</v>
      </c>
      <c r="I417" s="636" t="s">
        <v>2185</v>
      </c>
      <c r="J417" s="644"/>
      <c r="K417" s="739"/>
      <c r="L417" s="735">
        <v>12</v>
      </c>
      <c r="M417" s="736">
        <v>50380.73000000001</v>
      </c>
      <c r="N417" s="735"/>
      <c r="O417" s="735">
        <v>6</v>
      </c>
      <c r="P417" s="736">
        <v>24911.57</v>
      </c>
      <c r="Q417" s="214"/>
    </row>
    <row r="418" spans="1:17" ht="12" customHeight="1" x14ac:dyDescent="0.2">
      <c r="A418" s="735" t="s">
        <v>2169</v>
      </c>
      <c r="B418" s="735" t="s">
        <v>2170</v>
      </c>
      <c r="C418" s="735" t="s">
        <v>451</v>
      </c>
      <c r="D418" s="644" t="s">
        <v>3435</v>
      </c>
      <c r="E418" s="736">
        <v>15600</v>
      </c>
      <c r="F418" s="737" t="s">
        <v>3436</v>
      </c>
      <c r="G418" s="738" t="s">
        <v>3437</v>
      </c>
      <c r="H418" s="644" t="s">
        <v>2201</v>
      </c>
      <c r="I418" s="636"/>
      <c r="J418" s="644"/>
      <c r="K418" s="739"/>
      <c r="L418" s="735">
        <v>12</v>
      </c>
      <c r="M418" s="736">
        <v>189160.79999999996</v>
      </c>
      <c r="N418" s="735"/>
      <c r="O418" s="735">
        <v>6</v>
      </c>
      <c r="P418" s="736">
        <v>93084.9</v>
      </c>
      <c r="Q418" s="214"/>
    </row>
    <row r="419" spans="1:17" ht="12" customHeight="1" x14ac:dyDescent="0.2">
      <c r="A419" s="735" t="s">
        <v>2169</v>
      </c>
      <c r="B419" s="735" t="s">
        <v>2170</v>
      </c>
      <c r="C419" s="735" t="s">
        <v>451</v>
      </c>
      <c r="D419" s="644" t="s">
        <v>3438</v>
      </c>
      <c r="E419" s="736">
        <v>8000</v>
      </c>
      <c r="F419" s="737" t="s">
        <v>3439</v>
      </c>
      <c r="G419" s="738" t="s">
        <v>3440</v>
      </c>
      <c r="H419" s="644" t="s">
        <v>2543</v>
      </c>
      <c r="I419" s="636" t="s">
        <v>2180</v>
      </c>
      <c r="J419" s="644" t="s">
        <v>2180</v>
      </c>
      <c r="K419" s="739"/>
      <c r="L419" s="735">
        <v>3</v>
      </c>
      <c r="M419" s="736">
        <v>24340.199999999997</v>
      </c>
      <c r="N419" s="735"/>
      <c r="O419" s="735"/>
      <c r="P419" s="736"/>
      <c r="Q419" s="214"/>
    </row>
    <row r="420" spans="1:17" ht="12" customHeight="1" x14ac:dyDescent="0.2">
      <c r="A420" s="735" t="s">
        <v>2169</v>
      </c>
      <c r="B420" s="735" t="s">
        <v>2170</v>
      </c>
      <c r="C420" s="735" t="s">
        <v>451</v>
      </c>
      <c r="D420" s="644" t="s">
        <v>3441</v>
      </c>
      <c r="E420" s="736">
        <v>8500</v>
      </c>
      <c r="F420" s="737" t="s">
        <v>3442</v>
      </c>
      <c r="G420" s="738" t="s">
        <v>3443</v>
      </c>
      <c r="H420" s="644" t="s">
        <v>2201</v>
      </c>
      <c r="I420" s="636"/>
      <c r="J420" s="644"/>
      <c r="K420" s="739"/>
      <c r="L420" s="735">
        <v>11</v>
      </c>
      <c r="M420" s="736">
        <v>92414.069999999978</v>
      </c>
      <c r="N420" s="735"/>
      <c r="O420" s="735">
        <v>6</v>
      </c>
      <c r="P420" s="736">
        <v>49004.090000000004</v>
      </c>
      <c r="Q420" s="214"/>
    </row>
    <row r="421" spans="1:17" ht="12" customHeight="1" x14ac:dyDescent="0.2">
      <c r="A421" s="735" t="s">
        <v>2169</v>
      </c>
      <c r="B421" s="735" t="s">
        <v>2170</v>
      </c>
      <c r="C421" s="735" t="s">
        <v>451</v>
      </c>
      <c r="D421" s="644" t="s">
        <v>3444</v>
      </c>
      <c r="E421" s="736">
        <v>5000</v>
      </c>
      <c r="F421" s="737" t="s">
        <v>3445</v>
      </c>
      <c r="G421" s="738" t="s">
        <v>3446</v>
      </c>
      <c r="H421" s="644" t="s">
        <v>2201</v>
      </c>
      <c r="I421" s="636"/>
      <c r="J421" s="644"/>
      <c r="K421" s="739"/>
      <c r="L421" s="735">
        <v>1</v>
      </c>
      <c r="M421" s="736">
        <v>1257.58</v>
      </c>
      <c r="N421" s="735"/>
      <c r="O421" s="735"/>
      <c r="P421" s="736"/>
      <c r="Q421" s="214"/>
    </row>
    <row r="422" spans="1:17" ht="12" customHeight="1" x14ac:dyDescent="0.2">
      <c r="A422" s="735" t="s">
        <v>2169</v>
      </c>
      <c r="B422" s="735" t="s">
        <v>2170</v>
      </c>
      <c r="C422" s="735" t="s">
        <v>451</v>
      </c>
      <c r="D422" s="644" t="s">
        <v>3447</v>
      </c>
      <c r="E422" s="736">
        <v>8000</v>
      </c>
      <c r="F422" s="737" t="s">
        <v>3448</v>
      </c>
      <c r="G422" s="738" t="s">
        <v>3449</v>
      </c>
      <c r="H422" s="644" t="s">
        <v>2420</v>
      </c>
      <c r="I422" s="636" t="s">
        <v>2246</v>
      </c>
      <c r="J422" s="644" t="s">
        <v>2420</v>
      </c>
      <c r="K422" s="739"/>
      <c r="L422" s="735">
        <v>12</v>
      </c>
      <c r="M422" s="736">
        <v>97960.799999999988</v>
      </c>
      <c r="N422" s="735"/>
      <c r="O422" s="735">
        <v>6</v>
      </c>
      <c r="P422" s="736">
        <v>49031.11</v>
      </c>
      <c r="Q422" s="214"/>
    </row>
    <row r="423" spans="1:17" ht="12" customHeight="1" x14ac:dyDescent="0.2">
      <c r="A423" s="735" t="s">
        <v>2169</v>
      </c>
      <c r="B423" s="735" t="s">
        <v>2170</v>
      </c>
      <c r="C423" s="735" t="s">
        <v>451</v>
      </c>
      <c r="D423" s="644" t="s">
        <v>3214</v>
      </c>
      <c r="E423" s="736">
        <v>8000</v>
      </c>
      <c r="F423" s="737" t="s">
        <v>3450</v>
      </c>
      <c r="G423" s="738" t="s">
        <v>3451</v>
      </c>
      <c r="H423" s="644" t="s">
        <v>2201</v>
      </c>
      <c r="I423" s="636"/>
      <c r="J423" s="644"/>
      <c r="K423" s="739"/>
      <c r="L423" s="735">
        <v>12</v>
      </c>
      <c r="M423" s="736">
        <v>97960.799999999988</v>
      </c>
      <c r="N423" s="735"/>
      <c r="O423" s="735">
        <v>6</v>
      </c>
      <c r="P423" s="736">
        <v>49044.9</v>
      </c>
      <c r="Q423" s="214"/>
    </row>
    <row r="424" spans="1:17" ht="12" customHeight="1" x14ac:dyDescent="0.2">
      <c r="A424" s="735" t="s">
        <v>2169</v>
      </c>
      <c r="B424" s="735" t="s">
        <v>2170</v>
      </c>
      <c r="C424" s="735" t="s">
        <v>451</v>
      </c>
      <c r="D424" s="644" t="s">
        <v>2190</v>
      </c>
      <c r="E424" s="736">
        <v>2500</v>
      </c>
      <c r="F424" s="737" t="s">
        <v>3452</v>
      </c>
      <c r="G424" s="738" t="s">
        <v>3453</v>
      </c>
      <c r="H424" s="644" t="s">
        <v>2184</v>
      </c>
      <c r="I424" s="636" t="s">
        <v>2185</v>
      </c>
      <c r="J424" s="644" t="s">
        <v>2184</v>
      </c>
      <c r="K424" s="739"/>
      <c r="L424" s="735">
        <v>12</v>
      </c>
      <c r="M424" s="736">
        <v>31847.400000000005</v>
      </c>
      <c r="N424" s="735"/>
      <c r="O424" s="735">
        <v>6</v>
      </c>
      <c r="P424" s="736">
        <v>16044</v>
      </c>
      <c r="Q424" s="214"/>
    </row>
    <row r="425" spans="1:17" ht="12" customHeight="1" x14ac:dyDescent="0.2">
      <c r="A425" s="735" t="s">
        <v>2169</v>
      </c>
      <c r="B425" s="735" t="s">
        <v>2170</v>
      </c>
      <c r="C425" s="735" t="s">
        <v>451</v>
      </c>
      <c r="D425" s="644" t="s">
        <v>2602</v>
      </c>
      <c r="E425" s="736">
        <v>3500</v>
      </c>
      <c r="F425" s="737" t="s">
        <v>3454</v>
      </c>
      <c r="G425" s="738" t="s">
        <v>3455</v>
      </c>
      <c r="H425" s="644" t="s">
        <v>2346</v>
      </c>
      <c r="I425" s="636" t="s">
        <v>2334</v>
      </c>
      <c r="J425" s="644"/>
      <c r="K425" s="739"/>
      <c r="L425" s="735">
        <v>3</v>
      </c>
      <c r="M425" s="736">
        <v>8344.130000000001</v>
      </c>
      <c r="N425" s="735"/>
      <c r="O425" s="735">
        <v>6</v>
      </c>
      <c r="P425" s="736">
        <v>22003.66</v>
      </c>
      <c r="Q425" s="214"/>
    </row>
    <row r="426" spans="1:17" ht="12" customHeight="1" x14ac:dyDescent="0.2">
      <c r="A426" s="735" t="s">
        <v>2169</v>
      </c>
      <c r="B426" s="735" t="s">
        <v>2170</v>
      </c>
      <c r="C426" s="735" t="s">
        <v>451</v>
      </c>
      <c r="D426" s="644" t="s">
        <v>2918</v>
      </c>
      <c r="E426" s="736">
        <v>8000</v>
      </c>
      <c r="F426" s="737" t="s">
        <v>3456</v>
      </c>
      <c r="G426" s="738" t="s">
        <v>3457</v>
      </c>
      <c r="H426" s="644" t="s">
        <v>2201</v>
      </c>
      <c r="I426" s="636"/>
      <c r="J426" s="644"/>
      <c r="K426" s="739"/>
      <c r="L426" s="735">
        <v>12</v>
      </c>
      <c r="M426" s="736">
        <v>98469.459999999992</v>
      </c>
      <c r="N426" s="735"/>
      <c r="O426" s="735">
        <v>6</v>
      </c>
      <c r="P426" s="736">
        <v>48729.96</v>
      </c>
      <c r="Q426" s="214"/>
    </row>
    <row r="427" spans="1:17" ht="12" customHeight="1" x14ac:dyDescent="0.2">
      <c r="A427" s="735" t="s">
        <v>2169</v>
      </c>
      <c r="B427" s="735" t="s">
        <v>2170</v>
      </c>
      <c r="C427" s="735" t="s">
        <v>451</v>
      </c>
      <c r="D427" s="644" t="s">
        <v>2857</v>
      </c>
      <c r="E427" s="736">
        <v>8000</v>
      </c>
      <c r="F427" s="737" t="s">
        <v>3458</v>
      </c>
      <c r="G427" s="738" t="s">
        <v>3459</v>
      </c>
      <c r="H427" s="644" t="s">
        <v>2179</v>
      </c>
      <c r="I427" s="636" t="s">
        <v>2246</v>
      </c>
      <c r="J427" s="644" t="s">
        <v>2179</v>
      </c>
      <c r="K427" s="739"/>
      <c r="L427" s="735">
        <v>12</v>
      </c>
      <c r="M427" s="736">
        <v>97960.799999999988</v>
      </c>
      <c r="N427" s="735"/>
      <c r="O427" s="735">
        <v>6</v>
      </c>
      <c r="P427" s="736">
        <v>49021.33</v>
      </c>
      <c r="Q427" s="214"/>
    </row>
    <row r="428" spans="1:17" ht="12" customHeight="1" x14ac:dyDescent="0.2">
      <c r="A428" s="735" t="s">
        <v>2169</v>
      </c>
      <c r="B428" s="735" t="s">
        <v>2170</v>
      </c>
      <c r="C428" s="735" t="s">
        <v>451</v>
      </c>
      <c r="D428" s="644" t="s">
        <v>3460</v>
      </c>
      <c r="E428" s="736">
        <v>2500</v>
      </c>
      <c r="F428" s="737" t="s">
        <v>3461</v>
      </c>
      <c r="G428" s="738" t="s">
        <v>3462</v>
      </c>
      <c r="H428" s="644" t="s">
        <v>2184</v>
      </c>
      <c r="I428" s="636" t="s">
        <v>3463</v>
      </c>
      <c r="J428" s="644" t="s">
        <v>2184</v>
      </c>
      <c r="K428" s="739"/>
      <c r="L428" s="735">
        <v>12</v>
      </c>
      <c r="M428" s="736">
        <v>31960.800000000007</v>
      </c>
      <c r="N428" s="735"/>
      <c r="O428" s="735">
        <v>6</v>
      </c>
      <c r="P428" s="736">
        <v>15913.079999999998</v>
      </c>
      <c r="Q428" s="214"/>
    </row>
    <row r="429" spans="1:17" ht="12" customHeight="1" x14ac:dyDescent="0.2">
      <c r="A429" s="735" t="s">
        <v>2169</v>
      </c>
      <c r="B429" s="735" t="s">
        <v>2170</v>
      </c>
      <c r="C429" s="735" t="s">
        <v>451</v>
      </c>
      <c r="D429" s="644" t="s">
        <v>3464</v>
      </c>
      <c r="E429" s="736">
        <v>2700</v>
      </c>
      <c r="F429" s="737" t="s">
        <v>3465</v>
      </c>
      <c r="G429" s="738" t="s">
        <v>3466</v>
      </c>
      <c r="H429" s="644" t="s">
        <v>2253</v>
      </c>
      <c r="I429" s="636" t="s">
        <v>2254</v>
      </c>
      <c r="J429" s="644" t="s">
        <v>2254</v>
      </c>
      <c r="K429" s="739"/>
      <c r="L429" s="735">
        <v>12</v>
      </c>
      <c r="M429" s="736">
        <v>34360.80000000001</v>
      </c>
      <c r="N429" s="735"/>
      <c r="O429" s="735">
        <v>6</v>
      </c>
      <c r="P429" s="736">
        <v>17604.900000000001</v>
      </c>
      <c r="Q429" s="214"/>
    </row>
    <row r="430" spans="1:17" ht="12" customHeight="1" x14ac:dyDescent="0.2">
      <c r="A430" s="735" t="s">
        <v>2169</v>
      </c>
      <c r="B430" s="735" t="s">
        <v>2170</v>
      </c>
      <c r="C430" s="735" t="s">
        <v>451</v>
      </c>
      <c r="D430" s="644" t="s">
        <v>3467</v>
      </c>
      <c r="E430" s="736">
        <v>5000</v>
      </c>
      <c r="F430" s="737" t="s">
        <v>3468</v>
      </c>
      <c r="G430" s="738" t="s">
        <v>3469</v>
      </c>
      <c r="H430" s="644" t="s">
        <v>3470</v>
      </c>
      <c r="I430" s="636" t="s">
        <v>2284</v>
      </c>
      <c r="J430" s="644" t="s">
        <v>2284</v>
      </c>
      <c r="K430" s="739"/>
      <c r="L430" s="735">
        <v>12</v>
      </c>
      <c r="M430" s="736">
        <v>61955.360000000008</v>
      </c>
      <c r="N430" s="735"/>
      <c r="O430" s="735">
        <v>6</v>
      </c>
      <c r="P430" s="736">
        <v>31043.82</v>
      </c>
      <c r="Q430" s="214"/>
    </row>
    <row r="431" spans="1:17" ht="12" customHeight="1" x14ac:dyDescent="0.2">
      <c r="A431" s="735" t="s">
        <v>2169</v>
      </c>
      <c r="B431" s="735" t="s">
        <v>2170</v>
      </c>
      <c r="C431" s="735" t="s">
        <v>451</v>
      </c>
      <c r="D431" s="644" t="s">
        <v>3471</v>
      </c>
      <c r="E431" s="736">
        <v>6500</v>
      </c>
      <c r="F431" s="737" t="s">
        <v>3472</v>
      </c>
      <c r="G431" s="738" t="s">
        <v>3473</v>
      </c>
      <c r="H431" s="644" t="s">
        <v>3162</v>
      </c>
      <c r="I431" s="636" t="s">
        <v>2284</v>
      </c>
      <c r="J431" s="644" t="s">
        <v>2284</v>
      </c>
      <c r="K431" s="739"/>
      <c r="L431" s="735">
        <v>3</v>
      </c>
      <c r="M431" s="736">
        <v>19818.979999999996</v>
      </c>
      <c r="N431" s="735"/>
      <c r="O431" s="735"/>
      <c r="P431" s="736"/>
      <c r="Q431" s="214"/>
    </row>
    <row r="432" spans="1:17" ht="12" customHeight="1" x14ac:dyDescent="0.2">
      <c r="A432" s="735" t="s">
        <v>2169</v>
      </c>
      <c r="B432" s="735" t="s">
        <v>2170</v>
      </c>
      <c r="C432" s="735" t="s">
        <v>451</v>
      </c>
      <c r="D432" s="644" t="s">
        <v>2560</v>
      </c>
      <c r="E432" s="736">
        <v>4000</v>
      </c>
      <c r="F432" s="737" t="s">
        <v>3474</v>
      </c>
      <c r="G432" s="738" t="s">
        <v>3475</v>
      </c>
      <c r="H432" s="644" t="s">
        <v>3162</v>
      </c>
      <c r="I432" s="636" t="s">
        <v>2284</v>
      </c>
      <c r="J432" s="644" t="s">
        <v>2284</v>
      </c>
      <c r="K432" s="739"/>
      <c r="L432" s="735">
        <v>12</v>
      </c>
      <c r="M432" s="736">
        <v>48804.43</v>
      </c>
      <c r="N432" s="735"/>
      <c r="O432" s="735">
        <v>6</v>
      </c>
      <c r="P432" s="736">
        <v>25041.739999999998</v>
      </c>
      <c r="Q432" s="214"/>
    </row>
    <row r="433" spans="1:17" ht="12" customHeight="1" x14ac:dyDescent="0.2">
      <c r="A433" s="735" t="s">
        <v>2169</v>
      </c>
      <c r="B433" s="735" t="s">
        <v>2170</v>
      </c>
      <c r="C433" s="735" t="s">
        <v>451</v>
      </c>
      <c r="D433" s="644" t="s">
        <v>3476</v>
      </c>
      <c r="E433" s="736">
        <v>7000</v>
      </c>
      <c r="F433" s="737" t="s">
        <v>3477</v>
      </c>
      <c r="G433" s="738" t="s">
        <v>3478</v>
      </c>
      <c r="H433" s="644" t="s">
        <v>2201</v>
      </c>
      <c r="I433" s="636"/>
      <c r="J433" s="644"/>
      <c r="K433" s="739"/>
      <c r="L433" s="735">
        <v>9</v>
      </c>
      <c r="M433" s="736">
        <v>64271.710000000006</v>
      </c>
      <c r="N433" s="735"/>
      <c r="O433" s="735"/>
      <c r="P433" s="736"/>
      <c r="Q433" s="214"/>
    </row>
    <row r="434" spans="1:17" ht="12" customHeight="1" x14ac:dyDescent="0.2">
      <c r="A434" s="735" t="s">
        <v>2169</v>
      </c>
      <c r="B434" s="735" t="s">
        <v>2170</v>
      </c>
      <c r="C434" s="735" t="s">
        <v>451</v>
      </c>
      <c r="D434" s="644" t="s">
        <v>3479</v>
      </c>
      <c r="E434" s="736">
        <v>15600</v>
      </c>
      <c r="F434" s="737" t="s">
        <v>3480</v>
      </c>
      <c r="G434" s="738" t="s">
        <v>3481</v>
      </c>
      <c r="H434" s="644" t="s">
        <v>2201</v>
      </c>
      <c r="I434" s="636"/>
      <c r="J434" s="644"/>
      <c r="K434" s="739"/>
      <c r="L434" s="735">
        <v>5</v>
      </c>
      <c r="M434" s="736">
        <v>78567</v>
      </c>
      <c r="N434" s="735"/>
      <c r="O434" s="735"/>
      <c r="P434" s="736"/>
      <c r="Q434" s="214"/>
    </row>
    <row r="435" spans="1:17" ht="12" customHeight="1" x14ac:dyDescent="0.2">
      <c r="A435" s="735" t="s">
        <v>2169</v>
      </c>
      <c r="B435" s="735" t="s">
        <v>2170</v>
      </c>
      <c r="C435" s="735" t="s">
        <v>451</v>
      </c>
      <c r="D435" s="644" t="s">
        <v>2925</v>
      </c>
      <c r="E435" s="736">
        <v>13000</v>
      </c>
      <c r="F435" s="737" t="s">
        <v>3482</v>
      </c>
      <c r="G435" s="738" t="s">
        <v>3483</v>
      </c>
      <c r="H435" s="644" t="s">
        <v>2201</v>
      </c>
      <c r="I435" s="636"/>
      <c r="J435" s="644"/>
      <c r="K435" s="739"/>
      <c r="L435" s="735">
        <v>12</v>
      </c>
      <c r="M435" s="736">
        <v>158032.75999999998</v>
      </c>
      <c r="N435" s="735"/>
      <c r="O435" s="735">
        <v>6</v>
      </c>
      <c r="P435" s="736">
        <v>78967.37999999999</v>
      </c>
      <c r="Q435" s="214"/>
    </row>
    <row r="436" spans="1:17" ht="12" customHeight="1" x14ac:dyDescent="0.2">
      <c r="A436" s="735" t="s">
        <v>2169</v>
      </c>
      <c r="B436" s="735" t="s">
        <v>2170</v>
      </c>
      <c r="C436" s="735" t="s">
        <v>451</v>
      </c>
      <c r="D436" s="644" t="s">
        <v>3484</v>
      </c>
      <c r="E436" s="736">
        <v>3500</v>
      </c>
      <c r="F436" s="737" t="s">
        <v>3485</v>
      </c>
      <c r="G436" s="738" t="s">
        <v>3486</v>
      </c>
      <c r="H436" s="644" t="s">
        <v>3388</v>
      </c>
      <c r="I436" s="636" t="s">
        <v>2664</v>
      </c>
      <c r="J436" s="644" t="s">
        <v>2664</v>
      </c>
      <c r="K436" s="739"/>
      <c r="L436" s="735">
        <v>12</v>
      </c>
      <c r="M436" s="736">
        <v>43956.670000000006</v>
      </c>
      <c r="N436" s="735"/>
      <c r="O436" s="735">
        <v>6</v>
      </c>
      <c r="P436" s="736">
        <v>21868.140000000003</v>
      </c>
      <c r="Q436" s="214"/>
    </row>
    <row r="437" spans="1:17" ht="12" customHeight="1" x14ac:dyDescent="0.2">
      <c r="A437" s="735" t="s">
        <v>2169</v>
      </c>
      <c r="B437" s="735" t="s">
        <v>2170</v>
      </c>
      <c r="C437" s="735" t="s">
        <v>451</v>
      </c>
      <c r="D437" s="644" t="s">
        <v>3487</v>
      </c>
      <c r="E437" s="736">
        <v>13000</v>
      </c>
      <c r="F437" s="737" t="s">
        <v>3488</v>
      </c>
      <c r="G437" s="738" t="s">
        <v>3489</v>
      </c>
      <c r="H437" s="644" t="s">
        <v>2201</v>
      </c>
      <c r="I437" s="636"/>
      <c r="J437" s="644"/>
      <c r="K437" s="739"/>
      <c r="L437" s="735">
        <v>12</v>
      </c>
      <c r="M437" s="736">
        <v>160010.90999999997</v>
      </c>
      <c r="N437" s="735"/>
      <c r="O437" s="735">
        <v>6</v>
      </c>
      <c r="P437" s="736">
        <v>79044.899999999994</v>
      </c>
      <c r="Q437" s="214"/>
    </row>
    <row r="438" spans="1:17" ht="12" customHeight="1" x14ac:dyDescent="0.2">
      <c r="A438" s="735" t="s">
        <v>2169</v>
      </c>
      <c r="B438" s="735" t="s">
        <v>2170</v>
      </c>
      <c r="C438" s="735" t="s">
        <v>451</v>
      </c>
      <c r="D438" s="644" t="s">
        <v>3490</v>
      </c>
      <c r="E438" s="736">
        <v>7200</v>
      </c>
      <c r="F438" s="737" t="s">
        <v>3491</v>
      </c>
      <c r="G438" s="738" t="s">
        <v>3492</v>
      </c>
      <c r="H438" s="644" t="s">
        <v>2197</v>
      </c>
      <c r="I438" s="636" t="s">
        <v>2250</v>
      </c>
      <c r="J438" s="644" t="s">
        <v>2250</v>
      </c>
      <c r="K438" s="739"/>
      <c r="L438" s="735">
        <v>12</v>
      </c>
      <c r="M438" s="736">
        <v>88219.969999999987</v>
      </c>
      <c r="N438" s="735"/>
      <c r="O438" s="735">
        <v>6</v>
      </c>
      <c r="P438" s="736">
        <v>44228.350000000006</v>
      </c>
      <c r="Q438" s="214"/>
    </row>
    <row r="439" spans="1:17" ht="12" customHeight="1" x14ac:dyDescent="0.2">
      <c r="A439" s="735" t="s">
        <v>2169</v>
      </c>
      <c r="B439" s="735" t="s">
        <v>2170</v>
      </c>
      <c r="C439" s="735" t="s">
        <v>451</v>
      </c>
      <c r="D439" s="644" t="s">
        <v>3493</v>
      </c>
      <c r="E439" s="736">
        <v>9500</v>
      </c>
      <c r="F439" s="737" t="s">
        <v>3494</v>
      </c>
      <c r="G439" s="738" t="s">
        <v>3495</v>
      </c>
      <c r="H439" s="644" t="s">
        <v>2317</v>
      </c>
      <c r="I439" s="636" t="s">
        <v>2180</v>
      </c>
      <c r="J439" s="644" t="s">
        <v>2180</v>
      </c>
      <c r="K439" s="739"/>
      <c r="L439" s="735">
        <v>12</v>
      </c>
      <c r="M439" s="736">
        <v>115960.79999999997</v>
      </c>
      <c r="N439" s="735"/>
      <c r="O439" s="735">
        <v>6</v>
      </c>
      <c r="P439" s="736">
        <v>58041.490000000005</v>
      </c>
      <c r="Q439" s="214"/>
    </row>
    <row r="440" spans="1:17" ht="12" customHeight="1" x14ac:dyDescent="0.2">
      <c r="A440" s="735" t="s">
        <v>2169</v>
      </c>
      <c r="B440" s="735" t="s">
        <v>2170</v>
      </c>
      <c r="C440" s="735" t="s">
        <v>451</v>
      </c>
      <c r="D440" s="644" t="s">
        <v>3496</v>
      </c>
      <c r="E440" s="736">
        <v>8000</v>
      </c>
      <c r="F440" s="737" t="s">
        <v>3497</v>
      </c>
      <c r="G440" s="738" t="s">
        <v>3498</v>
      </c>
      <c r="H440" s="644" t="s">
        <v>2201</v>
      </c>
      <c r="I440" s="636"/>
      <c r="J440" s="644"/>
      <c r="K440" s="739"/>
      <c r="L440" s="735">
        <v>12</v>
      </c>
      <c r="M440" s="736">
        <v>98493.39999999998</v>
      </c>
      <c r="N440" s="735"/>
      <c r="O440" s="735">
        <v>6</v>
      </c>
      <c r="P440" s="736">
        <v>48948.92</v>
      </c>
      <c r="Q440" s="214"/>
    </row>
    <row r="441" spans="1:17" ht="12" customHeight="1" x14ac:dyDescent="0.2">
      <c r="A441" s="735" t="s">
        <v>2169</v>
      </c>
      <c r="B441" s="735" t="s">
        <v>2170</v>
      </c>
      <c r="C441" s="735" t="s">
        <v>451</v>
      </c>
      <c r="D441" s="644" t="s">
        <v>2269</v>
      </c>
      <c r="E441" s="736">
        <v>10000</v>
      </c>
      <c r="F441" s="737" t="s">
        <v>3499</v>
      </c>
      <c r="G441" s="738" t="s">
        <v>3500</v>
      </c>
      <c r="H441" s="644" t="s">
        <v>2201</v>
      </c>
      <c r="I441" s="636" t="s">
        <v>2201</v>
      </c>
      <c r="J441" s="644"/>
      <c r="K441" s="739"/>
      <c r="L441" s="735">
        <v>10</v>
      </c>
      <c r="M441" s="736">
        <v>99733.999999999985</v>
      </c>
      <c r="N441" s="735"/>
      <c r="O441" s="735">
        <v>3</v>
      </c>
      <c r="P441" s="736">
        <v>25175.239999999998</v>
      </c>
      <c r="Q441" s="214"/>
    </row>
    <row r="442" spans="1:17" ht="12" customHeight="1" x14ac:dyDescent="0.2">
      <c r="A442" s="735" t="s">
        <v>2169</v>
      </c>
      <c r="B442" s="735" t="s">
        <v>2170</v>
      </c>
      <c r="C442" s="735" t="s">
        <v>451</v>
      </c>
      <c r="D442" s="644" t="s">
        <v>3501</v>
      </c>
      <c r="E442" s="736">
        <v>11000</v>
      </c>
      <c r="F442" s="737" t="s">
        <v>3502</v>
      </c>
      <c r="G442" s="738" t="s">
        <v>3503</v>
      </c>
      <c r="H442" s="644" t="s">
        <v>2629</v>
      </c>
      <c r="I442" s="636" t="s">
        <v>2180</v>
      </c>
      <c r="J442" s="644" t="s">
        <v>2180</v>
      </c>
      <c r="K442" s="739"/>
      <c r="L442" s="735">
        <v>12</v>
      </c>
      <c r="M442" s="736">
        <v>133476.24999999997</v>
      </c>
      <c r="N442" s="735"/>
      <c r="O442" s="735">
        <v>6</v>
      </c>
      <c r="P442" s="736">
        <v>66471.98</v>
      </c>
      <c r="Q442" s="214"/>
    </row>
    <row r="443" spans="1:17" ht="12" customHeight="1" x14ac:dyDescent="0.2">
      <c r="A443" s="735" t="s">
        <v>2169</v>
      </c>
      <c r="B443" s="735" t="s">
        <v>2170</v>
      </c>
      <c r="C443" s="735" t="s">
        <v>451</v>
      </c>
      <c r="D443" s="644" t="s">
        <v>3504</v>
      </c>
      <c r="E443" s="736">
        <v>10000</v>
      </c>
      <c r="F443" s="737" t="s">
        <v>3505</v>
      </c>
      <c r="G443" s="738" t="s">
        <v>3506</v>
      </c>
      <c r="H443" s="644" t="s">
        <v>2201</v>
      </c>
      <c r="I443" s="636" t="s">
        <v>2201</v>
      </c>
      <c r="J443" s="644"/>
      <c r="K443" s="739"/>
      <c r="L443" s="735">
        <v>4</v>
      </c>
      <c r="M443" s="736">
        <v>41453.599999999999</v>
      </c>
      <c r="N443" s="735"/>
      <c r="O443" s="735"/>
      <c r="P443" s="736"/>
      <c r="Q443" s="214"/>
    </row>
    <row r="444" spans="1:17" ht="12" customHeight="1" x14ac:dyDescent="0.2">
      <c r="A444" s="735" t="s">
        <v>2169</v>
      </c>
      <c r="B444" s="735" t="s">
        <v>2170</v>
      </c>
      <c r="C444" s="735" t="s">
        <v>451</v>
      </c>
      <c r="D444" s="644" t="s">
        <v>3507</v>
      </c>
      <c r="E444" s="736">
        <v>4600</v>
      </c>
      <c r="F444" s="737" t="s">
        <v>3508</v>
      </c>
      <c r="G444" s="738" t="s">
        <v>3509</v>
      </c>
      <c r="H444" s="644" t="s">
        <v>2253</v>
      </c>
      <c r="I444" s="636" t="s">
        <v>2254</v>
      </c>
      <c r="J444" s="644" t="s">
        <v>2254</v>
      </c>
      <c r="K444" s="739"/>
      <c r="L444" s="735">
        <v>12</v>
      </c>
      <c r="M444" s="736">
        <v>58002.600000000013</v>
      </c>
      <c r="N444" s="735"/>
      <c r="O444" s="735">
        <v>6</v>
      </c>
      <c r="P444" s="736">
        <v>28644.9</v>
      </c>
      <c r="Q444" s="214"/>
    </row>
    <row r="445" spans="1:17" ht="12" customHeight="1" x14ac:dyDescent="0.2">
      <c r="A445" s="735" t="s">
        <v>2169</v>
      </c>
      <c r="B445" s="735" t="s">
        <v>2170</v>
      </c>
      <c r="C445" s="735" t="s">
        <v>451</v>
      </c>
      <c r="D445" s="644" t="s">
        <v>2225</v>
      </c>
      <c r="E445" s="736">
        <v>12000</v>
      </c>
      <c r="F445" s="737" t="s">
        <v>3510</v>
      </c>
      <c r="G445" s="738" t="s">
        <v>3511</v>
      </c>
      <c r="H445" s="644" t="s">
        <v>2179</v>
      </c>
      <c r="I445" s="636" t="s">
        <v>2403</v>
      </c>
      <c r="J445" s="644" t="s">
        <v>2403</v>
      </c>
      <c r="K445" s="739"/>
      <c r="L445" s="735">
        <v>9</v>
      </c>
      <c r="M445" s="736">
        <v>99584.089999999982</v>
      </c>
      <c r="N445" s="735"/>
      <c r="O445" s="735"/>
      <c r="P445" s="736"/>
      <c r="Q445" s="214"/>
    </row>
    <row r="446" spans="1:17" ht="12" customHeight="1" x14ac:dyDescent="0.2">
      <c r="A446" s="735" t="s">
        <v>2169</v>
      </c>
      <c r="B446" s="735" t="s">
        <v>2170</v>
      </c>
      <c r="C446" s="735" t="s">
        <v>451</v>
      </c>
      <c r="D446" s="644" t="s">
        <v>3512</v>
      </c>
      <c r="E446" s="736">
        <v>13000</v>
      </c>
      <c r="F446" s="737" t="s">
        <v>3513</v>
      </c>
      <c r="G446" s="738" t="s">
        <v>3514</v>
      </c>
      <c r="H446" s="644" t="s">
        <v>2201</v>
      </c>
      <c r="I446" s="636" t="s">
        <v>2201</v>
      </c>
      <c r="J446" s="644"/>
      <c r="K446" s="739"/>
      <c r="L446" s="735">
        <v>6</v>
      </c>
      <c r="M446" s="736">
        <v>77567</v>
      </c>
      <c r="N446" s="735"/>
      <c r="O446" s="735">
        <v>2</v>
      </c>
      <c r="P446" s="736">
        <v>20787.189999999999</v>
      </c>
      <c r="Q446" s="214"/>
    </row>
    <row r="447" spans="1:17" ht="12" customHeight="1" x14ac:dyDescent="0.2">
      <c r="A447" s="735" t="s">
        <v>2169</v>
      </c>
      <c r="B447" s="735" t="s">
        <v>2170</v>
      </c>
      <c r="C447" s="735" t="s">
        <v>451</v>
      </c>
      <c r="D447" s="644" t="s">
        <v>3515</v>
      </c>
      <c r="E447" s="736">
        <v>13000</v>
      </c>
      <c r="F447" s="737" t="s">
        <v>3516</v>
      </c>
      <c r="G447" s="738" t="s">
        <v>3517</v>
      </c>
      <c r="H447" s="644" t="s">
        <v>2245</v>
      </c>
      <c r="I447" s="636" t="s">
        <v>2250</v>
      </c>
      <c r="J447" s="644" t="s">
        <v>2250</v>
      </c>
      <c r="K447" s="739"/>
      <c r="L447" s="735">
        <v>12</v>
      </c>
      <c r="M447" s="736">
        <v>157847.39999999997</v>
      </c>
      <c r="N447" s="735"/>
      <c r="O447" s="735">
        <v>6</v>
      </c>
      <c r="P447" s="736">
        <v>79044.899999999994</v>
      </c>
      <c r="Q447" s="214"/>
    </row>
    <row r="448" spans="1:17" ht="12" customHeight="1" x14ac:dyDescent="0.2">
      <c r="A448" s="735" t="s">
        <v>2169</v>
      </c>
      <c r="B448" s="735" t="s">
        <v>2170</v>
      </c>
      <c r="C448" s="735" t="s">
        <v>451</v>
      </c>
      <c r="D448" s="644" t="s">
        <v>3464</v>
      </c>
      <c r="E448" s="736">
        <v>2700</v>
      </c>
      <c r="F448" s="737" t="s">
        <v>3518</v>
      </c>
      <c r="G448" s="738" t="s">
        <v>3519</v>
      </c>
      <c r="H448" s="644" t="s">
        <v>2253</v>
      </c>
      <c r="I448" s="636" t="s">
        <v>2254</v>
      </c>
      <c r="J448" s="644" t="s">
        <v>2254</v>
      </c>
      <c r="K448" s="739"/>
      <c r="L448" s="735">
        <v>12</v>
      </c>
      <c r="M448" s="736">
        <v>34360.80000000001</v>
      </c>
      <c r="N448" s="735"/>
      <c r="O448" s="735">
        <v>6</v>
      </c>
      <c r="P448" s="736">
        <v>17244.900000000001</v>
      </c>
      <c r="Q448" s="214"/>
    </row>
    <row r="449" spans="1:17" ht="12" customHeight="1" x14ac:dyDescent="0.2">
      <c r="A449" s="735" t="s">
        <v>2169</v>
      </c>
      <c r="B449" s="735" t="s">
        <v>2170</v>
      </c>
      <c r="C449" s="735" t="s">
        <v>451</v>
      </c>
      <c r="D449" s="644" t="s">
        <v>2602</v>
      </c>
      <c r="E449" s="736">
        <v>4000</v>
      </c>
      <c r="F449" s="737" t="s">
        <v>3520</v>
      </c>
      <c r="G449" s="738" t="s">
        <v>3521</v>
      </c>
      <c r="H449" s="644" t="s">
        <v>3522</v>
      </c>
      <c r="I449" s="636" t="s">
        <v>2228</v>
      </c>
      <c r="J449" s="644" t="s">
        <v>3522</v>
      </c>
      <c r="K449" s="739"/>
      <c r="L449" s="735">
        <v>5</v>
      </c>
      <c r="M449" s="736">
        <v>19933.669999999998</v>
      </c>
      <c r="N449" s="735"/>
      <c r="O449" s="735">
        <v>6</v>
      </c>
      <c r="P449" s="736">
        <v>24973.64</v>
      </c>
      <c r="Q449" s="214"/>
    </row>
    <row r="450" spans="1:17" ht="12" customHeight="1" x14ac:dyDescent="0.2">
      <c r="A450" s="735" t="s">
        <v>2169</v>
      </c>
      <c r="B450" s="735" t="s">
        <v>2170</v>
      </c>
      <c r="C450" s="735" t="s">
        <v>451</v>
      </c>
      <c r="D450" s="644" t="s">
        <v>3523</v>
      </c>
      <c r="E450" s="736">
        <v>12000</v>
      </c>
      <c r="F450" s="737" t="s">
        <v>3524</v>
      </c>
      <c r="G450" s="738" t="s">
        <v>3525</v>
      </c>
      <c r="H450" s="644" t="s">
        <v>2179</v>
      </c>
      <c r="I450" s="636" t="s">
        <v>2175</v>
      </c>
      <c r="J450" s="644"/>
      <c r="K450" s="739"/>
      <c r="L450" s="735">
        <v>8</v>
      </c>
      <c r="M450" s="736">
        <v>88907.199999999997</v>
      </c>
      <c r="N450" s="735"/>
      <c r="O450" s="735">
        <v>6</v>
      </c>
      <c r="P450" s="736">
        <v>73008.69</v>
      </c>
      <c r="Q450" s="214"/>
    </row>
    <row r="451" spans="1:17" ht="12" customHeight="1" x14ac:dyDescent="0.2">
      <c r="A451" s="735" t="s">
        <v>2169</v>
      </c>
      <c r="B451" s="735" t="s">
        <v>2170</v>
      </c>
      <c r="C451" s="735" t="s">
        <v>451</v>
      </c>
      <c r="D451" s="644" t="s">
        <v>2190</v>
      </c>
      <c r="E451" s="736">
        <v>3000</v>
      </c>
      <c r="F451" s="737" t="s">
        <v>3526</v>
      </c>
      <c r="G451" s="738" t="s">
        <v>3527</v>
      </c>
      <c r="H451" s="644" t="s">
        <v>2201</v>
      </c>
      <c r="I451" s="636"/>
      <c r="J451" s="644"/>
      <c r="K451" s="739"/>
      <c r="L451" s="735">
        <v>12</v>
      </c>
      <c r="M451" s="736">
        <v>37959.710000000006</v>
      </c>
      <c r="N451" s="735"/>
      <c r="O451" s="735">
        <v>6</v>
      </c>
      <c r="P451" s="736">
        <v>19042.96</v>
      </c>
      <c r="Q451" s="214"/>
    </row>
    <row r="452" spans="1:17" ht="12" customHeight="1" x14ac:dyDescent="0.2">
      <c r="A452" s="735" t="s">
        <v>2169</v>
      </c>
      <c r="B452" s="735" t="s">
        <v>2170</v>
      </c>
      <c r="C452" s="735" t="s">
        <v>451</v>
      </c>
      <c r="D452" s="644" t="s">
        <v>3528</v>
      </c>
      <c r="E452" s="736">
        <v>14000</v>
      </c>
      <c r="F452" s="737" t="s">
        <v>3529</v>
      </c>
      <c r="G452" s="738" t="s">
        <v>3530</v>
      </c>
      <c r="H452" s="644" t="s">
        <v>2629</v>
      </c>
      <c r="I452" s="636" t="s">
        <v>2180</v>
      </c>
      <c r="J452" s="644" t="s">
        <v>2180</v>
      </c>
      <c r="K452" s="739"/>
      <c r="L452" s="735">
        <v>12</v>
      </c>
      <c r="M452" s="736">
        <v>169847.39999999997</v>
      </c>
      <c r="N452" s="735"/>
      <c r="O452" s="735">
        <v>6</v>
      </c>
      <c r="P452" s="736">
        <v>85044.9</v>
      </c>
      <c r="Q452" s="214"/>
    </row>
    <row r="453" spans="1:17" ht="12" customHeight="1" x14ac:dyDescent="0.2">
      <c r="A453" s="735" t="s">
        <v>2169</v>
      </c>
      <c r="B453" s="735" t="s">
        <v>2170</v>
      </c>
      <c r="C453" s="735" t="s">
        <v>451</v>
      </c>
      <c r="D453" s="644" t="s">
        <v>2346</v>
      </c>
      <c r="E453" s="736">
        <v>5500</v>
      </c>
      <c r="F453" s="737" t="s">
        <v>3531</v>
      </c>
      <c r="G453" s="738" t="s">
        <v>3532</v>
      </c>
      <c r="H453" s="644" t="s">
        <v>2346</v>
      </c>
      <c r="I453" s="636" t="s">
        <v>2241</v>
      </c>
      <c r="J453" s="644" t="s">
        <v>2241</v>
      </c>
      <c r="K453" s="739"/>
      <c r="L453" s="735">
        <v>12</v>
      </c>
      <c r="M453" s="736">
        <v>68327.47</v>
      </c>
      <c r="N453" s="735"/>
      <c r="O453" s="735">
        <v>6</v>
      </c>
      <c r="P453" s="736">
        <v>34042.92</v>
      </c>
      <c r="Q453" s="214"/>
    </row>
    <row r="454" spans="1:17" ht="12" customHeight="1" x14ac:dyDescent="0.2">
      <c r="A454" s="735" t="s">
        <v>2169</v>
      </c>
      <c r="B454" s="735" t="s">
        <v>2170</v>
      </c>
      <c r="C454" s="735" t="s">
        <v>451</v>
      </c>
      <c r="D454" s="644" t="s">
        <v>3533</v>
      </c>
      <c r="E454" s="736">
        <v>9500</v>
      </c>
      <c r="F454" s="737" t="s">
        <v>3534</v>
      </c>
      <c r="G454" s="738" t="s">
        <v>3535</v>
      </c>
      <c r="H454" s="644" t="s">
        <v>2317</v>
      </c>
      <c r="I454" s="636" t="s">
        <v>2180</v>
      </c>
      <c r="J454" s="644" t="s">
        <v>2180</v>
      </c>
      <c r="K454" s="739"/>
      <c r="L454" s="735">
        <v>12</v>
      </c>
      <c r="M454" s="736">
        <v>115960.79999999997</v>
      </c>
      <c r="N454" s="735"/>
      <c r="O454" s="735">
        <v>6</v>
      </c>
      <c r="P454" s="736">
        <v>58037.4</v>
      </c>
      <c r="Q454" s="214"/>
    </row>
    <row r="455" spans="1:17" ht="12" customHeight="1" x14ac:dyDescent="0.2">
      <c r="A455" s="735" t="s">
        <v>2169</v>
      </c>
      <c r="B455" s="735" t="s">
        <v>2170</v>
      </c>
      <c r="C455" s="735" t="s">
        <v>451</v>
      </c>
      <c r="D455" s="644" t="s">
        <v>3536</v>
      </c>
      <c r="E455" s="736">
        <v>7000</v>
      </c>
      <c r="F455" s="737" t="s">
        <v>3537</v>
      </c>
      <c r="G455" s="738" t="s">
        <v>3538</v>
      </c>
      <c r="H455" s="644" t="s">
        <v>2189</v>
      </c>
      <c r="I455" s="636" t="s">
        <v>2180</v>
      </c>
      <c r="J455" s="644" t="s">
        <v>2180</v>
      </c>
      <c r="K455" s="739"/>
      <c r="L455" s="735">
        <v>8</v>
      </c>
      <c r="M455" s="736">
        <v>57204.030000000006</v>
      </c>
      <c r="N455" s="735"/>
      <c r="O455" s="735"/>
      <c r="P455" s="736"/>
      <c r="Q455" s="214"/>
    </row>
    <row r="456" spans="1:17" ht="12" customHeight="1" x14ac:dyDescent="0.2">
      <c r="A456" s="735" t="s">
        <v>2169</v>
      </c>
      <c r="B456" s="735" t="s">
        <v>2170</v>
      </c>
      <c r="C456" s="735" t="s">
        <v>451</v>
      </c>
      <c r="D456" s="644" t="s">
        <v>3539</v>
      </c>
      <c r="E456" s="736">
        <v>9000</v>
      </c>
      <c r="F456" s="737" t="s">
        <v>3540</v>
      </c>
      <c r="G456" s="738" t="s">
        <v>3541</v>
      </c>
      <c r="H456" s="644" t="s">
        <v>3542</v>
      </c>
      <c r="I456" s="636" t="s">
        <v>2652</v>
      </c>
      <c r="J456" s="644"/>
      <c r="K456" s="739"/>
      <c r="L456" s="735">
        <v>7</v>
      </c>
      <c r="M456" s="736">
        <v>60493.8</v>
      </c>
      <c r="N456" s="735"/>
      <c r="O456" s="735">
        <v>6</v>
      </c>
      <c r="P456" s="736">
        <v>55044.9</v>
      </c>
      <c r="Q456" s="214"/>
    </row>
    <row r="457" spans="1:17" ht="12" customHeight="1" x14ac:dyDescent="0.2">
      <c r="A457" s="735" t="s">
        <v>2169</v>
      </c>
      <c r="B457" s="735" t="s">
        <v>2170</v>
      </c>
      <c r="C457" s="735" t="s">
        <v>451</v>
      </c>
      <c r="D457" s="644" t="s">
        <v>3543</v>
      </c>
      <c r="E457" s="736">
        <v>6000</v>
      </c>
      <c r="F457" s="737" t="s">
        <v>3544</v>
      </c>
      <c r="G457" s="738" t="s">
        <v>3545</v>
      </c>
      <c r="H457" s="644" t="s">
        <v>2317</v>
      </c>
      <c r="I457" s="636" t="s">
        <v>2250</v>
      </c>
      <c r="J457" s="644" t="s">
        <v>2250</v>
      </c>
      <c r="K457" s="739"/>
      <c r="L457" s="735">
        <v>9</v>
      </c>
      <c r="M457" s="736">
        <v>55720.600000000006</v>
      </c>
      <c r="N457" s="735"/>
      <c r="O457" s="735"/>
      <c r="P457" s="736"/>
      <c r="Q457" s="214"/>
    </row>
    <row r="458" spans="1:17" ht="12" customHeight="1" x14ac:dyDescent="0.2">
      <c r="A458" s="735" t="s">
        <v>2169</v>
      </c>
      <c r="B458" s="735" t="s">
        <v>2170</v>
      </c>
      <c r="C458" s="735" t="s">
        <v>451</v>
      </c>
      <c r="D458" s="644" t="s">
        <v>3546</v>
      </c>
      <c r="E458" s="736">
        <v>15600</v>
      </c>
      <c r="F458" s="737" t="s">
        <v>3547</v>
      </c>
      <c r="G458" s="738" t="s">
        <v>3548</v>
      </c>
      <c r="H458" s="644" t="s">
        <v>2201</v>
      </c>
      <c r="I458" s="636" t="s">
        <v>2201</v>
      </c>
      <c r="J458" s="644"/>
      <c r="K458" s="739"/>
      <c r="L458" s="735">
        <v>1</v>
      </c>
      <c r="M458" s="736">
        <v>5313.4</v>
      </c>
      <c r="N458" s="735"/>
      <c r="O458" s="735"/>
      <c r="P458" s="736"/>
      <c r="Q458" s="214"/>
    </row>
    <row r="459" spans="1:17" ht="12" customHeight="1" x14ac:dyDescent="0.2">
      <c r="A459" s="735" t="s">
        <v>2169</v>
      </c>
      <c r="B459" s="735" t="s">
        <v>2170</v>
      </c>
      <c r="C459" s="735" t="s">
        <v>451</v>
      </c>
      <c r="D459" s="644" t="s">
        <v>2772</v>
      </c>
      <c r="E459" s="736">
        <v>3500</v>
      </c>
      <c r="F459" s="737" t="s">
        <v>3549</v>
      </c>
      <c r="G459" s="738" t="s">
        <v>3550</v>
      </c>
      <c r="H459" s="644" t="s">
        <v>3178</v>
      </c>
      <c r="I459" s="636" t="s">
        <v>2284</v>
      </c>
      <c r="J459" s="644" t="s">
        <v>2284</v>
      </c>
      <c r="K459" s="739"/>
      <c r="L459" s="735">
        <v>12</v>
      </c>
      <c r="M459" s="736">
        <v>43821.37000000001</v>
      </c>
      <c r="N459" s="735"/>
      <c r="O459" s="735">
        <v>6</v>
      </c>
      <c r="P459" s="736">
        <v>22044.65</v>
      </c>
      <c r="Q459" s="214"/>
    </row>
    <row r="460" spans="1:17" ht="12" customHeight="1" x14ac:dyDescent="0.2">
      <c r="A460" s="735" t="s">
        <v>2169</v>
      </c>
      <c r="B460" s="735" t="s">
        <v>2170</v>
      </c>
      <c r="C460" s="735" t="s">
        <v>451</v>
      </c>
      <c r="D460" s="644" t="s">
        <v>3551</v>
      </c>
      <c r="E460" s="736">
        <v>5000</v>
      </c>
      <c r="F460" s="737" t="s">
        <v>3552</v>
      </c>
      <c r="G460" s="738" t="s">
        <v>3553</v>
      </c>
      <c r="H460" s="644" t="s">
        <v>2184</v>
      </c>
      <c r="I460" s="636" t="s">
        <v>2185</v>
      </c>
      <c r="J460" s="644" t="s">
        <v>2184</v>
      </c>
      <c r="K460" s="739"/>
      <c r="L460" s="735">
        <v>12</v>
      </c>
      <c r="M460" s="736">
        <v>63375.80000000001</v>
      </c>
      <c r="N460" s="735"/>
      <c r="O460" s="735">
        <v>3</v>
      </c>
      <c r="P460" s="736">
        <v>18744.669999999998</v>
      </c>
      <c r="Q460" s="214"/>
    </row>
    <row r="461" spans="1:17" ht="12" customHeight="1" x14ac:dyDescent="0.2">
      <c r="A461" s="735" t="s">
        <v>2169</v>
      </c>
      <c r="B461" s="735" t="s">
        <v>2170</v>
      </c>
      <c r="C461" s="735" t="s">
        <v>451</v>
      </c>
      <c r="D461" s="644" t="s">
        <v>3554</v>
      </c>
      <c r="E461" s="736">
        <v>15600</v>
      </c>
      <c r="F461" s="737" t="s">
        <v>3555</v>
      </c>
      <c r="G461" s="738" t="s">
        <v>3556</v>
      </c>
      <c r="H461" s="644" t="s">
        <v>2197</v>
      </c>
      <c r="I461" s="636" t="s">
        <v>2180</v>
      </c>
      <c r="J461" s="644" t="s">
        <v>2180</v>
      </c>
      <c r="K461" s="739"/>
      <c r="L461" s="735">
        <v>12</v>
      </c>
      <c r="M461" s="736">
        <v>189160.79999999996</v>
      </c>
      <c r="N461" s="735"/>
      <c r="O461" s="735">
        <v>6</v>
      </c>
      <c r="P461" s="736">
        <v>93084.9</v>
      </c>
      <c r="Q461" s="214"/>
    </row>
    <row r="462" spans="1:17" ht="12" customHeight="1" x14ac:dyDescent="0.2">
      <c r="A462" s="735" t="s">
        <v>2169</v>
      </c>
      <c r="B462" s="735" t="s">
        <v>2170</v>
      </c>
      <c r="C462" s="735" t="s">
        <v>451</v>
      </c>
      <c r="D462" s="644" t="s">
        <v>3557</v>
      </c>
      <c r="E462" s="736">
        <v>8000</v>
      </c>
      <c r="F462" s="737" t="s">
        <v>3558</v>
      </c>
      <c r="G462" s="738" t="s">
        <v>3559</v>
      </c>
      <c r="H462" s="644" t="s">
        <v>2478</v>
      </c>
      <c r="I462" s="636" t="s">
        <v>2250</v>
      </c>
      <c r="J462" s="644" t="s">
        <v>2250</v>
      </c>
      <c r="K462" s="739"/>
      <c r="L462" s="735">
        <v>12</v>
      </c>
      <c r="M462" s="736">
        <v>97960.799999999988</v>
      </c>
      <c r="N462" s="735"/>
      <c r="O462" s="735">
        <v>6</v>
      </c>
      <c r="P462" s="736">
        <v>49044.9</v>
      </c>
      <c r="Q462" s="214"/>
    </row>
    <row r="463" spans="1:17" ht="12" customHeight="1" x14ac:dyDescent="0.2">
      <c r="A463" s="735" t="s">
        <v>2169</v>
      </c>
      <c r="B463" s="735" t="s">
        <v>2170</v>
      </c>
      <c r="C463" s="735" t="s">
        <v>451</v>
      </c>
      <c r="D463" s="644" t="s">
        <v>3560</v>
      </c>
      <c r="E463" s="736">
        <v>4000</v>
      </c>
      <c r="F463" s="737" t="s">
        <v>3561</v>
      </c>
      <c r="G463" s="738" t="s">
        <v>3562</v>
      </c>
      <c r="H463" s="644" t="s">
        <v>3563</v>
      </c>
      <c r="I463" s="636" t="s">
        <v>3025</v>
      </c>
      <c r="J463" s="644" t="s">
        <v>3563</v>
      </c>
      <c r="K463" s="739"/>
      <c r="L463" s="735">
        <v>12</v>
      </c>
      <c r="M463" s="736">
        <v>49924.160000000011</v>
      </c>
      <c r="N463" s="735"/>
      <c r="O463" s="735">
        <v>6</v>
      </c>
      <c r="P463" s="736">
        <v>24967.310000000005</v>
      </c>
      <c r="Q463" s="214"/>
    </row>
    <row r="464" spans="1:17" ht="12" customHeight="1" x14ac:dyDescent="0.2">
      <c r="A464" s="735" t="s">
        <v>2169</v>
      </c>
      <c r="B464" s="735" t="s">
        <v>2170</v>
      </c>
      <c r="C464" s="735" t="s">
        <v>451</v>
      </c>
      <c r="D464" s="644" t="s">
        <v>3564</v>
      </c>
      <c r="E464" s="736">
        <v>8000</v>
      </c>
      <c r="F464" s="737" t="s">
        <v>3565</v>
      </c>
      <c r="G464" s="738" t="s">
        <v>3566</v>
      </c>
      <c r="H464" s="644" t="s">
        <v>3567</v>
      </c>
      <c r="I464" s="636" t="s">
        <v>2180</v>
      </c>
      <c r="J464" s="644" t="s">
        <v>2180</v>
      </c>
      <c r="K464" s="739"/>
      <c r="L464" s="735">
        <v>12</v>
      </c>
      <c r="M464" s="736">
        <v>98841.599999999977</v>
      </c>
      <c r="N464" s="735"/>
      <c r="O464" s="735">
        <v>6</v>
      </c>
      <c r="P464" s="736">
        <v>49044.9</v>
      </c>
      <c r="Q464" s="214"/>
    </row>
    <row r="465" spans="1:17" ht="12" customHeight="1" x14ac:dyDescent="0.2">
      <c r="A465" s="735" t="s">
        <v>2169</v>
      </c>
      <c r="B465" s="735" t="s">
        <v>2170</v>
      </c>
      <c r="C465" s="735" t="s">
        <v>451</v>
      </c>
      <c r="D465" s="644" t="s">
        <v>3568</v>
      </c>
      <c r="E465" s="736">
        <v>12000</v>
      </c>
      <c r="F465" s="737" t="s">
        <v>3569</v>
      </c>
      <c r="G465" s="738" t="s">
        <v>3570</v>
      </c>
      <c r="H465" s="644" t="s">
        <v>2201</v>
      </c>
      <c r="I465" s="636"/>
      <c r="J465" s="644"/>
      <c r="K465" s="739"/>
      <c r="L465" s="735">
        <v>10</v>
      </c>
      <c r="M465" s="736">
        <v>110538.98999999998</v>
      </c>
      <c r="N465" s="735"/>
      <c r="O465" s="735"/>
      <c r="P465" s="736"/>
      <c r="Q465" s="214"/>
    </row>
    <row r="466" spans="1:17" ht="12" customHeight="1" x14ac:dyDescent="0.2">
      <c r="A466" s="735" t="s">
        <v>2169</v>
      </c>
      <c r="B466" s="735" t="s">
        <v>2170</v>
      </c>
      <c r="C466" s="735" t="s">
        <v>451</v>
      </c>
      <c r="D466" s="644" t="s">
        <v>3571</v>
      </c>
      <c r="E466" s="736">
        <v>4600</v>
      </c>
      <c r="F466" s="737" t="s">
        <v>3572</v>
      </c>
      <c r="G466" s="738" t="s">
        <v>3573</v>
      </c>
      <c r="H466" s="644" t="s">
        <v>2184</v>
      </c>
      <c r="I466" s="636" t="s">
        <v>2254</v>
      </c>
      <c r="J466" s="644" t="s">
        <v>2254</v>
      </c>
      <c r="K466" s="739"/>
      <c r="L466" s="735">
        <v>12</v>
      </c>
      <c r="M466" s="736">
        <v>58002.600000000013</v>
      </c>
      <c r="N466" s="735"/>
      <c r="O466" s="735">
        <v>6</v>
      </c>
      <c r="P466" s="736">
        <v>28644.9</v>
      </c>
      <c r="Q466" s="214"/>
    </row>
    <row r="467" spans="1:17" ht="12" customHeight="1" x14ac:dyDescent="0.2">
      <c r="A467" s="735" t="s">
        <v>2169</v>
      </c>
      <c r="B467" s="735" t="s">
        <v>2170</v>
      </c>
      <c r="C467" s="735" t="s">
        <v>451</v>
      </c>
      <c r="D467" s="644" t="s">
        <v>3574</v>
      </c>
      <c r="E467" s="736">
        <v>10000</v>
      </c>
      <c r="F467" s="737" t="s">
        <v>3575</v>
      </c>
      <c r="G467" s="738" t="s">
        <v>3576</v>
      </c>
      <c r="H467" s="644" t="s">
        <v>3577</v>
      </c>
      <c r="I467" s="636" t="s">
        <v>2175</v>
      </c>
      <c r="J467" s="644"/>
      <c r="K467" s="739"/>
      <c r="L467" s="735">
        <v>5</v>
      </c>
      <c r="M467" s="736">
        <v>48753.599999999999</v>
      </c>
      <c r="N467" s="735"/>
      <c r="O467" s="735">
        <v>7</v>
      </c>
      <c r="P467" s="736">
        <v>60967.320000000007</v>
      </c>
      <c r="Q467" s="214"/>
    </row>
    <row r="468" spans="1:17" ht="12" customHeight="1" x14ac:dyDescent="0.2">
      <c r="A468" s="735" t="s">
        <v>2169</v>
      </c>
      <c r="B468" s="735" t="s">
        <v>2170</v>
      </c>
      <c r="C468" s="735" t="s">
        <v>451</v>
      </c>
      <c r="D468" s="644" t="s">
        <v>3578</v>
      </c>
      <c r="E468" s="736">
        <v>5500</v>
      </c>
      <c r="F468" s="737" t="s">
        <v>3579</v>
      </c>
      <c r="G468" s="738" t="s">
        <v>3580</v>
      </c>
      <c r="H468" s="644" t="s">
        <v>3581</v>
      </c>
      <c r="I468" s="636" t="s">
        <v>3025</v>
      </c>
      <c r="J468" s="644" t="s">
        <v>3581</v>
      </c>
      <c r="K468" s="739"/>
      <c r="L468" s="735">
        <v>12</v>
      </c>
      <c r="M468" s="736">
        <v>68510.3</v>
      </c>
      <c r="N468" s="735"/>
      <c r="O468" s="735">
        <v>6</v>
      </c>
      <c r="P468" s="736">
        <v>33846.94</v>
      </c>
      <c r="Q468" s="214"/>
    </row>
    <row r="469" spans="1:17" ht="12" customHeight="1" x14ac:dyDescent="0.2">
      <c r="A469" s="735" t="s">
        <v>2169</v>
      </c>
      <c r="B469" s="735" t="s">
        <v>2170</v>
      </c>
      <c r="C469" s="735" t="s">
        <v>451</v>
      </c>
      <c r="D469" s="644" t="s">
        <v>3582</v>
      </c>
      <c r="E469" s="736">
        <v>7000</v>
      </c>
      <c r="F469" s="737" t="s">
        <v>3583</v>
      </c>
      <c r="G469" s="738" t="s">
        <v>3584</v>
      </c>
      <c r="H469" s="644" t="s">
        <v>2174</v>
      </c>
      <c r="I469" s="636" t="s">
        <v>2246</v>
      </c>
      <c r="J469" s="644" t="s">
        <v>2174</v>
      </c>
      <c r="K469" s="739"/>
      <c r="L469" s="735">
        <v>12</v>
      </c>
      <c r="M469" s="736">
        <v>85960.799999999988</v>
      </c>
      <c r="N469" s="735"/>
      <c r="O469" s="735">
        <v>6</v>
      </c>
      <c r="P469" s="736">
        <v>43044.9</v>
      </c>
      <c r="Q469" s="214"/>
    </row>
    <row r="470" spans="1:17" ht="12" customHeight="1" x14ac:dyDescent="0.2">
      <c r="A470" s="735" t="s">
        <v>2169</v>
      </c>
      <c r="B470" s="735" t="s">
        <v>2170</v>
      </c>
      <c r="C470" s="735" t="s">
        <v>451</v>
      </c>
      <c r="D470" s="644" t="s">
        <v>3585</v>
      </c>
      <c r="E470" s="736">
        <v>8000</v>
      </c>
      <c r="F470" s="737" t="s">
        <v>3586</v>
      </c>
      <c r="G470" s="738" t="s">
        <v>3587</v>
      </c>
      <c r="H470" s="644" t="s">
        <v>2236</v>
      </c>
      <c r="I470" s="636" t="s">
        <v>2246</v>
      </c>
      <c r="J470" s="644" t="s">
        <v>2236</v>
      </c>
      <c r="K470" s="739"/>
      <c r="L470" s="735">
        <v>12</v>
      </c>
      <c r="M470" s="736">
        <v>98362.599999999977</v>
      </c>
      <c r="N470" s="735"/>
      <c r="O470" s="735">
        <v>6</v>
      </c>
      <c r="P470" s="736">
        <v>48911.570000000007</v>
      </c>
      <c r="Q470" s="214"/>
    </row>
    <row r="471" spans="1:17" ht="12" customHeight="1" x14ac:dyDescent="0.2">
      <c r="A471" s="735" t="s">
        <v>2169</v>
      </c>
      <c r="B471" s="735" t="s">
        <v>2170</v>
      </c>
      <c r="C471" s="735" t="s">
        <v>451</v>
      </c>
      <c r="D471" s="644" t="s">
        <v>3588</v>
      </c>
      <c r="E471" s="736">
        <v>2000</v>
      </c>
      <c r="F471" s="737" t="s">
        <v>3589</v>
      </c>
      <c r="G471" s="738" t="s">
        <v>3590</v>
      </c>
      <c r="H471" s="644" t="s">
        <v>2253</v>
      </c>
      <c r="I471" s="636" t="s">
        <v>2254</v>
      </c>
      <c r="J471" s="644" t="s">
        <v>2254</v>
      </c>
      <c r="K471" s="739"/>
      <c r="L471" s="735">
        <v>12</v>
      </c>
      <c r="M471" s="736">
        <v>25960.800000000007</v>
      </c>
      <c r="N471" s="735"/>
      <c r="O471" s="735">
        <v>6</v>
      </c>
      <c r="P471" s="736">
        <v>12901.869999999999</v>
      </c>
      <c r="Q471" s="214"/>
    </row>
    <row r="472" spans="1:17" ht="12" customHeight="1" x14ac:dyDescent="0.2">
      <c r="A472" s="735" t="s">
        <v>2169</v>
      </c>
      <c r="B472" s="735" t="s">
        <v>2170</v>
      </c>
      <c r="C472" s="735" t="s">
        <v>451</v>
      </c>
      <c r="D472" s="644" t="s">
        <v>3591</v>
      </c>
      <c r="E472" s="736">
        <v>15600</v>
      </c>
      <c r="F472" s="737" t="s">
        <v>3592</v>
      </c>
      <c r="G472" s="738" t="s">
        <v>3593</v>
      </c>
      <c r="H472" s="644" t="s">
        <v>2197</v>
      </c>
      <c r="I472" s="636" t="s">
        <v>2246</v>
      </c>
      <c r="J472" s="644" t="s">
        <v>2197</v>
      </c>
      <c r="K472" s="739"/>
      <c r="L472" s="735">
        <v>12</v>
      </c>
      <c r="M472" s="736">
        <v>175364.12999999998</v>
      </c>
      <c r="N472" s="735"/>
      <c r="O472" s="735">
        <v>6</v>
      </c>
      <c r="P472" s="736">
        <v>93084.9</v>
      </c>
      <c r="Q472" s="214"/>
    </row>
    <row r="473" spans="1:17" ht="12" customHeight="1" x14ac:dyDescent="0.2">
      <c r="A473" s="735" t="s">
        <v>2169</v>
      </c>
      <c r="B473" s="735" t="s">
        <v>2170</v>
      </c>
      <c r="C473" s="735" t="s">
        <v>451</v>
      </c>
      <c r="D473" s="644" t="s">
        <v>3594</v>
      </c>
      <c r="E473" s="736">
        <v>4600</v>
      </c>
      <c r="F473" s="737" t="s">
        <v>3595</v>
      </c>
      <c r="G473" s="738" t="s">
        <v>3596</v>
      </c>
      <c r="H473" s="644" t="s">
        <v>2253</v>
      </c>
      <c r="I473" s="636" t="s">
        <v>2254</v>
      </c>
      <c r="J473" s="644" t="s">
        <v>2254</v>
      </c>
      <c r="K473" s="739"/>
      <c r="L473" s="735">
        <v>12</v>
      </c>
      <c r="M473" s="736">
        <v>58462.600000000013</v>
      </c>
      <c r="N473" s="735"/>
      <c r="O473" s="735">
        <v>6</v>
      </c>
      <c r="P473" s="736">
        <v>28644.9</v>
      </c>
      <c r="Q473" s="214"/>
    </row>
    <row r="474" spans="1:17" ht="12" customHeight="1" x14ac:dyDescent="0.2">
      <c r="A474" s="735" t="s">
        <v>2169</v>
      </c>
      <c r="B474" s="735" t="s">
        <v>2170</v>
      </c>
      <c r="C474" s="735" t="s">
        <v>451</v>
      </c>
      <c r="D474" s="644" t="s">
        <v>3597</v>
      </c>
      <c r="E474" s="736">
        <v>9000</v>
      </c>
      <c r="F474" s="737" t="s">
        <v>3598</v>
      </c>
      <c r="G474" s="738" t="s">
        <v>3599</v>
      </c>
      <c r="H474" s="644">
        <v>0</v>
      </c>
      <c r="I474" s="636">
        <v>0</v>
      </c>
      <c r="J474" s="644">
        <v>0</v>
      </c>
      <c r="K474" s="739"/>
      <c r="L474" s="735">
        <v>3</v>
      </c>
      <c r="M474" s="736">
        <v>27040.199999999997</v>
      </c>
      <c r="N474" s="735"/>
      <c r="O474" s="735"/>
      <c r="P474" s="736"/>
      <c r="Q474" s="214"/>
    </row>
    <row r="475" spans="1:17" ht="12" customHeight="1" x14ac:dyDescent="0.2">
      <c r="A475" s="735" t="s">
        <v>2169</v>
      </c>
      <c r="B475" s="735" t="s">
        <v>2170</v>
      </c>
      <c r="C475" s="735" t="s">
        <v>451</v>
      </c>
      <c r="D475" s="644" t="s">
        <v>3600</v>
      </c>
      <c r="E475" s="736">
        <v>7000</v>
      </c>
      <c r="F475" s="737" t="s">
        <v>3601</v>
      </c>
      <c r="G475" s="738" t="s">
        <v>3602</v>
      </c>
      <c r="H475" s="644" t="s">
        <v>2201</v>
      </c>
      <c r="I475" s="636"/>
      <c r="J475" s="644"/>
      <c r="K475" s="739"/>
      <c r="L475" s="735">
        <v>11</v>
      </c>
      <c r="M475" s="736">
        <v>78537.240000000005</v>
      </c>
      <c r="N475" s="735"/>
      <c r="O475" s="735"/>
      <c r="P475" s="736"/>
      <c r="Q475" s="214"/>
    </row>
    <row r="476" spans="1:17" ht="12" customHeight="1" x14ac:dyDescent="0.2">
      <c r="A476" s="735" t="s">
        <v>2169</v>
      </c>
      <c r="B476" s="735" t="s">
        <v>2170</v>
      </c>
      <c r="C476" s="735" t="s">
        <v>451</v>
      </c>
      <c r="D476" s="644" t="s">
        <v>3603</v>
      </c>
      <c r="E476" s="736">
        <v>8000</v>
      </c>
      <c r="F476" s="737" t="s">
        <v>3604</v>
      </c>
      <c r="G476" s="738" t="s">
        <v>3605</v>
      </c>
      <c r="H476" s="644" t="s">
        <v>2201</v>
      </c>
      <c r="I476" s="636"/>
      <c r="J476" s="644"/>
      <c r="K476" s="739"/>
      <c r="L476" s="735">
        <v>12</v>
      </c>
      <c r="M476" s="736">
        <v>97960.799999999988</v>
      </c>
      <c r="N476" s="735"/>
      <c r="O476" s="735">
        <v>6</v>
      </c>
      <c r="P476" s="736">
        <v>49044.9</v>
      </c>
      <c r="Q476" s="214"/>
    </row>
    <row r="477" spans="1:17" ht="12" customHeight="1" x14ac:dyDescent="0.2">
      <c r="A477" s="735" t="s">
        <v>2169</v>
      </c>
      <c r="B477" s="735" t="s">
        <v>2170</v>
      </c>
      <c r="C477" s="735" t="s">
        <v>451</v>
      </c>
      <c r="D477" s="644" t="s">
        <v>2190</v>
      </c>
      <c r="E477" s="736">
        <v>2800</v>
      </c>
      <c r="F477" s="737" t="s">
        <v>3606</v>
      </c>
      <c r="G477" s="738" t="s">
        <v>3607</v>
      </c>
      <c r="H477" s="644" t="s">
        <v>2201</v>
      </c>
      <c r="I477" s="636"/>
      <c r="J477" s="644"/>
      <c r="K477" s="739"/>
      <c r="L477" s="735">
        <v>12</v>
      </c>
      <c r="M477" s="736">
        <v>35560.55000000001</v>
      </c>
      <c r="N477" s="735"/>
      <c r="O477" s="735">
        <v>2</v>
      </c>
      <c r="P477" s="736">
        <v>6235.21</v>
      </c>
      <c r="Q477" s="214"/>
    </row>
    <row r="478" spans="1:17" ht="12" customHeight="1" x14ac:dyDescent="0.2">
      <c r="A478" s="735" t="s">
        <v>2169</v>
      </c>
      <c r="B478" s="735" t="s">
        <v>2170</v>
      </c>
      <c r="C478" s="735" t="s">
        <v>451</v>
      </c>
      <c r="D478" s="644" t="s">
        <v>3438</v>
      </c>
      <c r="E478" s="736">
        <v>7000</v>
      </c>
      <c r="F478" s="737" t="s">
        <v>3608</v>
      </c>
      <c r="G478" s="738" t="s">
        <v>3609</v>
      </c>
      <c r="H478" s="644" t="s">
        <v>3610</v>
      </c>
      <c r="I478" s="636" t="s">
        <v>2393</v>
      </c>
      <c r="J478" s="644" t="s">
        <v>2393</v>
      </c>
      <c r="K478" s="739"/>
      <c r="L478" s="735">
        <v>12</v>
      </c>
      <c r="M478" s="736">
        <v>85936.04</v>
      </c>
      <c r="N478" s="735"/>
      <c r="O478" s="735">
        <v>6</v>
      </c>
      <c r="P478" s="736">
        <v>43030.82</v>
      </c>
      <c r="Q478" s="214"/>
    </row>
    <row r="479" spans="1:17" ht="12" customHeight="1" x14ac:dyDescent="0.2">
      <c r="A479" s="735" t="s">
        <v>2169</v>
      </c>
      <c r="B479" s="735" t="s">
        <v>2170</v>
      </c>
      <c r="C479" s="735" t="s">
        <v>451</v>
      </c>
      <c r="D479" s="644" t="s">
        <v>3611</v>
      </c>
      <c r="E479" s="736">
        <v>3700</v>
      </c>
      <c r="F479" s="737" t="s">
        <v>3612</v>
      </c>
      <c r="G479" s="738" t="s">
        <v>3613</v>
      </c>
      <c r="H479" s="644" t="s">
        <v>2184</v>
      </c>
      <c r="I479" s="636" t="s">
        <v>2241</v>
      </c>
      <c r="J479" s="644" t="s">
        <v>2241</v>
      </c>
      <c r="K479" s="739"/>
      <c r="L479" s="735">
        <v>12</v>
      </c>
      <c r="M479" s="736">
        <v>46247.060000000005</v>
      </c>
      <c r="N479" s="735"/>
      <c r="O479" s="735">
        <v>6</v>
      </c>
      <c r="P479" s="736">
        <v>23244.9</v>
      </c>
      <c r="Q479" s="214"/>
    </row>
    <row r="480" spans="1:17" ht="12" customHeight="1" x14ac:dyDescent="0.2">
      <c r="A480" s="735" t="s">
        <v>2169</v>
      </c>
      <c r="B480" s="735" t="s">
        <v>2170</v>
      </c>
      <c r="C480" s="735" t="s">
        <v>451</v>
      </c>
      <c r="D480" s="644" t="s">
        <v>3614</v>
      </c>
      <c r="E480" s="736">
        <v>2000</v>
      </c>
      <c r="F480" s="737" t="s">
        <v>3615</v>
      </c>
      <c r="G480" s="738" t="s">
        <v>3616</v>
      </c>
      <c r="H480" s="644" t="s">
        <v>2184</v>
      </c>
      <c r="I480" s="636" t="s">
        <v>2185</v>
      </c>
      <c r="J480" s="644"/>
      <c r="K480" s="739"/>
      <c r="L480" s="735">
        <v>4</v>
      </c>
      <c r="M480" s="736">
        <v>6977.17</v>
      </c>
      <c r="N480" s="735"/>
      <c r="O480" s="735">
        <v>6</v>
      </c>
      <c r="P480" s="736">
        <v>12712.289999999999</v>
      </c>
      <c r="Q480" s="214"/>
    </row>
    <row r="481" spans="1:17" ht="12" customHeight="1" x14ac:dyDescent="0.2">
      <c r="A481" s="735" t="s">
        <v>2169</v>
      </c>
      <c r="B481" s="735" t="s">
        <v>2170</v>
      </c>
      <c r="C481" s="735" t="s">
        <v>451</v>
      </c>
      <c r="D481" s="644" t="s">
        <v>2202</v>
      </c>
      <c r="E481" s="736">
        <v>2700</v>
      </c>
      <c r="F481" s="737" t="s">
        <v>3617</v>
      </c>
      <c r="G481" s="738" t="s">
        <v>3618</v>
      </c>
      <c r="H481" s="644" t="s">
        <v>2184</v>
      </c>
      <c r="I481" s="636" t="s">
        <v>2254</v>
      </c>
      <c r="J481" s="644" t="s">
        <v>2254</v>
      </c>
      <c r="K481" s="739"/>
      <c r="L481" s="735">
        <v>12</v>
      </c>
      <c r="M481" s="736">
        <v>34360.80000000001</v>
      </c>
      <c r="N481" s="735"/>
      <c r="O481" s="735">
        <v>6</v>
      </c>
      <c r="P481" s="736">
        <v>17244.900000000001</v>
      </c>
      <c r="Q481" s="214"/>
    </row>
    <row r="482" spans="1:17" ht="12" customHeight="1" x14ac:dyDescent="0.2">
      <c r="A482" s="735" t="s">
        <v>2169</v>
      </c>
      <c r="B482" s="735" t="s">
        <v>2170</v>
      </c>
      <c r="C482" s="735" t="s">
        <v>451</v>
      </c>
      <c r="D482" s="644" t="s">
        <v>3619</v>
      </c>
      <c r="E482" s="736">
        <v>6000</v>
      </c>
      <c r="F482" s="737" t="s">
        <v>3620</v>
      </c>
      <c r="G482" s="738" t="s">
        <v>3621</v>
      </c>
      <c r="H482" s="644" t="s">
        <v>3622</v>
      </c>
      <c r="I482" s="636" t="s">
        <v>2250</v>
      </c>
      <c r="J482" s="644" t="s">
        <v>2250</v>
      </c>
      <c r="K482" s="739"/>
      <c r="L482" s="735">
        <v>12</v>
      </c>
      <c r="M482" s="736">
        <v>73960.800000000003</v>
      </c>
      <c r="N482" s="735"/>
      <c r="O482" s="735">
        <v>6</v>
      </c>
      <c r="P482" s="736">
        <v>37032.83</v>
      </c>
      <c r="Q482" s="214"/>
    </row>
    <row r="483" spans="1:17" ht="12" customHeight="1" x14ac:dyDescent="0.2">
      <c r="A483" s="735" t="s">
        <v>2169</v>
      </c>
      <c r="B483" s="735" t="s">
        <v>2170</v>
      </c>
      <c r="C483" s="735" t="s">
        <v>451</v>
      </c>
      <c r="D483" s="644" t="s">
        <v>3623</v>
      </c>
      <c r="E483" s="736">
        <v>9000</v>
      </c>
      <c r="F483" s="737" t="s">
        <v>3624</v>
      </c>
      <c r="G483" s="738" t="s">
        <v>3625</v>
      </c>
      <c r="H483" s="644" t="s">
        <v>2201</v>
      </c>
      <c r="I483" s="636"/>
      <c r="J483" s="644"/>
      <c r="K483" s="739"/>
      <c r="L483" s="735">
        <v>12</v>
      </c>
      <c r="M483" s="736">
        <v>109960.79999999997</v>
      </c>
      <c r="N483" s="735"/>
      <c r="O483" s="735">
        <v>6</v>
      </c>
      <c r="P483" s="736">
        <v>55044.9</v>
      </c>
      <c r="Q483" s="214"/>
    </row>
    <row r="484" spans="1:17" ht="12" customHeight="1" x14ac:dyDescent="0.2">
      <c r="A484" s="735" t="s">
        <v>2169</v>
      </c>
      <c r="B484" s="735" t="s">
        <v>2170</v>
      </c>
      <c r="C484" s="735" t="s">
        <v>451</v>
      </c>
      <c r="D484" s="644" t="s">
        <v>3626</v>
      </c>
      <c r="E484" s="736">
        <v>7000</v>
      </c>
      <c r="F484" s="737" t="s">
        <v>3627</v>
      </c>
      <c r="G484" s="738" t="s">
        <v>3628</v>
      </c>
      <c r="H484" s="644" t="s">
        <v>3629</v>
      </c>
      <c r="I484" s="636" t="s">
        <v>2250</v>
      </c>
      <c r="J484" s="644" t="s">
        <v>2250</v>
      </c>
      <c r="K484" s="739"/>
      <c r="L484" s="735">
        <v>12</v>
      </c>
      <c r="M484" s="736">
        <v>85859.07</v>
      </c>
      <c r="N484" s="735"/>
      <c r="O484" s="735">
        <v>6</v>
      </c>
      <c r="P484" s="736">
        <v>43042.39</v>
      </c>
      <c r="Q484" s="214"/>
    </row>
    <row r="485" spans="1:17" ht="12" customHeight="1" x14ac:dyDescent="0.2">
      <c r="A485" s="735" t="s">
        <v>2169</v>
      </c>
      <c r="B485" s="735" t="s">
        <v>2170</v>
      </c>
      <c r="C485" s="735" t="s">
        <v>451</v>
      </c>
      <c r="D485" s="644" t="s">
        <v>3630</v>
      </c>
      <c r="E485" s="736">
        <v>8000</v>
      </c>
      <c r="F485" s="737" t="s">
        <v>3631</v>
      </c>
      <c r="G485" s="738" t="s">
        <v>3632</v>
      </c>
      <c r="H485" s="644" t="s">
        <v>2201</v>
      </c>
      <c r="I485" s="636" t="s">
        <v>2201</v>
      </c>
      <c r="J485" s="644"/>
      <c r="K485" s="739"/>
      <c r="L485" s="735">
        <v>4</v>
      </c>
      <c r="M485" s="736">
        <v>32006.87</v>
      </c>
      <c r="N485" s="735"/>
      <c r="O485" s="735">
        <v>2</v>
      </c>
      <c r="P485" s="736">
        <v>6551.93</v>
      </c>
      <c r="Q485" s="214"/>
    </row>
    <row r="486" spans="1:17" ht="12" customHeight="1" x14ac:dyDescent="0.2">
      <c r="A486" s="735" t="s">
        <v>2169</v>
      </c>
      <c r="B486" s="735" t="s">
        <v>2170</v>
      </c>
      <c r="C486" s="735" t="s">
        <v>451</v>
      </c>
      <c r="D486" s="644" t="s">
        <v>3633</v>
      </c>
      <c r="E486" s="736">
        <v>13000</v>
      </c>
      <c r="F486" s="737" t="s">
        <v>3634</v>
      </c>
      <c r="G486" s="738" t="s">
        <v>3635</v>
      </c>
      <c r="H486" s="644" t="s">
        <v>2201</v>
      </c>
      <c r="I486" s="636"/>
      <c r="J486" s="644"/>
      <c r="K486" s="739"/>
      <c r="L486" s="735">
        <v>3</v>
      </c>
      <c r="M486" s="736">
        <v>39340.199999999997</v>
      </c>
      <c r="N486" s="735"/>
      <c r="O486" s="735"/>
      <c r="P486" s="736"/>
      <c r="Q486" s="214"/>
    </row>
    <row r="487" spans="1:17" ht="12" customHeight="1" x14ac:dyDescent="0.2">
      <c r="A487" s="735" t="s">
        <v>2169</v>
      </c>
      <c r="B487" s="735" t="s">
        <v>2170</v>
      </c>
      <c r="C487" s="735" t="s">
        <v>451</v>
      </c>
      <c r="D487" s="644" t="s">
        <v>3636</v>
      </c>
      <c r="E487" s="736">
        <v>10000</v>
      </c>
      <c r="F487" s="737" t="s">
        <v>3637</v>
      </c>
      <c r="G487" s="738" t="s">
        <v>3638</v>
      </c>
      <c r="H487" s="644" t="s">
        <v>2420</v>
      </c>
      <c r="I487" s="636" t="s">
        <v>3256</v>
      </c>
      <c r="J487" s="644" t="s">
        <v>2420</v>
      </c>
      <c r="K487" s="739"/>
      <c r="L487" s="735">
        <v>12</v>
      </c>
      <c r="M487" s="736">
        <v>121959.88999999997</v>
      </c>
      <c r="N487" s="735"/>
      <c r="O487" s="735">
        <v>6</v>
      </c>
      <c r="P487" s="736">
        <v>60968.75</v>
      </c>
      <c r="Q487" s="214"/>
    </row>
    <row r="488" spans="1:17" ht="12" customHeight="1" x14ac:dyDescent="0.2">
      <c r="A488" s="735" t="s">
        <v>2169</v>
      </c>
      <c r="B488" s="735" t="s">
        <v>2170</v>
      </c>
      <c r="C488" s="735" t="s">
        <v>451</v>
      </c>
      <c r="D488" s="644" t="s">
        <v>3639</v>
      </c>
      <c r="E488" s="736">
        <v>2000</v>
      </c>
      <c r="F488" s="737" t="s">
        <v>3640</v>
      </c>
      <c r="G488" s="738" t="s">
        <v>3641</v>
      </c>
      <c r="H488" s="644" t="s">
        <v>2253</v>
      </c>
      <c r="I488" s="636" t="s">
        <v>2254</v>
      </c>
      <c r="J488" s="644" t="s">
        <v>2254</v>
      </c>
      <c r="K488" s="739"/>
      <c r="L488" s="735">
        <v>12</v>
      </c>
      <c r="M488" s="736">
        <v>25960.800000000007</v>
      </c>
      <c r="N488" s="735"/>
      <c r="O488" s="735">
        <v>6</v>
      </c>
      <c r="P488" s="736">
        <v>13042.46</v>
      </c>
      <c r="Q488" s="214"/>
    </row>
    <row r="489" spans="1:17" ht="12" customHeight="1" x14ac:dyDescent="0.2">
      <c r="A489" s="735" t="s">
        <v>2169</v>
      </c>
      <c r="B489" s="735" t="s">
        <v>2170</v>
      </c>
      <c r="C489" s="735" t="s">
        <v>451</v>
      </c>
      <c r="D489" s="644" t="s">
        <v>2560</v>
      </c>
      <c r="E489" s="736">
        <v>4000</v>
      </c>
      <c r="F489" s="737" t="s">
        <v>3642</v>
      </c>
      <c r="G489" s="738" t="s">
        <v>3643</v>
      </c>
      <c r="H489" s="644" t="s">
        <v>3644</v>
      </c>
      <c r="I489" s="636" t="s">
        <v>2250</v>
      </c>
      <c r="J489" s="644" t="s">
        <v>2250</v>
      </c>
      <c r="K489" s="739"/>
      <c r="L489" s="735">
        <v>12</v>
      </c>
      <c r="M489" s="736">
        <v>50091.590000000011</v>
      </c>
      <c r="N489" s="735"/>
      <c r="O489" s="735">
        <v>7</v>
      </c>
      <c r="P489" s="736">
        <v>40080.68</v>
      </c>
      <c r="Q489" s="214"/>
    </row>
    <row r="490" spans="1:17" ht="12" customHeight="1" x14ac:dyDescent="0.2">
      <c r="A490" s="735" t="s">
        <v>2169</v>
      </c>
      <c r="B490" s="735" t="s">
        <v>2170</v>
      </c>
      <c r="C490" s="735" t="s">
        <v>451</v>
      </c>
      <c r="D490" s="644" t="s">
        <v>3645</v>
      </c>
      <c r="E490" s="736">
        <v>4600</v>
      </c>
      <c r="F490" s="737" t="s">
        <v>3646</v>
      </c>
      <c r="G490" s="738" t="s">
        <v>3647</v>
      </c>
      <c r="H490" s="644" t="s">
        <v>2184</v>
      </c>
      <c r="I490" s="636" t="s">
        <v>2185</v>
      </c>
      <c r="J490" s="644"/>
      <c r="K490" s="739"/>
      <c r="L490" s="735">
        <v>2</v>
      </c>
      <c r="M490" s="736">
        <v>9833.4699999999993</v>
      </c>
      <c r="N490" s="735"/>
      <c r="O490" s="735">
        <v>6</v>
      </c>
      <c r="P490" s="736">
        <v>28644.9</v>
      </c>
      <c r="Q490" s="214"/>
    </row>
    <row r="491" spans="1:17" ht="12" customHeight="1" x14ac:dyDescent="0.2">
      <c r="A491" s="735" t="s">
        <v>2169</v>
      </c>
      <c r="B491" s="735" t="s">
        <v>2232</v>
      </c>
      <c r="C491" s="735" t="s">
        <v>451</v>
      </c>
      <c r="D491" s="644" t="s">
        <v>2272</v>
      </c>
      <c r="E491" s="736">
        <v>9500</v>
      </c>
      <c r="F491" s="737" t="s">
        <v>3648</v>
      </c>
      <c r="G491" s="738" t="s">
        <v>3649</v>
      </c>
      <c r="H491" s="644" t="s">
        <v>2317</v>
      </c>
      <c r="I491" s="636" t="s">
        <v>2250</v>
      </c>
      <c r="J491" s="644" t="s">
        <v>2250</v>
      </c>
      <c r="K491" s="739"/>
      <c r="L491" s="735">
        <v>11</v>
      </c>
      <c r="M491" s="736">
        <v>106343.38999999998</v>
      </c>
      <c r="N491" s="735"/>
      <c r="O491" s="735">
        <v>5</v>
      </c>
      <c r="P491" s="736">
        <v>48365.97</v>
      </c>
      <c r="Q491" s="214"/>
    </row>
    <row r="492" spans="1:17" ht="12" customHeight="1" x14ac:dyDescent="0.2">
      <c r="A492" s="735" t="s">
        <v>2169</v>
      </c>
      <c r="B492" s="735" t="s">
        <v>2170</v>
      </c>
      <c r="C492" s="735" t="s">
        <v>451</v>
      </c>
      <c r="D492" s="644" t="s">
        <v>2891</v>
      </c>
      <c r="E492" s="736">
        <v>10000</v>
      </c>
      <c r="F492" s="737" t="s">
        <v>3650</v>
      </c>
      <c r="G492" s="738" t="s">
        <v>3651</v>
      </c>
      <c r="H492" s="644" t="s">
        <v>2236</v>
      </c>
      <c r="I492" s="636" t="s">
        <v>2175</v>
      </c>
      <c r="J492" s="644" t="s">
        <v>2236</v>
      </c>
      <c r="K492" s="739"/>
      <c r="L492" s="735">
        <v>12</v>
      </c>
      <c r="M492" s="736">
        <v>122285.05999999997</v>
      </c>
      <c r="N492" s="735"/>
      <c r="O492" s="735">
        <v>6</v>
      </c>
      <c r="P492" s="736">
        <v>60989.58</v>
      </c>
      <c r="Q492" s="214"/>
    </row>
    <row r="493" spans="1:17" ht="12" customHeight="1" x14ac:dyDescent="0.2">
      <c r="A493" s="735" t="s">
        <v>2169</v>
      </c>
      <c r="B493" s="735" t="s">
        <v>2170</v>
      </c>
      <c r="C493" s="735" t="s">
        <v>451</v>
      </c>
      <c r="D493" s="644" t="s">
        <v>3652</v>
      </c>
      <c r="E493" s="736">
        <v>10000</v>
      </c>
      <c r="F493" s="737" t="s">
        <v>3653</v>
      </c>
      <c r="G493" s="738" t="s">
        <v>3654</v>
      </c>
      <c r="H493" s="644" t="s">
        <v>2174</v>
      </c>
      <c r="I493" s="636" t="s">
        <v>2175</v>
      </c>
      <c r="J493" s="644" t="s">
        <v>2174</v>
      </c>
      <c r="K493" s="739"/>
      <c r="L493" s="735">
        <v>10</v>
      </c>
      <c r="M493" s="736">
        <v>102070.73999999999</v>
      </c>
      <c r="N493" s="735"/>
      <c r="O493" s="735"/>
      <c r="P493" s="736"/>
      <c r="Q493" s="214"/>
    </row>
    <row r="494" spans="1:17" ht="12" customHeight="1" x14ac:dyDescent="0.2">
      <c r="A494" s="735" t="s">
        <v>2169</v>
      </c>
      <c r="B494" s="735" t="s">
        <v>2170</v>
      </c>
      <c r="C494" s="735" t="s">
        <v>451</v>
      </c>
      <c r="D494" s="644" t="s">
        <v>3655</v>
      </c>
      <c r="E494" s="736">
        <v>8000</v>
      </c>
      <c r="F494" s="737" t="s">
        <v>3656</v>
      </c>
      <c r="G494" s="738" t="s">
        <v>3657</v>
      </c>
      <c r="H494" s="644" t="s">
        <v>2543</v>
      </c>
      <c r="I494" s="636" t="s">
        <v>2246</v>
      </c>
      <c r="J494" s="644" t="s">
        <v>2543</v>
      </c>
      <c r="K494" s="739"/>
      <c r="L494" s="735">
        <v>12</v>
      </c>
      <c r="M494" s="736">
        <v>97580.73</v>
      </c>
      <c r="N494" s="735"/>
      <c r="O494" s="735">
        <v>6</v>
      </c>
      <c r="P494" s="736">
        <v>49044.9</v>
      </c>
      <c r="Q494" s="214"/>
    </row>
    <row r="495" spans="1:17" ht="12" customHeight="1" x14ac:dyDescent="0.2">
      <c r="A495" s="735" t="s">
        <v>2169</v>
      </c>
      <c r="B495" s="735" t="s">
        <v>2170</v>
      </c>
      <c r="C495" s="735" t="s">
        <v>451</v>
      </c>
      <c r="D495" s="644" t="s">
        <v>3658</v>
      </c>
      <c r="E495" s="736">
        <v>10000</v>
      </c>
      <c r="F495" s="737" t="s">
        <v>3659</v>
      </c>
      <c r="G495" s="738" t="s">
        <v>3660</v>
      </c>
      <c r="H495" s="644" t="s">
        <v>2208</v>
      </c>
      <c r="I495" s="636" t="s">
        <v>2250</v>
      </c>
      <c r="J495" s="644" t="s">
        <v>2250</v>
      </c>
      <c r="K495" s="739"/>
      <c r="L495" s="735">
        <v>12</v>
      </c>
      <c r="M495" s="736">
        <v>121785.71999999997</v>
      </c>
      <c r="N495" s="735"/>
      <c r="O495" s="735">
        <v>6</v>
      </c>
      <c r="P495" s="736">
        <v>60942.890000000007</v>
      </c>
      <c r="Q495" s="214"/>
    </row>
    <row r="496" spans="1:17" ht="12" customHeight="1" x14ac:dyDescent="0.2">
      <c r="A496" s="735" t="s">
        <v>2169</v>
      </c>
      <c r="B496" s="735" t="s">
        <v>2170</v>
      </c>
      <c r="C496" s="735" t="s">
        <v>451</v>
      </c>
      <c r="D496" s="644" t="s">
        <v>3661</v>
      </c>
      <c r="E496" s="736">
        <v>8000</v>
      </c>
      <c r="F496" s="737" t="s">
        <v>3662</v>
      </c>
      <c r="G496" s="738" t="s">
        <v>3663</v>
      </c>
      <c r="H496" s="644" t="s">
        <v>2201</v>
      </c>
      <c r="I496" s="636"/>
      <c r="J496" s="644"/>
      <c r="K496" s="739"/>
      <c r="L496" s="735">
        <v>4</v>
      </c>
      <c r="M496" s="736">
        <v>25786.2</v>
      </c>
      <c r="N496" s="735"/>
      <c r="O496" s="735"/>
      <c r="P496" s="736"/>
      <c r="Q496" s="214"/>
    </row>
    <row r="497" spans="1:17" ht="12" customHeight="1" x14ac:dyDescent="0.2">
      <c r="A497" s="735" t="s">
        <v>2169</v>
      </c>
      <c r="B497" s="735" t="s">
        <v>2170</v>
      </c>
      <c r="C497" s="735" t="s">
        <v>451</v>
      </c>
      <c r="D497" s="644" t="s">
        <v>3664</v>
      </c>
      <c r="E497" s="736">
        <v>5000</v>
      </c>
      <c r="F497" s="737" t="s">
        <v>3665</v>
      </c>
      <c r="G497" s="738" t="s">
        <v>3666</v>
      </c>
      <c r="H497" s="644" t="s">
        <v>2184</v>
      </c>
      <c r="I497" s="636" t="s">
        <v>2185</v>
      </c>
      <c r="J497" s="644" t="s">
        <v>2184</v>
      </c>
      <c r="K497" s="739"/>
      <c r="L497" s="735">
        <v>12</v>
      </c>
      <c r="M497" s="736">
        <v>62875.80000000001</v>
      </c>
      <c r="N497" s="735"/>
      <c r="O497" s="735">
        <v>6</v>
      </c>
      <c r="P497" s="736">
        <v>31044.9</v>
      </c>
      <c r="Q497" s="214"/>
    </row>
    <row r="498" spans="1:17" ht="12" customHeight="1" x14ac:dyDescent="0.2">
      <c r="A498" s="735" t="s">
        <v>2169</v>
      </c>
      <c r="B498" s="735" t="s">
        <v>2170</v>
      </c>
      <c r="C498" s="735" t="s">
        <v>451</v>
      </c>
      <c r="D498" s="644" t="s">
        <v>3594</v>
      </c>
      <c r="E498" s="736">
        <v>5000</v>
      </c>
      <c r="F498" s="737" t="s">
        <v>3667</v>
      </c>
      <c r="G498" s="738" t="s">
        <v>3668</v>
      </c>
      <c r="H498" s="644" t="s">
        <v>2201</v>
      </c>
      <c r="I498" s="636"/>
      <c r="J498" s="644"/>
      <c r="K498" s="739"/>
      <c r="L498" s="735">
        <v>12</v>
      </c>
      <c r="M498" s="736">
        <v>62875.80000000001</v>
      </c>
      <c r="N498" s="735"/>
      <c r="O498" s="735">
        <v>3</v>
      </c>
      <c r="P498" s="736">
        <v>19133.559999999998</v>
      </c>
      <c r="Q498" s="214"/>
    </row>
    <row r="499" spans="1:17" ht="12" customHeight="1" x14ac:dyDescent="0.2">
      <c r="A499" s="735" t="s">
        <v>2169</v>
      </c>
      <c r="B499" s="735" t="s">
        <v>2170</v>
      </c>
      <c r="C499" s="735" t="s">
        <v>451</v>
      </c>
      <c r="D499" s="644" t="s">
        <v>3669</v>
      </c>
      <c r="E499" s="736">
        <v>5000</v>
      </c>
      <c r="F499" s="737" t="s">
        <v>3670</v>
      </c>
      <c r="G499" s="738" t="s">
        <v>3671</v>
      </c>
      <c r="H499" s="644">
        <v>0</v>
      </c>
      <c r="I499" s="636">
        <v>0</v>
      </c>
      <c r="J499" s="644">
        <v>0</v>
      </c>
      <c r="K499" s="739"/>
      <c r="L499" s="735">
        <v>3</v>
      </c>
      <c r="M499" s="736">
        <v>15340.199999999999</v>
      </c>
      <c r="N499" s="735"/>
      <c r="O499" s="735"/>
      <c r="P499" s="736"/>
      <c r="Q499" s="214"/>
    </row>
    <row r="500" spans="1:17" ht="12" customHeight="1" x14ac:dyDescent="0.2">
      <c r="A500" s="735" t="s">
        <v>2169</v>
      </c>
      <c r="B500" s="735" t="s">
        <v>2170</v>
      </c>
      <c r="C500" s="735" t="s">
        <v>451</v>
      </c>
      <c r="D500" s="644" t="s">
        <v>3672</v>
      </c>
      <c r="E500" s="736">
        <v>6000</v>
      </c>
      <c r="F500" s="737" t="s">
        <v>3673</v>
      </c>
      <c r="G500" s="738" t="s">
        <v>3674</v>
      </c>
      <c r="H500" s="644">
        <v>0</v>
      </c>
      <c r="I500" s="636">
        <v>0</v>
      </c>
      <c r="J500" s="644">
        <v>0</v>
      </c>
      <c r="K500" s="739"/>
      <c r="L500" s="735">
        <v>7</v>
      </c>
      <c r="M500" s="736">
        <v>39045.360000000008</v>
      </c>
      <c r="N500" s="735"/>
      <c r="O500" s="735"/>
      <c r="P500" s="736"/>
      <c r="Q500" s="214"/>
    </row>
    <row r="501" spans="1:17" ht="12" customHeight="1" x14ac:dyDescent="0.2">
      <c r="A501" s="735" t="s">
        <v>2169</v>
      </c>
      <c r="B501" s="735" t="s">
        <v>2170</v>
      </c>
      <c r="C501" s="735" t="s">
        <v>451</v>
      </c>
      <c r="D501" s="644" t="s">
        <v>3675</v>
      </c>
      <c r="E501" s="736">
        <v>7000</v>
      </c>
      <c r="F501" s="737" t="s">
        <v>3676</v>
      </c>
      <c r="G501" s="738" t="s">
        <v>3677</v>
      </c>
      <c r="H501" s="644" t="s">
        <v>2279</v>
      </c>
      <c r="I501" s="636" t="s">
        <v>2180</v>
      </c>
      <c r="J501" s="644" t="s">
        <v>2180</v>
      </c>
      <c r="K501" s="739"/>
      <c r="L501" s="735">
        <v>11</v>
      </c>
      <c r="M501" s="736">
        <v>73647.400000000009</v>
      </c>
      <c r="N501" s="735"/>
      <c r="O501" s="735"/>
      <c r="P501" s="736"/>
      <c r="Q501" s="214"/>
    </row>
    <row r="502" spans="1:17" ht="12" customHeight="1" x14ac:dyDescent="0.2">
      <c r="A502" s="735" t="s">
        <v>2169</v>
      </c>
      <c r="B502" s="735" t="s">
        <v>2232</v>
      </c>
      <c r="C502" s="735" t="s">
        <v>451</v>
      </c>
      <c r="D502" s="644" t="s">
        <v>2602</v>
      </c>
      <c r="E502" s="736">
        <v>4800</v>
      </c>
      <c r="F502" s="737" t="s">
        <v>3678</v>
      </c>
      <c r="G502" s="738" t="s">
        <v>3679</v>
      </c>
      <c r="H502" s="644" t="s">
        <v>2184</v>
      </c>
      <c r="I502" s="636" t="s">
        <v>3256</v>
      </c>
      <c r="J502" s="644" t="s">
        <v>2184</v>
      </c>
      <c r="K502" s="739"/>
      <c r="L502" s="735">
        <v>12</v>
      </c>
      <c r="M502" s="736">
        <v>59560.80000000001</v>
      </c>
      <c r="N502" s="735"/>
      <c r="O502" s="735">
        <v>1</v>
      </c>
      <c r="P502" s="736">
        <v>3360.82</v>
      </c>
      <c r="Q502" s="214"/>
    </row>
    <row r="503" spans="1:17" ht="12" customHeight="1" x14ac:dyDescent="0.2">
      <c r="A503" s="735" t="s">
        <v>2169</v>
      </c>
      <c r="B503" s="735" t="s">
        <v>2170</v>
      </c>
      <c r="C503" s="735" t="s">
        <v>451</v>
      </c>
      <c r="D503" s="644" t="s">
        <v>3680</v>
      </c>
      <c r="E503" s="736">
        <v>3000</v>
      </c>
      <c r="F503" s="737" t="s">
        <v>3681</v>
      </c>
      <c r="G503" s="738" t="s">
        <v>3682</v>
      </c>
      <c r="H503" s="644" t="s">
        <v>2392</v>
      </c>
      <c r="I503" s="636" t="s">
        <v>2228</v>
      </c>
      <c r="J503" s="644" t="s">
        <v>2392</v>
      </c>
      <c r="K503" s="739"/>
      <c r="L503" s="735">
        <v>12</v>
      </c>
      <c r="M503" s="736">
        <v>37847.400000000009</v>
      </c>
      <c r="N503" s="735"/>
      <c r="O503" s="735">
        <v>2</v>
      </c>
      <c r="P503" s="736">
        <v>5111.97</v>
      </c>
      <c r="Q503" s="214"/>
    </row>
    <row r="504" spans="1:17" ht="12" customHeight="1" x14ac:dyDescent="0.2">
      <c r="A504" s="735" t="s">
        <v>2169</v>
      </c>
      <c r="B504" s="735" t="s">
        <v>2170</v>
      </c>
      <c r="C504" s="735" t="s">
        <v>451</v>
      </c>
      <c r="D504" s="644" t="s">
        <v>3585</v>
      </c>
      <c r="E504" s="736">
        <v>8000</v>
      </c>
      <c r="F504" s="737" t="s">
        <v>3683</v>
      </c>
      <c r="G504" s="738" t="s">
        <v>3684</v>
      </c>
      <c r="H504" s="644" t="s">
        <v>2201</v>
      </c>
      <c r="I504" s="636"/>
      <c r="J504" s="644"/>
      <c r="K504" s="739"/>
      <c r="L504" s="735">
        <v>12</v>
      </c>
      <c r="M504" s="736">
        <v>97845.219999999987</v>
      </c>
      <c r="N504" s="735"/>
      <c r="O504" s="735">
        <v>6</v>
      </c>
      <c r="P504" s="736">
        <v>49044.33</v>
      </c>
      <c r="Q504" s="214"/>
    </row>
    <row r="505" spans="1:17" ht="12" customHeight="1" x14ac:dyDescent="0.2">
      <c r="A505" s="735" t="s">
        <v>2169</v>
      </c>
      <c r="B505" s="735" t="s">
        <v>2170</v>
      </c>
      <c r="C505" s="735" t="s">
        <v>451</v>
      </c>
      <c r="D505" s="644" t="s">
        <v>3685</v>
      </c>
      <c r="E505" s="736">
        <v>15600</v>
      </c>
      <c r="F505" s="737" t="s">
        <v>3686</v>
      </c>
      <c r="G505" s="738" t="s">
        <v>3687</v>
      </c>
      <c r="H505" s="644" t="s">
        <v>2208</v>
      </c>
      <c r="I505" s="636" t="s">
        <v>2175</v>
      </c>
      <c r="J505" s="644"/>
      <c r="K505" s="739"/>
      <c r="L505" s="735">
        <v>3</v>
      </c>
      <c r="M505" s="736">
        <v>38806.800000000003</v>
      </c>
      <c r="N505" s="735"/>
      <c r="O505" s="735">
        <v>6</v>
      </c>
      <c r="P505" s="736">
        <v>93084.9</v>
      </c>
      <c r="Q505" s="214"/>
    </row>
    <row r="506" spans="1:17" ht="12" customHeight="1" x14ac:dyDescent="0.2">
      <c r="A506" s="735" t="s">
        <v>2169</v>
      </c>
      <c r="B506" s="735" t="s">
        <v>2170</v>
      </c>
      <c r="C506" s="735" t="s">
        <v>451</v>
      </c>
      <c r="D506" s="644" t="s">
        <v>2446</v>
      </c>
      <c r="E506" s="736">
        <v>2500</v>
      </c>
      <c r="F506" s="737" t="s">
        <v>3688</v>
      </c>
      <c r="G506" s="738" t="s">
        <v>3689</v>
      </c>
      <c r="H506" s="644" t="s">
        <v>2212</v>
      </c>
      <c r="I506" s="636" t="s">
        <v>3690</v>
      </c>
      <c r="J506" s="644" t="s">
        <v>3690</v>
      </c>
      <c r="K506" s="739"/>
      <c r="L506" s="735">
        <v>12</v>
      </c>
      <c r="M506" s="736">
        <v>31960.800000000007</v>
      </c>
      <c r="N506" s="735"/>
      <c r="O506" s="735">
        <v>6</v>
      </c>
      <c r="P506" s="736">
        <v>16038.789999999999</v>
      </c>
      <c r="Q506" s="214"/>
    </row>
    <row r="507" spans="1:17" ht="12" customHeight="1" x14ac:dyDescent="0.2">
      <c r="A507" s="735" t="s">
        <v>2169</v>
      </c>
      <c r="B507" s="735" t="s">
        <v>2170</v>
      </c>
      <c r="C507" s="735" t="s">
        <v>451</v>
      </c>
      <c r="D507" s="644" t="s">
        <v>3691</v>
      </c>
      <c r="E507" s="736">
        <v>12000</v>
      </c>
      <c r="F507" s="737" t="s">
        <v>3692</v>
      </c>
      <c r="G507" s="738" t="s">
        <v>3693</v>
      </c>
      <c r="H507" s="644" t="s">
        <v>2174</v>
      </c>
      <c r="I507" s="636" t="s">
        <v>2250</v>
      </c>
      <c r="J507" s="644" t="s">
        <v>2250</v>
      </c>
      <c r="K507" s="739"/>
      <c r="L507" s="735">
        <v>9</v>
      </c>
      <c r="M507" s="736">
        <v>108807.39999999998</v>
      </c>
      <c r="N507" s="735"/>
      <c r="O507" s="735">
        <v>6</v>
      </c>
      <c r="P507" s="736">
        <v>69021.63</v>
      </c>
      <c r="Q507" s="214"/>
    </row>
    <row r="508" spans="1:17" ht="12" customHeight="1" x14ac:dyDescent="0.2">
      <c r="A508" s="735" t="s">
        <v>2169</v>
      </c>
      <c r="B508" s="735" t="s">
        <v>2170</v>
      </c>
      <c r="C508" s="735" t="s">
        <v>451</v>
      </c>
      <c r="D508" s="644" t="s">
        <v>3694</v>
      </c>
      <c r="E508" s="736">
        <v>4500</v>
      </c>
      <c r="F508" s="737" t="s">
        <v>3695</v>
      </c>
      <c r="G508" s="738" t="s">
        <v>3696</v>
      </c>
      <c r="H508" s="644" t="s">
        <v>3697</v>
      </c>
      <c r="I508" s="636" t="s">
        <v>3025</v>
      </c>
      <c r="J508" s="644" t="s">
        <v>3697</v>
      </c>
      <c r="K508" s="739"/>
      <c r="L508" s="735">
        <v>12</v>
      </c>
      <c r="M508" s="736">
        <v>55960.390000000007</v>
      </c>
      <c r="N508" s="735"/>
      <c r="O508" s="735">
        <v>6</v>
      </c>
      <c r="P508" s="736">
        <v>27986.07</v>
      </c>
      <c r="Q508" s="214"/>
    </row>
    <row r="509" spans="1:17" ht="12" customHeight="1" x14ac:dyDescent="0.2">
      <c r="A509" s="735" t="s">
        <v>2169</v>
      </c>
      <c r="B509" s="735" t="s">
        <v>2170</v>
      </c>
      <c r="C509" s="735" t="s">
        <v>451</v>
      </c>
      <c r="D509" s="644" t="s">
        <v>2202</v>
      </c>
      <c r="E509" s="736">
        <v>3000</v>
      </c>
      <c r="F509" s="737" t="s">
        <v>3698</v>
      </c>
      <c r="G509" s="738" t="s">
        <v>3699</v>
      </c>
      <c r="H509" s="644" t="s">
        <v>2184</v>
      </c>
      <c r="I509" s="636" t="s">
        <v>2254</v>
      </c>
      <c r="J509" s="644" t="s">
        <v>2254</v>
      </c>
      <c r="K509" s="739"/>
      <c r="L509" s="735">
        <v>12</v>
      </c>
      <c r="M509" s="736">
        <v>37960.80000000001</v>
      </c>
      <c r="N509" s="735"/>
      <c r="O509" s="735">
        <v>6</v>
      </c>
      <c r="P509" s="736">
        <v>19044.900000000001</v>
      </c>
      <c r="Q509" s="214"/>
    </row>
    <row r="510" spans="1:17" ht="12" customHeight="1" x14ac:dyDescent="0.2">
      <c r="A510" s="735" t="s">
        <v>2169</v>
      </c>
      <c r="B510" s="735" t="s">
        <v>2170</v>
      </c>
      <c r="C510" s="735" t="s">
        <v>451</v>
      </c>
      <c r="D510" s="644" t="s">
        <v>3700</v>
      </c>
      <c r="E510" s="736">
        <v>5000</v>
      </c>
      <c r="F510" s="737" t="s">
        <v>3701</v>
      </c>
      <c r="G510" s="738" t="s">
        <v>3702</v>
      </c>
      <c r="H510" s="644" t="s">
        <v>2184</v>
      </c>
      <c r="I510" s="636" t="s">
        <v>2185</v>
      </c>
      <c r="J510" s="644" t="s">
        <v>2184</v>
      </c>
      <c r="K510" s="739"/>
      <c r="L510" s="735">
        <v>12</v>
      </c>
      <c r="M510" s="736">
        <v>62875.80000000001</v>
      </c>
      <c r="N510" s="735"/>
      <c r="O510" s="735">
        <v>6</v>
      </c>
      <c r="P510" s="736">
        <v>31044.9</v>
      </c>
      <c r="Q510" s="214"/>
    </row>
    <row r="511" spans="1:17" ht="12" customHeight="1" x14ac:dyDescent="0.2">
      <c r="A511" s="735" t="s">
        <v>2169</v>
      </c>
      <c r="B511" s="735" t="s">
        <v>2170</v>
      </c>
      <c r="C511" s="735" t="s">
        <v>451</v>
      </c>
      <c r="D511" s="644" t="s">
        <v>3703</v>
      </c>
      <c r="E511" s="736">
        <v>6000</v>
      </c>
      <c r="F511" s="737" t="s">
        <v>3704</v>
      </c>
      <c r="G511" s="738" t="s">
        <v>3705</v>
      </c>
      <c r="H511" s="644" t="s">
        <v>2317</v>
      </c>
      <c r="I511" s="636" t="s">
        <v>2250</v>
      </c>
      <c r="J511" s="644" t="s">
        <v>2250</v>
      </c>
      <c r="K511" s="739"/>
      <c r="L511" s="735">
        <v>4</v>
      </c>
      <c r="M511" s="736">
        <v>20822.580000000002</v>
      </c>
      <c r="N511" s="735"/>
      <c r="O511" s="735"/>
      <c r="P511" s="736"/>
      <c r="Q511" s="214"/>
    </row>
    <row r="512" spans="1:17" ht="12" customHeight="1" x14ac:dyDescent="0.2">
      <c r="A512" s="735" t="s">
        <v>2169</v>
      </c>
      <c r="B512" s="735" t="s">
        <v>2170</v>
      </c>
      <c r="C512" s="735" t="s">
        <v>451</v>
      </c>
      <c r="D512" s="644" t="s">
        <v>2446</v>
      </c>
      <c r="E512" s="736">
        <v>2500</v>
      </c>
      <c r="F512" s="737" t="s">
        <v>3706</v>
      </c>
      <c r="G512" s="738" t="s">
        <v>3707</v>
      </c>
      <c r="H512" s="644" t="s">
        <v>3708</v>
      </c>
      <c r="I512" s="636" t="s">
        <v>3709</v>
      </c>
      <c r="J512" s="644" t="s">
        <v>3709</v>
      </c>
      <c r="K512" s="739"/>
      <c r="L512" s="735">
        <v>12</v>
      </c>
      <c r="M512" s="736">
        <v>32044.130000000008</v>
      </c>
      <c r="N512" s="735"/>
      <c r="O512" s="735">
        <v>6</v>
      </c>
      <c r="P512" s="736">
        <v>15957.619999999999</v>
      </c>
      <c r="Q512" s="214"/>
    </row>
    <row r="513" spans="1:17" ht="12" customHeight="1" x14ac:dyDescent="0.2">
      <c r="A513" s="735" t="s">
        <v>2169</v>
      </c>
      <c r="B513" s="735" t="s">
        <v>2170</v>
      </c>
      <c r="C513" s="735" t="s">
        <v>451</v>
      </c>
      <c r="D513" s="644" t="s">
        <v>3710</v>
      </c>
      <c r="E513" s="736">
        <v>12000</v>
      </c>
      <c r="F513" s="737" t="s">
        <v>3711</v>
      </c>
      <c r="G513" s="738" t="s">
        <v>3712</v>
      </c>
      <c r="H513" s="644" t="s">
        <v>2201</v>
      </c>
      <c r="I513" s="636" t="s">
        <v>2201</v>
      </c>
      <c r="J513" s="644"/>
      <c r="K513" s="739"/>
      <c r="L513" s="735">
        <v>4</v>
      </c>
      <c r="M513" s="736">
        <v>36453.599999999999</v>
      </c>
      <c r="N513" s="735"/>
      <c r="O513" s="735"/>
      <c r="P513" s="736"/>
      <c r="Q513" s="214"/>
    </row>
    <row r="514" spans="1:17" ht="12" customHeight="1" x14ac:dyDescent="0.2">
      <c r="A514" s="735" t="s">
        <v>2169</v>
      </c>
      <c r="B514" s="735" t="s">
        <v>2170</v>
      </c>
      <c r="C514" s="735" t="s">
        <v>451</v>
      </c>
      <c r="D514" s="644" t="s">
        <v>2772</v>
      </c>
      <c r="E514" s="736">
        <v>6000</v>
      </c>
      <c r="F514" s="737" t="s">
        <v>3713</v>
      </c>
      <c r="G514" s="738" t="s">
        <v>3714</v>
      </c>
      <c r="H514" s="644" t="s">
        <v>2569</v>
      </c>
      <c r="I514" s="636" t="s">
        <v>3025</v>
      </c>
      <c r="J514" s="644"/>
      <c r="K514" s="739"/>
      <c r="L514" s="735">
        <v>4</v>
      </c>
      <c r="M514" s="736">
        <v>25553.599999999999</v>
      </c>
      <c r="N514" s="735"/>
      <c r="O514" s="735">
        <v>6</v>
      </c>
      <c r="P514" s="736">
        <v>36435.85</v>
      </c>
      <c r="Q514" s="214"/>
    </row>
    <row r="515" spans="1:17" ht="12" customHeight="1" x14ac:dyDescent="0.2">
      <c r="A515" s="735" t="s">
        <v>2169</v>
      </c>
      <c r="B515" s="735" t="s">
        <v>2170</v>
      </c>
      <c r="C515" s="735" t="s">
        <v>451</v>
      </c>
      <c r="D515" s="644" t="s">
        <v>3715</v>
      </c>
      <c r="E515" s="736">
        <v>9000</v>
      </c>
      <c r="F515" s="737" t="s">
        <v>3716</v>
      </c>
      <c r="G515" s="738" t="s">
        <v>3717</v>
      </c>
      <c r="H515" s="644" t="s">
        <v>2208</v>
      </c>
      <c r="I515" s="636" t="s">
        <v>2246</v>
      </c>
      <c r="J515" s="644" t="s">
        <v>2208</v>
      </c>
      <c r="K515" s="739"/>
      <c r="L515" s="735">
        <v>12</v>
      </c>
      <c r="M515" s="736">
        <v>109960.79999999997</v>
      </c>
      <c r="N515" s="735"/>
      <c r="O515" s="735">
        <v>6</v>
      </c>
      <c r="P515" s="736">
        <v>55044.9</v>
      </c>
      <c r="Q515" s="214"/>
    </row>
    <row r="516" spans="1:17" ht="12" customHeight="1" x14ac:dyDescent="0.2">
      <c r="A516" s="735" t="s">
        <v>2169</v>
      </c>
      <c r="B516" s="735" t="s">
        <v>2170</v>
      </c>
      <c r="C516" s="735" t="s">
        <v>451</v>
      </c>
      <c r="D516" s="644" t="s">
        <v>3718</v>
      </c>
      <c r="E516" s="736">
        <v>6000</v>
      </c>
      <c r="F516" s="737" t="s">
        <v>3719</v>
      </c>
      <c r="G516" s="738" t="s">
        <v>3720</v>
      </c>
      <c r="H516" s="644" t="s">
        <v>2189</v>
      </c>
      <c r="I516" s="636" t="s">
        <v>2180</v>
      </c>
      <c r="J516" s="644" t="s">
        <v>2180</v>
      </c>
      <c r="K516" s="739"/>
      <c r="L516" s="735">
        <v>12</v>
      </c>
      <c r="M516" s="736">
        <v>73955.360000000001</v>
      </c>
      <c r="N516" s="735"/>
      <c r="O516" s="735">
        <v>6</v>
      </c>
      <c r="P516" s="736">
        <v>37013.01</v>
      </c>
      <c r="Q516" s="214"/>
    </row>
    <row r="517" spans="1:17" ht="12" customHeight="1" x14ac:dyDescent="0.2">
      <c r="A517" s="735" t="s">
        <v>2169</v>
      </c>
      <c r="B517" s="735" t="s">
        <v>2170</v>
      </c>
      <c r="C517" s="735" t="s">
        <v>451</v>
      </c>
      <c r="D517" s="644" t="s">
        <v>3721</v>
      </c>
      <c r="E517" s="736">
        <v>8000</v>
      </c>
      <c r="F517" s="737" t="s">
        <v>3722</v>
      </c>
      <c r="G517" s="738" t="s">
        <v>3723</v>
      </c>
      <c r="H517" s="644" t="s">
        <v>2201</v>
      </c>
      <c r="I517" s="636"/>
      <c r="J517" s="644"/>
      <c r="K517" s="739"/>
      <c r="L517" s="735">
        <v>4</v>
      </c>
      <c r="M517" s="736">
        <v>31977.949999999997</v>
      </c>
      <c r="N517" s="735"/>
      <c r="O517" s="735"/>
      <c r="P517" s="736"/>
      <c r="Q517" s="214"/>
    </row>
    <row r="518" spans="1:17" ht="12" customHeight="1" x14ac:dyDescent="0.2">
      <c r="A518" s="735" t="s">
        <v>2169</v>
      </c>
      <c r="B518" s="735" t="s">
        <v>2170</v>
      </c>
      <c r="C518" s="735" t="s">
        <v>451</v>
      </c>
      <c r="D518" s="644" t="s">
        <v>3724</v>
      </c>
      <c r="E518" s="736">
        <v>8500</v>
      </c>
      <c r="F518" s="737" t="s">
        <v>3725</v>
      </c>
      <c r="G518" s="738" t="s">
        <v>3726</v>
      </c>
      <c r="H518" s="644" t="s">
        <v>2179</v>
      </c>
      <c r="I518" s="636" t="s">
        <v>2175</v>
      </c>
      <c r="J518" s="644" t="s">
        <v>2179</v>
      </c>
      <c r="K518" s="739"/>
      <c r="L518" s="735">
        <v>12</v>
      </c>
      <c r="M518" s="736">
        <v>103615.33999999998</v>
      </c>
      <c r="N518" s="735"/>
      <c r="O518" s="735">
        <v>6</v>
      </c>
      <c r="P518" s="736">
        <v>52021.700000000004</v>
      </c>
      <c r="Q518" s="214"/>
    </row>
    <row r="519" spans="1:17" ht="12" customHeight="1" x14ac:dyDescent="0.2">
      <c r="A519" s="735" t="s">
        <v>2169</v>
      </c>
      <c r="B519" s="735" t="s">
        <v>2170</v>
      </c>
      <c r="C519" s="735" t="s">
        <v>451</v>
      </c>
      <c r="D519" s="644" t="s">
        <v>3727</v>
      </c>
      <c r="E519" s="736">
        <v>15600</v>
      </c>
      <c r="F519" s="737" t="s">
        <v>3728</v>
      </c>
      <c r="G519" s="738" t="s">
        <v>3729</v>
      </c>
      <c r="H519" s="644" t="s">
        <v>2189</v>
      </c>
      <c r="I519" s="636" t="s">
        <v>2180</v>
      </c>
      <c r="J519" s="644" t="s">
        <v>2180</v>
      </c>
      <c r="K519" s="739"/>
      <c r="L519" s="735">
        <v>8</v>
      </c>
      <c r="M519" s="736">
        <v>118727.19999999998</v>
      </c>
      <c r="N519" s="735"/>
      <c r="O519" s="735"/>
      <c r="P519" s="736"/>
      <c r="Q519" s="214"/>
    </row>
    <row r="520" spans="1:17" ht="12" customHeight="1" x14ac:dyDescent="0.2">
      <c r="A520" s="735" t="s">
        <v>2169</v>
      </c>
      <c r="B520" s="735" t="s">
        <v>2170</v>
      </c>
      <c r="C520" s="735" t="s">
        <v>451</v>
      </c>
      <c r="D520" s="644" t="s">
        <v>3730</v>
      </c>
      <c r="E520" s="736">
        <v>15600</v>
      </c>
      <c r="F520" s="737" t="s">
        <v>3731</v>
      </c>
      <c r="G520" s="738" t="s">
        <v>3732</v>
      </c>
      <c r="H520" s="644" t="s">
        <v>2201</v>
      </c>
      <c r="I520" s="636" t="s">
        <v>2201</v>
      </c>
      <c r="J520" s="644"/>
      <c r="K520" s="739"/>
      <c r="L520" s="735">
        <v>1</v>
      </c>
      <c r="M520" s="736">
        <v>18313.400000000001</v>
      </c>
      <c r="N520" s="735"/>
      <c r="O520" s="735">
        <v>6</v>
      </c>
      <c r="P520" s="736">
        <v>93084.9</v>
      </c>
      <c r="Q520" s="214"/>
    </row>
    <row r="521" spans="1:17" ht="12" customHeight="1" x14ac:dyDescent="0.2">
      <c r="A521" s="735" t="s">
        <v>2169</v>
      </c>
      <c r="B521" s="735" t="s">
        <v>2170</v>
      </c>
      <c r="C521" s="735" t="s">
        <v>451</v>
      </c>
      <c r="D521" s="644" t="s">
        <v>3733</v>
      </c>
      <c r="E521" s="736">
        <v>14000</v>
      </c>
      <c r="F521" s="737" t="s">
        <v>3734</v>
      </c>
      <c r="G521" s="738" t="s">
        <v>3735</v>
      </c>
      <c r="H521" s="644" t="s">
        <v>2201</v>
      </c>
      <c r="I521" s="636"/>
      <c r="J521" s="644"/>
      <c r="K521" s="739"/>
      <c r="L521" s="735">
        <v>12</v>
      </c>
      <c r="M521" s="736">
        <v>169847.39999999997</v>
      </c>
      <c r="N521" s="735"/>
      <c r="O521" s="735">
        <v>6</v>
      </c>
      <c r="P521" s="736">
        <v>85044.9</v>
      </c>
      <c r="Q521" s="214"/>
    </row>
    <row r="522" spans="1:17" ht="12" customHeight="1" x14ac:dyDescent="0.2">
      <c r="A522" s="735" t="s">
        <v>2169</v>
      </c>
      <c r="B522" s="735" t="s">
        <v>2232</v>
      </c>
      <c r="C522" s="735" t="s">
        <v>451</v>
      </c>
      <c r="D522" s="644" t="s">
        <v>2272</v>
      </c>
      <c r="E522" s="736">
        <v>9500</v>
      </c>
      <c r="F522" s="737" t="s">
        <v>3736</v>
      </c>
      <c r="G522" s="738" t="s">
        <v>3737</v>
      </c>
      <c r="H522" s="644" t="s">
        <v>2317</v>
      </c>
      <c r="I522" s="636" t="s">
        <v>2175</v>
      </c>
      <c r="J522" s="644" t="s">
        <v>2317</v>
      </c>
      <c r="K522" s="739"/>
      <c r="L522" s="735">
        <v>12</v>
      </c>
      <c r="M522" s="736">
        <v>115953.03999999998</v>
      </c>
      <c r="N522" s="735"/>
      <c r="O522" s="735">
        <v>5</v>
      </c>
      <c r="P522" s="736">
        <v>48370.75</v>
      </c>
      <c r="Q522" s="214"/>
    </row>
    <row r="523" spans="1:17" ht="12" customHeight="1" x14ac:dyDescent="0.2">
      <c r="A523" s="735" t="s">
        <v>2169</v>
      </c>
      <c r="B523" s="735" t="s">
        <v>2170</v>
      </c>
      <c r="C523" s="735" t="s">
        <v>451</v>
      </c>
      <c r="D523" s="644" t="s">
        <v>3738</v>
      </c>
      <c r="E523" s="736">
        <v>9000</v>
      </c>
      <c r="F523" s="737" t="s">
        <v>3739</v>
      </c>
      <c r="G523" s="738" t="s">
        <v>3740</v>
      </c>
      <c r="H523" s="644" t="s">
        <v>2189</v>
      </c>
      <c r="I523" s="636" t="s">
        <v>2180</v>
      </c>
      <c r="J523" s="644" t="s">
        <v>2180</v>
      </c>
      <c r="K523" s="739"/>
      <c r="L523" s="735">
        <v>12</v>
      </c>
      <c r="M523" s="736">
        <v>109847.39999999998</v>
      </c>
      <c r="N523" s="735"/>
      <c r="O523" s="735">
        <v>6</v>
      </c>
      <c r="P523" s="736">
        <v>55043.61</v>
      </c>
      <c r="Q523" s="214"/>
    </row>
    <row r="524" spans="1:17" ht="12" customHeight="1" x14ac:dyDescent="0.2">
      <c r="A524" s="735" t="s">
        <v>2169</v>
      </c>
      <c r="B524" s="735" t="s">
        <v>2170</v>
      </c>
      <c r="C524" s="735" t="s">
        <v>451</v>
      </c>
      <c r="D524" s="644" t="s">
        <v>2225</v>
      </c>
      <c r="E524" s="736">
        <v>10000</v>
      </c>
      <c r="F524" s="737" t="s">
        <v>3741</v>
      </c>
      <c r="G524" s="738" t="s">
        <v>3742</v>
      </c>
      <c r="H524" s="644" t="s">
        <v>3743</v>
      </c>
      <c r="I524" s="636" t="s">
        <v>2652</v>
      </c>
      <c r="J524" s="644"/>
      <c r="K524" s="739"/>
      <c r="L524" s="735">
        <v>6</v>
      </c>
      <c r="M524" s="736">
        <v>58647.070000000007</v>
      </c>
      <c r="N524" s="735"/>
      <c r="O524" s="735">
        <v>6</v>
      </c>
      <c r="P524" s="736">
        <v>60266.16</v>
      </c>
      <c r="Q524" s="214"/>
    </row>
    <row r="525" spans="1:17" ht="12" customHeight="1" x14ac:dyDescent="0.2">
      <c r="A525" s="735" t="s">
        <v>2169</v>
      </c>
      <c r="B525" s="735" t="s">
        <v>2170</v>
      </c>
      <c r="C525" s="735" t="s">
        <v>451</v>
      </c>
      <c r="D525" s="644" t="s">
        <v>3744</v>
      </c>
      <c r="E525" s="736">
        <v>7500</v>
      </c>
      <c r="F525" s="737" t="s">
        <v>3745</v>
      </c>
      <c r="G525" s="738" t="s">
        <v>3746</v>
      </c>
      <c r="H525" s="644" t="s">
        <v>2208</v>
      </c>
      <c r="I525" s="636" t="s">
        <v>2175</v>
      </c>
      <c r="J525" s="644"/>
      <c r="K525" s="739"/>
      <c r="L525" s="735">
        <v>12</v>
      </c>
      <c r="M525" s="736">
        <v>92847.4</v>
      </c>
      <c r="N525" s="735"/>
      <c r="O525" s="735">
        <v>6</v>
      </c>
      <c r="P525" s="736">
        <v>46043.82</v>
      </c>
      <c r="Q525" s="214"/>
    </row>
    <row r="526" spans="1:17" ht="12" customHeight="1" x14ac:dyDescent="0.2">
      <c r="A526" s="735" t="s">
        <v>2169</v>
      </c>
      <c r="B526" s="735" t="s">
        <v>2170</v>
      </c>
      <c r="C526" s="735" t="s">
        <v>451</v>
      </c>
      <c r="D526" s="644" t="s">
        <v>3747</v>
      </c>
      <c r="E526" s="736">
        <v>8000</v>
      </c>
      <c r="F526" s="737" t="s">
        <v>3748</v>
      </c>
      <c r="G526" s="738" t="s">
        <v>3749</v>
      </c>
      <c r="H526" s="644" t="s">
        <v>2268</v>
      </c>
      <c r="I526" s="636" t="s">
        <v>3025</v>
      </c>
      <c r="J526" s="644" t="s">
        <v>2268</v>
      </c>
      <c r="K526" s="739"/>
      <c r="L526" s="735">
        <v>12</v>
      </c>
      <c r="M526" s="736">
        <v>97960.799999999988</v>
      </c>
      <c r="N526" s="735"/>
      <c r="O526" s="735">
        <v>6</v>
      </c>
      <c r="P526" s="736">
        <v>49023.64</v>
      </c>
      <c r="Q526" s="214"/>
    </row>
    <row r="527" spans="1:17" ht="12" customHeight="1" x14ac:dyDescent="0.2">
      <c r="A527" s="735" t="s">
        <v>2169</v>
      </c>
      <c r="B527" s="735" t="s">
        <v>2170</v>
      </c>
      <c r="C527" s="735" t="s">
        <v>451</v>
      </c>
      <c r="D527" s="644" t="s">
        <v>2265</v>
      </c>
      <c r="E527" s="736">
        <v>9000</v>
      </c>
      <c r="F527" s="737" t="s">
        <v>3750</v>
      </c>
      <c r="G527" s="738" t="s">
        <v>3751</v>
      </c>
      <c r="H527" s="644" t="s">
        <v>2752</v>
      </c>
      <c r="I527" s="636" t="s">
        <v>2246</v>
      </c>
      <c r="J527" s="644" t="s">
        <v>2752</v>
      </c>
      <c r="K527" s="739"/>
      <c r="L527" s="735">
        <v>9</v>
      </c>
      <c r="M527" s="736">
        <v>77220.599999999991</v>
      </c>
      <c r="N527" s="735"/>
      <c r="O527" s="735"/>
      <c r="P527" s="736"/>
      <c r="Q527" s="214"/>
    </row>
    <row r="528" spans="1:17" ht="12" customHeight="1" x14ac:dyDescent="0.2">
      <c r="A528" s="735" t="s">
        <v>2169</v>
      </c>
      <c r="B528" s="735" t="s">
        <v>2170</v>
      </c>
      <c r="C528" s="735" t="s">
        <v>451</v>
      </c>
      <c r="D528" s="644" t="s">
        <v>2373</v>
      </c>
      <c r="E528" s="736">
        <v>4000</v>
      </c>
      <c r="F528" s="737" t="s">
        <v>3752</v>
      </c>
      <c r="G528" s="738" t="s">
        <v>3753</v>
      </c>
      <c r="H528" s="644" t="s">
        <v>3754</v>
      </c>
      <c r="I528" s="636" t="s">
        <v>2218</v>
      </c>
      <c r="J528" s="644"/>
      <c r="K528" s="739"/>
      <c r="L528" s="735">
        <v>4</v>
      </c>
      <c r="M528" s="736">
        <v>17286.93</v>
      </c>
      <c r="N528" s="735"/>
      <c r="O528" s="735">
        <v>6</v>
      </c>
      <c r="P528" s="736">
        <v>25038.870000000003</v>
      </c>
      <c r="Q528" s="214"/>
    </row>
    <row r="529" spans="1:17" ht="12" customHeight="1" x14ac:dyDescent="0.2">
      <c r="A529" s="735" t="s">
        <v>2169</v>
      </c>
      <c r="B529" s="735" t="s">
        <v>2170</v>
      </c>
      <c r="C529" s="735" t="s">
        <v>451</v>
      </c>
      <c r="D529" s="644" t="s">
        <v>2378</v>
      </c>
      <c r="E529" s="736">
        <v>10000</v>
      </c>
      <c r="F529" s="737" t="s">
        <v>3755</v>
      </c>
      <c r="G529" s="738" t="s">
        <v>3756</v>
      </c>
      <c r="H529" s="644" t="s">
        <v>3757</v>
      </c>
      <c r="I529" s="636" t="s">
        <v>2393</v>
      </c>
      <c r="J529" s="644" t="s">
        <v>2393</v>
      </c>
      <c r="K529" s="739"/>
      <c r="L529" s="735">
        <v>12</v>
      </c>
      <c r="M529" s="736">
        <v>103060.79999999999</v>
      </c>
      <c r="N529" s="735"/>
      <c r="O529" s="735">
        <v>6</v>
      </c>
      <c r="P529" s="736">
        <v>61044.9</v>
      </c>
      <c r="Q529" s="214"/>
    </row>
    <row r="530" spans="1:17" ht="12" customHeight="1" x14ac:dyDescent="0.2">
      <c r="A530" s="735" t="s">
        <v>2169</v>
      </c>
      <c r="B530" s="735" t="s">
        <v>2170</v>
      </c>
      <c r="C530" s="735" t="s">
        <v>451</v>
      </c>
      <c r="D530" s="644" t="s">
        <v>2781</v>
      </c>
      <c r="E530" s="736">
        <v>2500</v>
      </c>
      <c r="F530" s="737" t="s">
        <v>3758</v>
      </c>
      <c r="G530" s="738" t="s">
        <v>3759</v>
      </c>
      <c r="H530" s="644" t="s">
        <v>3760</v>
      </c>
      <c r="I530" s="636" t="s">
        <v>2250</v>
      </c>
      <c r="J530" s="644" t="s">
        <v>2250</v>
      </c>
      <c r="K530" s="739"/>
      <c r="L530" s="735">
        <v>12</v>
      </c>
      <c r="M530" s="736">
        <v>31824.040000000005</v>
      </c>
      <c r="N530" s="735"/>
      <c r="O530" s="735">
        <v>2</v>
      </c>
      <c r="P530" s="736">
        <v>3527.01</v>
      </c>
      <c r="Q530" s="214"/>
    </row>
    <row r="531" spans="1:17" ht="12" customHeight="1" x14ac:dyDescent="0.2">
      <c r="A531" s="735" t="s">
        <v>2169</v>
      </c>
      <c r="B531" s="735" t="s">
        <v>2170</v>
      </c>
      <c r="C531" s="735" t="s">
        <v>451</v>
      </c>
      <c r="D531" s="644" t="s">
        <v>3761</v>
      </c>
      <c r="E531" s="736">
        <v>8000</v>
      </c>
      <c r="F531" s="737" t="s">
        <v>3762</v>
      </c>
      <c r="G531" s="738" t="s">
        <v>3763</v>
      </c>
      <c r="H531" s="644">
        <v>0</v>
      </c>
      <c r="I531" s="636">
        <v>0</v>
      </c>
      <c r="J531" s="644">
        <v>0</v>
      </c>
      <c r="K531" s="739"/>
      <c r="L531" s="735">
        <v>7</v>
      </c>
      <c r="M531" s="736">
        <v>52293.070000000007</v>
      </c>
      <c r="N531" s="735"/>
      <c r="O531" s="735"/>
      <c r="P531" s="736"/>
      <c r="Q531" s="214"/>
    </row>
    <row r="532" spans="1:17" ht="12" customHeight="1" x14ac:dyDescent="0.2">
      <c r="A532" s="735" t="s">
        <v>2169</v>
      </c>
      <c r="B532" s="735" t="s">
        <v>2170</v>
      </c>
      <c r="C532" s="735" t="s">
        <v>451</v>
      </c>
      <c r="D532" s="644" t="s">
        <v>2261</v>
      </c>
      <c r="E532" s="736">
        <v>4500</v>
      </c>
      <c r="F532" s="737" t="s">
        <v>3764</v>
      </c>
      <c r="G532" s="738" t="s">
        <v>3765</v>
      </c>
      <c r="H532" s="644" t="s">
        <v>2201</v>
      </c>
      <c r="I532" s="636"/>
      <c r="J532" s="644"/>
      <c r="K532" s="739"/>
      <c r="L532" s="735">
        <v>12</v>
      </c>
      <c r="M532" s="736">
        <v>55955.490000000005</v>
      </c>
      <c r="N532" s="735"/>
      <c r="O532" s="735">
        <v>6</v>
      </c>
      <c r="P532" s="736">
        <v>27972.160000000003</v>
      </c>
      <c r="Q532" s="214"/>
    </row>
    <row r="533" spans="1:17" ht="12" customHeight="1" x14ac:dyDescent="0.2">
      <c r="A533" s="735" t="s">
        <v>2169</v>
      </c>
      <c r="B533" s="735" t="s">
        <v>2170</v>
      </c>
      <c r="C533" s="735" t="s">
        <v>451</v>
      </c>
      <c r="D533" s="644" t="s">
        <v>2202</v>
      </c>
      <c r="E533" s="736">
        <v>2700</v>
      </c>
      <c r="F533" s="737" t="s">
        <v>3766</v>
      </c>
      <c r="G533" s="738" t="s">
        <v>3767</v>
      </c>
      <c r="H533" s="644" t="s">
        <v>2201</v>
      </c>
      <c r="I533" s="636"/>
      <c r="J533" s="644"/>
      <c r="K533" s="739"/>
      <c r="L533" s="735">
        <v>12</v>
      </c>
      <c r="M533" s="736">
        <v>34360.80000000001</v>
      </c>
      <c r="N533" s="735"/>
      <c r="O533" s="735">
        <v>6</v>
      </c>
      <c r="P533" s="736">
        <v>17064.900000000001</v>
      </c>
      <c r="Q533" s="214"/>
    </row>
    <row r="534" spans="1:17" ht="12" customHeight="1" x14ac:dyDescent="0.2">
      <c r="A534" s="735" t="s">
        <v>2169</v>
      </c>
      <c r="B534" s="735" t="s">
        <v>2170</v>
      </c>
      <c r="C534" s="735" t="s">
        <v>451</v>
      </c>
      <c r="D534" s="644" t="s">
        <v>3768</v>
      </c>
      <c r="E534" s="736">
        <v>4000</v>
      </c>
      <c r="F534" s="737" t="s">
        <v>3769</v>
      </c>
      <c r="G534" s="738" t="s">
        <v>3770</v>
      </c>
      <c r="H534" s="644" t="s">
        <v>2979</v>
      </c>
      <c r="I534" s="636" t="s">
        <v>2385</v>
      </c>
      <c r="J534" s="644" t="s">
        <v>2385</v>
      </c>
      <c r="K534" s="739"/>
      <c r="L534" s="735">
        <v>12</v>
      </c>
      <c r="M534" s="736">
        <v>49847.400000000009</v>
      </c>
      <c r="N534" s="735"/>
      <c r="O534" s="735">
        <v>6</v>
      </c>
      <c r="P534" s="736">
        <v>25044.9</v>
      </c>
      <c r="Q534" s="214"/>
    </row>
    <row r="535" spans="1:17" ht="12" customHeight="1" x14ac:dyDescent="0.2">
      <c r="A535" s="735" t="s">
        <v>2169</v>
      </c>
      <c r="B535" s="735" t="s">
        <v>2170</v>
      </c>
      <c r="C535" s="735" t="s">
        <v>451</v>
      </c>
      <c r="D535" s="644" t="s">
        <v>2925</v>
      </c>
      <c r="E535" s="736">
        <v>13000</v>
      </c>
      <c r="F535" s="737" t="s">
        <v>3771</v>
      </c>
      <c r="G535" s="738" t="s">
        <v>3772</v>
      </c>
      <c r="H535" s="644" t="s">
        <v>2179</v>
      </c>
      <c r="I535" s="636" t="s">
        <v>2175</v>
      </c>
      <c r="J535" s="644" t="s">
        <v>2179</v>
      </c>
      <c r="K535" s="739"/>
      <c r="L535" s="735">
        <v>12</v>
      </c>
      <c r="M535" s="736">
        <v>159260.79999999996</v>
      </c>
      <c r="N535" s="735"/>
      <c r="O535" s="735">
        <v>6</v>
      </c>
      <c r="P535" s="736">
        <v>78133.41</v>
      </c>
      <c r="Q535" s="214"/>
    </row>
    <row r="536" spans="1:17" ht="12" customHeight="1" x14ac:dyDescent="0.2">
      <c r="A536" s="735" t="s">
        <v>2169</v>
      </c>
      <c r="B536" s="735" t="s">
        <v>2170</v>
      </c>
      <c r="C536" s="735" t="s">
        <v>451</v>
      </c>
      <c r="D536" s="644" t="s">
        <v>3773</v>
      </c>
      <c r="E536" s="736">
        <v>15600</v>
      </c>
      <c r="F536" s="737" t="s">
        <v>3774</v>
      </c>
      <c r="G536" s="738" t="s">
        <v>3775</v>
      </c>
      <c r="H536" s="644" t="s">
        <v>2201</v>
      </c>
      <c r="I536" s="636" t="s">
        <v>2201</v>
      </c>
      <c r="J536" s="644"/>
      <c r="K536" s="739"/>
      <c r="L536" s="735">
        <v>5</v>
      </c>
      <c r="M536" s="736">
        <v>74187</v>
      </c>
      <c r="N536" s="735"/>
      <c r="O536" s="735">
        <v>4</v>
      </c>
      <c r="P536" s="736">
        <v>42826.179999999993</v>
      </c>
      <c r="Q536" s="214"/>
    </row>
    <row r="537" spans="1:17" ht="12" customHeight="1" x14ac:dyDescent="0.2">
      <c r="A537" s="735" t="s">
        <v>2169</v>
      </c>
      <c r="B537" s="735" t="s">
        <v>2232</v>
      </c>
      <c r="C537" s="735" t="s">
        <v>451</v>
      </c>
      <c r="D537" s="644" t="s">
        <v>3776</v>
      </c>
      <c r="E537" s="736">
        <v>7500</v>
      </c>
      <c r="F537" s="737" t="s">
        <v>3777</v>
      </c>
      <c r="G537" s="738" t="s">
        <v>3778</v>
      </c>
      <c r="H537" s="644" t="s">
        <v>3057</v>
      </c>
      <c r="I537" s="636" t="s">
        <v>2250</v>
      </c>
      <c r="J537" s="644" t="s">
        <v>2250</v>
      </c>
      <c r="K537" s="739"/>
      <c r="L537" s="735">
        <v>11</v>
      </c>
      <c r="M537" s="736">
        <v>83865.079999999987</v>
      </c>
      <c r="N537" s="735"/>
      <c r="O537" s="735">
        <v>5</v>
      </c>
      <c r="P537" s="736">
        <v>34152.450000000004</v>
      </c>
      <c r="Q537" s="214"/>
    </row>
    <row r="538" spans="1:17" ht="12" customHeight="1" x14ac:dyDescent="0.2">
      <c r="A538" s="735" t="s">
        <v>2169</v>
      </c>
      <c r="B538" s="735" t="s">
        <v>2170</v>
      </c>
      <c r="C538" s="735" t="s">
        <v>451</v>
      </c>
      <c r="D538" s="644" t="s">
        <v>3724</v>
      </c>
      <c r="E538" s="736">
        <v>10000</v>
      </c>
      <c r="F538" s="737" t="s">
        <v>3779</v>
      </c>
      <c r="G538" s="738" t="s">
        <v>3780</v>
      </c>
      <c r="H538" s="644" t="s">
        <v>2236</v>
      </c>
      <c r="I538" s="636" t="s">
        <v>2175</v>
      </c>
      <c r="J538" s="644" t="s">
        <v>2236</v>
      </c>
      <c r="K538" s="739"/>
      <c r="L538" s="735">
        <v>12</v>
      </c>
      <c r="M538" s="736">
        <v>122003.44999999997</v>
      </c>
      <c r="N538" s="735"/>
      <c r="O538" s="735">
        <v>2</v>
      </c>
      <c r="P538" s="736">
        <v>20516.879999999997</v>
      </c>
      <c r="Q538" s="214"/>
    </row>
    <row r="539" spans="1:17" ht="12" customHeight="1" x14ac:dyDescent="0.2">
      <c r="A539" s="735" t="s">
        <v>2169</v>
      </c>
      <c r="B539" s="735" t="s">
        <v>2170</v>
      </c>
      <c r="C539" s="735" t="s">
        <v>451</v>
      </c>
      <c r="D539" s="644" t="s">
        <v>3781</v>
      </c>
      <c r="E539" s="736">
        <v>5000</v>
      </c>
      <c r="F539" s="737" t="s">
        <v>3782</v>
      </c>
      <c r="G539" s="738" t="s">
        <v>3783</v>
      </c>
      <c r="H539" s="644" t="s">
        <v>3784</v>
      </c>
      <c r="I539" s="636" t="s">
        <v>2180</v>
      </c>
      <c r="J539" s="644" t="s">
        <v>2180</v>
      </c>
      <c r="K539" s="739"/>
      <c r="L539" s="735">
        <v>12</v>
      </c>
      <c r="M539" s="736">
        <v>62126.110000000008</v>
      </c>
      <c r="N539" s="735"/>
      <c r="O539" s="735">
        <v>6</v>
      </c>
      <c r="P539" s="736">
        <v>31044.9</v>
      </c>
      <c r="Q539" s="214"/>
    </row>
    <row r="540" spans="1:17" ht="12" customHeight="1" x14ac:dyDescent="0.2">
      <c r="A540" s="735" t="s">
        <v>2169</v>
      </c>
      <c r="B540" s="735" t="s">
        <v>2170</v>
      </c>
      <c r="C540" s="735" t="s">
        <v>451</v>
      </c>
      <c r="D540" s="644" t="s">
        <v>2190</v>
      </c>
      <c r="E540" s="736">
        <v>3000</v>
      </c>
      <c r="F540" s="737" t="s">
        <v>3785</v>
      </c>
      <c r="G540" s="738" t="s">
        <v>3786</v>
      </c>
      <c r="H540" s="644" t="s">
        <v>2253</v>
      </c>
      <c r="I540" s="636" t="s">
        <v>2254</v>
      </c>
      <c r="J540" s="644" t="s">
        <v>2254</v>
      </c>
      <c r="K540" s="739"/>
      <c r="L540" s="735">
        <v>12</v>
      </c>
      <c r="M540" s="736">
        <v>37960.80000000001</v>
      </c>
      <c r="N540" s="735"/>
      <c r="O540" s="735">
        <v>6</v>
      </c>
      <c r="P540" s="736">
        <v>19044.900000000001</v>
      </c>
      <c r="Q540" s="214"/>
    </row>
    <row r="541" spans="1:17" ht="12" customHeight="1" x14ac:dyDescent="0.2">
      <c r="A541" s="735" t="s">
        <v>2169</v>
      </c>
      <c r="B541" s="735" t="s">
        <v>2170</v>
      </c>
      <c r="C541" s="735" t="s">
        <v>451</v>
      </c>
      <c r="D541" s="644" t="s">
        <v>3787</v>
      </c>
      <c r="E541" s="736">
        <v>15600</v>
      </c>
      <c r="F541" s="737" t="s">
        <v>3788</v>
      </c>
      <c r="G541" s="738" t="s">
        <v>3789</v>
      </c>
      <c r="H541" s="644" t="s">
        <v>3757</v>
      </c>
      <c r="I541" s="636" t="s">
        <v>2393</v>
      </c>
      <c r="J541" s="644" t="s">
        <v>2393</v>
      </c>
      <c r="K541" s="739"/>
      <c r="L541" s="735">
        <v>4</v>
      </c>
      <c r="M541" s="736">
        <v>51413.599999999999</v>
      </c>
      <c r="N541" s="735"/>
      <c r="O541" s="735"/>
      <c r="P541" s="736"/>
      <c r="Q541" s="214"/>
    </row>
    <row r="542" spans="1:17" ht="12" customHeight="1" x14ac:dyDescent="0.2">
      <c r="A542" s="735" t="s">
        <v>2169</v>
      </c>
      <c r="B542" s="735" t="s">
        <v>2170</v>
      </c>
      <c r="C542" s="735" t="s">
        <v>451</v>
      </c>
      <c r="D542" s="644" t="s">
        <v>2225</v>
      </c>
      <c r="E542" s="736">
        <v>13000</v>
      </c>
      <c r="F542" s="737" t="s">
        <v>3790</v>
      </c>
      <c r="G542" s="738" t="s">
        <v>3791</v>
      </c>
      <c r="H542" s="644" t="s">
        <v>2236</v>
      </c>
      <c r="I542" s="636" t="s">
        <v>2180</v>
      </c>
      <c r="J542" s="644" t="s">
        <v>2180</v>
      </c>
      <c r="K542" s="739"/>
      <c r="L542" s="735">
        <v>12</v>
      </c>
      <c r="M542" s="736">
        <v>158300.97999999995</v>
      </c>
      <c r="N542" s="735"/>
      <c r="O542" s="735">
        <v>6</v>
      </c>
      <c r="P542" s="736">
        <v>79007.549999999988</v>
      </c>
      <c r="Q542" s="214"/>
    </row>
    <row r="543" spans="1:17" ht="12" customHeight="1" x14ac:dyDescent="0.2">
      <c r="A543" s="735" t="s">
        <v>2169</v>
      </c>
      <c r="B543" s="735" t="s">
        <v>2232</v>
      </c>
      <c r="C543" s="735" t="s">
        <v>451</v>
      </c>
      <c r="D543" s="644" t="s">
        <v>2523</v>
      </c>
      <c r="E543" s="736">
        <v>9000</v>
      </c>
      <c r="F543" s="737" t="s">
        <v>3792</v>
      </c>
      <c r="G543" s="738" t="s">
        <v>3793</v>
      </c>
      <c r="H543" s="644" t="s">
        <v>2245</v>
      </c>
      <c r="I543" s="636" t="s">
        <v>2250</v>
      </c>
      <c r="J543" s="644" t="s">
        <v>2250</v>
      </c>
      <c r="K543" s="739"/>
      <c r="L543" s="735">
        <v>12</v>
      </c>
      <c r="M543" s="736">
        <v>109845.69999999998</v>
      </c>
      <c r="N543" s="735"/>
      <c r="O543" s="735">
        <v>5</v>
      </c>
      <c r="P543" s="736">
        <v>45828.73</v>
      </c>
      <c r="Q543" s="214"/>
    </row>
    <row r="544" spans="1:17" ht="12" customHeight="1" x14ac:dyDescent="0.2">
      <c r="A544" s="735" t="s">
        <v>2169</v>
      </c>
      <c r="B544" s="735" t="s">
        <v>2170</v>
      </c>
      <c r="C544" s="735" t="s">
        <v>451</v>
      </c>
      <c r="D544" s="644" t="s">
        <v>3794</v>
      </c>
      <c r="E544" s="736">
        <v>6000</v>
      </c>
      <c r="F544" s="737" t="s">
        <v>3795</v>
      </c>
      <c r="G544" s="738" t="s">
        <v>3796</v>
      </c>
      <c r="H544" s="644" t="s">
        <v>2346</v>
      </c>
      <c r="I544" s="636" t="s">
        <v>2385</v>
      </c>
      <c r="J544" s="644" t="s">
        <v>2385</v>
      </c>
      <c r="K544" s="739"/>
      <c r="L544" s="735">
        <v>7</v>
      </c>
      <c r="M544" s="736">
        <v>38042.879999999997</v>
      </c>
      <c r="N544" s="735"/>
      <c r="O544" s="735"/>
      <c r="P544" s="736"/>
      <c r="Q544" s="214"/>
    </row>
    <row r="545" spans="1:17" ht="12" customHeight="1" x14ac:dyDescent="0.2">
      <c r="A545" s="735" t="s">
        <v>2169</v>
      </c>
      <c r="B545" s="735" t="s">
        <v>2170</v>
      </c>
      <c r="C545" s="735" t="s">
        <v>451</v>
      </c>
      <c r="D545" s="644" t="s">
        <v>3797</v>
      </c>
      <c r="E545" s="736">
        <v>15600</v>
      </c>
      <c r="F545" s="737" t="s">
        <v>3798</v>
      </c>
      <c r="G545" s="738" t="s">
        <v>3799</v>
      </c>
      <c r="H545" s="644" t="s">
        <v>2625</v>
      </c>
      <c r="I545" s="636" t="s">
        <v>2250</v>
      </c>
      <c r="J545" s="644" t="s">
        <v>2250</v>
      </c>
      <c r="K545" s="739"/>
      <c r="L545" s="735">
        <v>11</v>
      </c>
      <c r="M545" s="736">
        <v>173147.39999999997</v>
      </c>
      <c r="N545" s="735"/>
      <c r="O545" s="735"/>
      <c r="P545" s="736"/>
      <c r="Q545" s="214"/>
    </row>
    <row r="546" spans="1:17" ht="12" customHeight="1" x14ac:dyDescent="0.2">
      <c r="A546" s="735" t="s">
        <v>2169</v>
      </c>
      <c r="B546" s="735" t="s">
        <v>2170</v>
      </c>
      <c r="C546" s="735" t="s">
        <v>451</v>
      </c>
      <c r="D546" s="644" t="s">
        <v>3800</v>
      </c>
      <c r="E546" s="736">
        <v>4000</v>
      </c>
      <c r="F546" s="737" t="s">
        <v>3801</v>
      </c>
      <c r="G546" s="738" t="s">
        <v>3802</v>
      </c>
      <c r="H546" s="644">
        <v>0</v>
      </c>
      <c r="I546" s="636">
        <v>0</v>
      </c>
      <c r="J546" s="644">
        <v>0</v>
      </c>
      <c r="K546" s="739"/>
      <c r="L546" s="735">
        <v>7</v>
      </c>
      <c r="M546" s="736">
        <v>29093.800000000003</v>
      </c>
      <c r="N546" s="735"/>
      <c r="O546" s="735"/>
      <c r="P546" s="736"/>
      <c r="Q546" s="214"/>
    </row>
    <row r="547" spans="1:17" ht="12" customHeight="1" x14ac:dyDescent="0.2">
      <c r="A547" s="735" t="s">
        <v>2169</v>
      </c>
      <c r="B547" s="735" t="s">
        <v>2170</v>
      </c>
      <c r="C547" s="735" t="s">
        <v>451</v>
      </c>
      <c r="D547" s="644" t="s">
        <v>3803</v>
      </c>
      <c r="E547" s="736">
        <v>10000</v>
      </c>
      <c r="F547" s="737" t="s">
        <v>3804</v>
      </c>
      <c r="G547" s="738" t="s">
        <v>3805</v>
      </c>
      <c r="H547" s="644" t="s">
        <v>2189</v>
      </c>
      <c r="I547" s="636" t="s">
        <v>2228</v>
      </c>
      <c r="J547" s="644" t="s">
        <v>2189</v>
      </c>
      <c r="K547" s="739"/>
      <c r="L547" s="735">
        <v>12</v>
      </c>
      <c r="M547" s="736">
        <v>121960.79999999997</v>
      </c>
      <c r="N547" s="735"/>
      <c r="O547" s="735">
        <v>6</v>
      </c>
      <c r="P547" s="736">
        <v>60967.320000000007</v>
      </c>
      <c r="Q547" s="214"/>
    </row>
    <row r="548" spans="1:17" ht="12" customHeight="1" x14ac:dyDescent="0.2">
      <c r="A548" s="735" t="s">
        <v>2169</v>
      </c>
      <c r="B548" s="735" t="s">
        <v>2170</v>
      </c>
      <c r="C548" s="735" t="s">
        <v>451</v>
      </c>
      <c r="D548" s="644" t="s">
        <v>2269</v>
      </c>
      <c r="E548" s="736">
        <v>10000</v>
      </c>
      <c r="F548" s="737" t="s">
        <v>3806</v>
      </c>
      <c r="G548" s="738" t="s">
        <v>3807</v>
      </c>
      <c r="H548" s="644" t="s">
        <v>2201</v>
      </c>
      <c r="I548" s="636"/>
      <c r="J548" s="644"/>
      <c r="K548" s="739"/>
      <c r="L548" s="735">
        <v>12</v>
      </c>
      <c r="M548" s="736">
        <v>121960.79999999997</v>
      </c>
      <c r="N548" s="735"/>
      <c r="O548" s="735">
        <v>6</v>
      </c>
      <c r="P548" s="736">
        <v>61044.9</v>
      </c>
      <c r="Q548" s="214"/>
    </row>
    <row r="549" spans="1:17" ht="12" customHeight="1" x14ac:dyDescent="0.2">
      <c r="A549" s="735" t="s">
        <v>2169</v>
      </c>
      <c r="B549" s="735" t="s">
        <v>2170</v>
      </c>
      <c r="C549" s="735" t="s">
        <v>451</v>
      </c>
      <c r="D549" s="644" t="s">
        <v>3808</v>
      </c>
      <c r="E549" s="736">
        <v>10000</v>
      </c>
      <c r="F549" s="737" t="s">
        <v>3809</v>
      </c>
      <c r="G549" s="738" t="s">
        <v>3810</v>
      </c>
      <c r="H549" s="644" t="s">
        <v>2201</v>
      </c>
      <c r="I549" s="636"/>
      <c r="J549" s="644"/>
      <c r="K549" s="739"/>
      <c r="L549" s="735">
        <v>12</v>
      </c>
      <c r="M549" s="736">
        <v>122506.80999999997</v>
      </c>
      <c r="N549" s="735"/>
      <c r="O549" s="735">
        <v>2</v>
      </c>
      <c r="P549" s="736">
        <v>17029.82</v>
      </c>
      <c r="Q549" s="214"/>
    </row>
    <row r="550" spans="1:17" ht="12" customHeight="1" x14ac:dyDescent="0.2">
      <c r="A550" s="735" t="s">
        <v>2169</v>
      </c>
      <c r="B550" s="735" t="s">
        <v>2170</v>
      </c>
      <c r="C550" s="735" t="s">
        <v>451</v>
      </c>
      <c r="D550" s="644" t="s">
        <v>3811</v>
      </c>
      <c r="E550" s="736">
        <v>4000</v>
      </c>
      <c r="F550" s="737" t="s">
        <v>3812</v>
      </c>
      <c r="G550" s="738" t="s">
        <v>3813</v>
      </c>
      <c r="H550" s="644" t="s">
        <v>2372</v>
      </c>
      <c r="I550" s="636" t="s">
        <v>2741</v>
      </c>
      <c r="J550" s="644" t="s">
        <v>2741</v>
      </c>
      <c r="K550" s="739"/>
      <c r="L550" s="735">
        <v>12</v>
      </c>
      <c r="M550" s="736">
        <v>50624.920000000006</v>
      </c>
      <c r="N550" s="735"/>
      <c r="O550" s="735">
        <v>6</v>
      </c>
      <c r="P550" s="736">
        <v>24911.57</v>
      </c>
      <c r="Q550" s="214"/>
    </row>
    <row r="551" spans="1:17" ht="12" customHeight="1" x14ac:dyDescent="0.2">
      <c r="A551" s="735" t="s">
        <v>2169</v>
      </c>
      <c r="B551" s="735" t="s">
        <v>2170</v>
      </c>
      <c r="C551" s="735" t="s">
        <v>451</v>
      </c>
      <c r="D551" s="644" t="s">
        <v>3814</v>
      </c>
      <c r="E551" s="736">
        <v>4000</v>
      </c>
      <c r="F551" s="737" t="s">
        <v>3815</v>
      </c>
      <c r="G551" s="738" t="s">
        <v>3816</v>
      </c>
      <c r="H551" s="644" t="s">
        <v>3817</v>
      </c>
      <c r="I551" s="636" t="s">
        <v>2284</v>
      </c>
      <c r="J551" s="644" t="s">
        <v>2284</v>
      </c>
      <c r="K551" s="739"/>
      <c r="L551" s="735">
        <v>12</v>
      </c>
      <c r="M551" s="736">
        <v>45459.700000000004</v>
      </c>
      <c r="N551" s="735"/>
      <c r="O551" s="735">
        <v>6</v>
      </c>
      <c r="P551" s="736">
        <v>25074.21</v>
      </c>
      <c r="Q551" s="214"/>
    </row>
    <row r="552" spans="1:17" ht="12" customHeight="1" x14ac:dyDescent="0.2">
      <c r="A552" s="735" t="s">
        <v>2169</v>
      </c>
      <c r="B552" s="735" t="s">
        <v>2170</v>
      </c>
      <c r="C552" s="735" t="s">
        <v>451</v>
      </c>
      <c r="D552" s="644" t="s">
        <v>3818</v>
      </c>
      <c r="E552" s="736">
        <v>3000</v>
      </c>
      <c r="F552" s="737" t="s">
        <v>3819</v>
      </c>
      <c r="G552" s="738" t="s">
        <v>3820</v>
      </c>
      <c r="H552" s="644" t="s">
        <v>2201</v>
      </c>
      <c r="I552" s="636"/>
      <c r="J552" s="644"/>
      <c r="K552" s="739"/>
      <c r="L552" s="735">
        <v>12</v>
      </c>
      <c r="M552" s="736">
        <v>37960.80000000001</v>
      </c>
      <c r="N552" s="735"/>
      <c r="O552" s="735">
        <v>6</v>
      </c>
      <c r="P552" s="736">
        <v>18941.45</v>
      </c>
      <c r="Q552" s="214"/>
    </row>
    <row r="553" spans="1:17" ht="12" customHeight="1" x14ac:dyDescent="0.2">
      <c r="A553" s="735" t="s">
        <v>2169</v>
      </c>
      <c r="B553" s="735" t="s">
        <v>2170</v>
      </c>
      <c r="C553" s="735" t="s">
        <v>451</v>
      </c>
      <c r="D553" s="644" t="s">
        <v>3821</v>
      </c>
      <c r="E553" s="736">
        <v>9500</v>
      </c>
      <c r="F553" s="737" t="s">
        <v>3822</v>
      </c>
      <c r="G553" s="738" t="s">
        <v>3823</v>
      </c>
      <c r="H553" s="644" t="s">
        <v>2201</v>
      </c>
      <c r="I553" s="636"/>
      <c r="J553" s="644"/>
      <c r="K553" s="739"/>
      <c r="L553" s="735">
        <v>11</v>
      </c>
      <c r="M553" s="736">
        <v>106047.39999999998</v>
      </c>
      <c r="N553" s="735"/>
      <c r="O553" s="735"/>
      <c r="P553" s="736"/>
      <c r="Q553" s="214"/>
    </row>
    <row r="554" spans="1:17" ht="12" customHeight="1" x14ac:dyDescent="0.2">
      <c r="A554" s="735" t="s">
        <v>2169</v>
      </c>
      <c r="B554" s="735" t="s">
        <v>2170</v>
      </c>
      <c r="C554" s="735" t="s">
        <v>451</v>
      </c>
      <c r="D554" s="644" t="s">
        <v>3824</v>
      </c>
      <c r="E554" s="736">
        <v>8000</v>
      </c>
      <c r="F554" s="737" t="s">
        <v>3825</v>
      </c>
      <c r="G554" s="738" t="s">
        <v>3826</v>
      </c>
      <c r="H554" s="644" t="s">
        <v>2420</v>
      </c>
      <c r="I554" s="636" t="s">
        <v>2228</v>
      </c>
      <c r="J554" s="644"/>
      <c r="K554" s="739"/>
      <c r="L554" s="735">
        <v>1</v>
      </c>
      <c r="M554" s="736">
        <v>7846.73</v>
      </c>
      <c r="N554" s="735"/>
      <c r="O554" s="735">
        <v>6</v>
      </c>
      <c r="P554" s="736">
        <v>49044.9</v>
      </c>
      <c r="Q554" s="214"/>
    </row>
    <row r="555" spans="1:17" ht="12" customHeight="1" x14ac:dyDescent="0.2">
      <c r="A555" s="735" t="s">
        <v>2169</v>
      </c>
      <c r="B555" s="735" t="s">
        <v>2170</v>
      </c>
      <c r="C555" s="735" t="s">
        <v>451</v>
      </c>
      <c r="D555" s="644" t="s">
        <v>3827</v>
      </c>
      <c r="E555" s="736">
        <v>5000</v>
      </c>
      <c r="F555" s="737" t="s">
        <v>3828</v>
      </c>
      <c r="G555" s="738" t="s">
        <v>3829</v>
      </c>
      <c r="H555" s="644" t="s">
        <v>3162</v>
      </c>
      <c r="I555" s="636" t="s">
        <v>2385</v>
      </c>
      <c r="J555" s="644" t="s">
        <v>2385</v>
      </c>
      <c r="K555" s="739"/>
      <c r="L555" s="735">
        <v>12</v>
      </c>
      <c r="M555" s="736">
        <v>61203.470000000008</v>
      </c>
      <c r="N555" s="735"/>
      <c r="O555" s="735">
        <v>6</v>
      </c>
      <c r="P555" s="736">
        <v>31044.9</v>
      </c>
      <c r="Q555" s="214"/>
    </row>
    <row r="556" spans="1:17" ht="12" customHeight="1" x14ac:dyDescent="0.2">
      <c r="A556" s="735" t="s">
        <v>2169</v>
      </c>
      <c r="B556" s="735" t="s">
        <v>2170</v>
      </c>
      <c r="C556" s="735" t="s">
        <v>451</v>
      </c>
      <c r="D556" s="644" t="s">
        <v>3022</v>
      </c>
      <c r="E556" s="736">
        <v>6000</v>
      </c>
      <c r="F556" s="737" t="s">
        <v>3830</v>
      </c>
      <c r="G556" s="738" t="s">
        <v>3831</v>
      </c>
      <c r="H556" s="644" t="s">
        <v>2201</v>
      </c>
      <c r="I556" s="636"/>
      <c r="J556" s="644"/>
      <c r="K556" s="739"/>
      <c r="L556" s="735">
        <v>12</v>
      </c>
      <c r="M556" s="736">
        <v>73957.53</v>
      </c>
      <c r="N556" s="735"/>
      <c r="O556" s="735">
        <v>7</v>
      </c>
      <c r="P556" s="736">
        <v>51158.270000000004</v>
      </c>
      <c r="Q556" s="214"/>
    </row>
    <row r="557" spans="1:17" ht="12" customHeight="1" x14ac:dyDescent="0.2">
      <c r="A557" s="735" t="s">
        <v>2169</v>
      </c>
      <c r="B557" s="735" t="s">
        <v>2170</v>
      </c>
      <c r="C557" s="735" t="s">
        <v>451</v>
      </c>
      <c r="D557" s="644" t="s">
        <v>3832</v>
      </c>
      <c r="E557" s="736">
        <v>15600</v>
      </c>
      <c r="F557" s="737" t="s">
        <v>3833</v>
      </c>
      <c r="G557" s="738" t="s">
        <v>3834</v>
      </c>
      <c r="H557" s="644" t="s">
        <v>2317</v>
      </c>
      <c r="I557" s="636" t="s">
        <v>2175</v>
      </c>
      <c r="J557" s="644" t="s">
        <v>2317</v>
      </c>
      <c r="K557" s="739"/>
      <c r="L557" s="735">
        <v>12</v>
      </c>
      <c r="M557" s="736">
        <v>189160.79999999996</v>
      </c>
      <c r="N557" s="735"/>
      <c r="O557" s="735">
        <v>6</v>
      </c>
      <c r="P557" s="736">
        <v>93084.9</v>
      </c>
      <c r="Q557" s="214"/>
    </row>
    <row r="558" spans="1:17" ht="12" customHeight="1" x14ac:dyDescent="0.2">
      <c r="A558" s="735" t="s">
        <v>2169</v>
      </c>
      <c r="B558" s="735" t="s">
        <v>2170</v>
      </c>
      <c r="C558" s="735" t="s">
        <v>451</v>
      </c>
      <c r="D558" s="644" t="s">
        <v>2925</v>
      </c>
      <c r="E558" s="736">
        <v>12000</v>
      </c>
      <c r="F558" s="737" t="s">
        <v>3835</v>
      </c>
      <c r="G558" s="738" t="s">
        <v>3836</v>
      </c>
      <c r="H558" s="644" t="s">
        <v>2179</v>
      </c>
      <c r="I558" s="636" t="s">
        <v>2180</v>
      </c>
      <c r="J558" s="644" t="s">
        <v>2180</v>
      </c>
      <c r="K558" s="739"/>
      <c r="L558" s="735">
        <v>12</v>
      </c>
      <c r="M558" s="736">
        <v>145960.79999999996</v>
      </c>
      <c r="N558" s="735"/>
      <c r="O558" s="735">
        <v>6</v>
      </c>
      <c r="P558" s="736">
        <v>73044.899999999994</v>
      </c>
      <c r="Q558" s="214"/>
    </row>
    <row r="559" spans="1:17" ht="12" customHeight="1" x14ac:dyDescent="0.2">
      <c r="A559" s="735" t="s">
        <v>2169</v>
      </c>
      <c r="B559" s="735" t="s">
        <v>2170</v>
      </c>
      <c r="C559" s="735" t="s">
        <v>451</v>
      </c>
      <c r="D559" s="644" t="s">
        <v>2788</v>
      </c>
      <c r="E559" s="736">
        <v>5000</v>
      </c>
      <c r="F559" s="737" t="s">
        <v>3837</v>
      </c>
      <c r="G559" s="738" t="s">
        <v>3838</v>
      </c>
      <c r="H559" s="644" t="s">
        <v>3839</v>
      </c>
      <c r="I559" s="636" t="s">
        <v>2385</v>
      </c>
      <c r="J559" s="644" t="s">
        <v>2385</v>
      </c>
      <c r="K559" s="739"/>
      <c r="L559" s="735">
        <v>12</v>
      </c>
      <c r="M559" s="736">
        <v>62127.470000000008</v>
      </c>
      <c r="N559" s="735"/>
      <c r="O559" s="735">
        <v>6</v>
      </c>
      <c r="P559" s="736">
        <v>31044.9</v>
      </c>
      <c r="Q559" s="214"/>
    </row>
    <row r="560" spans="1:17" ht="12" customHeight="1" x14ac:dyDescent="0.2">
      <c r="A560" s="735" t="s">
        <v>2169</v>
      </c>
      <c r="B560" s="735" t="s">
        <v>2170</v>
      </c>
      <c r="C560" s="735" t="s">
        <v>451</v>
      </c>
      <c r="D560" s="644" t="s">
        <v>3840</v>
      </c>
      <c r="E560" s="736">
        <v>8000</v>
      </c>
      <c r="F560" s="737" t="s">
        <v>3841</v>
      </c>
      <c r="G560" s="738" t="s">
        <v>3842</v>
      </c>
      <c r="H560" s="644" t="s">
        <v>3843</v>
      </c>
      <c r="I560" s="636" t="s">
        <v>2228</v>
      </c>
      <c r="J560" s="644" t="s">
        <v>3843</v>
      </c>
      <c r="K560" s="739"/>
      <c r="L560" s="735">
        <v>12</v>
      </c>
      <c r="M560" s="736">
        <v>99401.599999999977</v>
      </c>
      <c r="N560" s="735"/>
      <c r="O560" s="735">
        <v>6</v>
      </c>
      <c r="P560" s="736">
        <v>49044.9</v>
      </c>
      <c r="Q560" s="214"/>
    </row>
    <row r="561" spans="1:17" ht="12" customHeight="1" x14ac:dyDescent="0.2">
      <c r="A561" s="735" t="s">
        <v>2169</v>
      </c>
      <c r="B561" s="735" t="s">
        <v>2170</v>
      </c>
      <c r="C561" s="735" t="s">
        <v>451</v>
      </c>
      <c r="D561" s="644" t="s">
        <v>3585</v>
      </c>
      <c r="E561" s="736">
        <v>7000</v>
      </c>
      <c r="F561" s="737" t="s">
        <v>3844</v>
      </c>
      <c r="G561" s="738" t="s">
        <v>3845</v>
      </c>
      <c r="H561" s="644" t="s">
        <v>2179</v>
      </c>
      <c r="I561" s="636" t="s">
        <v>2250</v>
      </c>
      <c r="J561" s="644" t="s">
        <v>2250</v>
      </c>
      <c r="K561" s="739"/>
      <c r="L561" s="735">
        <v>12</v>
      </c>
      <c r="M561" s="736">
        <v>85927.439999999988</v>
      </c>
      <c r="N561" s="735"/>
      <c r="O561" s="735">
        <v>6</v>
      </c>
      <c r="P561" s="736">
        <v>43044.9</v>
      </c>
      <c r="Q561" s="214"/>
    </row>
    <row r="562" spans="1:17" ht="12" customHeight="1" x14ac:dyDescent="0.2">
      <c r="A562" s="735" t="s">
        <v>2169</v>
      </c>
      <c r="B562" s="735" t="s">
        <v>2170</v>
      </c>
      <c r="C562" s="735" t="s">
        <v>451</v>
      </c>
      <c r="D562" s="644" t="s">
        <v>2446</v>
      </c>
      <c r="E562" s="736">
        <v>2500</v>
      </c>
      <c r="F562" s="737" t="s">
        <v>3846</v>
      </c>
      <c r="G562" s="738" t="s">
        <v>3847</v>
      </c>
      <c r="H562" s="644" t="s">
        <v>2212</v>
      </c>
      <c r="I562" s="636" t="s">
        <v>2213</v>
      </c>
      <c r="J562" s="644" t="s">
        <v>2213</v>
      </c>
      <c r="K562" s="739"/>
      <c r="L562" s="735">
        <v>12</v>
      </c>
      <c r="M562" s="736">
        <v>31958.990000000005</v>
      </c>
      <c r="N562" s="735"/>
      <c r="O562" s="735">
        <v>6</v>
      </c>
      <c r="P562" s="736">
        <v>16039.869999999999</v>
      </c>
      <c r="Q562" s="214"/>
    </row>
    <row r="563" spans="1:17" ht="12" customHeight="1" x14ac:dyDescent="0.2">
      <c r="A563" s="735" t="s">
        <v>2169</v>
      </c>
      <c r="B563" s="735" t="s">
        <v>2170</v>
      </c>
      <c r="C563" s="735" t="s">
        <v>451</v>
      </c>
      <c r="D563" s="644" t="s">
        <v>3848</v>
      </c>
      <c r="E563" s="736">
        <v>4500</v>
      </c>
      <c r="F563" s="737" t="s">
        <v>3849</v>
      </c>
      <c r="G563" s="738" t="s">
        <v>3850</v>
      </c>
      <c r="H563" s="644" t="s">
        <v>3851</v>
      </c>
      <c r="I563" s="636" t="s">
        <v>2284</v>
      </c>
      <c r="J563" s="644" t="s">
        <v>2284</v>
      </c>
      <c r="K563" s="739"/>
      <c r="L563" s="735">
        <v>12</v>
      </c>
      <c r="M563" s="736">
        <v>55960.80000000001</v>
      </c>
      <c r="N563" s="735"/>
      <c r="O563" s="735">
        <v>6</v>
      </c>
      <c r="P563" s="736">
        <v>28032.61</v>
      </c>
      <c r="Q563" s="214"/>
    </row>
    <row r="564" spans="1:17" ht="12" customHeight="1" x14ac:dyDescent="0.2">
      <c r="A564" s="735" t="s">
        <v>2169</v>
      </c>
      <c r="B564" s="735" t="s">
        <v>2170</v>
      </c>
      <c r="C564" s="735" t="s">
        <v>451</v>
      </c>
      <c r="D564" s="644" t="s">
        <v>3852</v>
      </c>
      <c r="E564" s="736">
        <v>9000</v>
      </c>
      <c r="F564" s="737" t="s">
        <v>3853</v>
      </c>
      <c r="G564" s="738" t="s">
        <v>3854</v>
      </c>
      <c r="H564" s="644" t="s">
        <v>2174</v>
      </c>
      <c r="I564" s="636" t="s">
        <v>2250</v>
      </c>
      <c r="J564" s="644" t="s">
        <v>2250</v>
      </c>
      <c r="K564" s="739"/>
      <c r="L564" s="735">
        <v>12</v>
      </c>
      <c r="M564" s="736">
        <v>109847.39999999998</v>
      </c>
      <c r="N564" s="735"/>
      <c r="O564" s="735">
        <v>6</v>
      </c>
      <c r="P564" s="736">
        <v>55005.460000000006</v>
      </c>
      <c r="Q564" s="214"/>
    </row>
    <row r="565" spans="1:17" ht="12" customHeight="1" x14ac:dyDescent="0.2">
      <c r="A565" s="735" t="s">
        <v>2169</v>
      </c>
      <c r="B565" s="735" t="s">
        <v>2170</v>
      </c>
      <c r="C565" s="735" t="s">
        <v>451</v>
      </c>
      <c r="D565" s="644" t="s">
        <v>3855</v>
      </c>
      <c r="E565" s="736">
        <v>8000</v>
      </c>
      <c r="F565" s="737" t="s">
        <v>3856</v>
      </c>
      <c r="G565" s="738" t="s">
        <v>3857</v>
      </c>
      <c r="H565" s="644" t="s">
        <v>3858</v>
      </c>
      <c r="I565" s="636" t="s">
        <v>2250</v>
      </c>
      <c r="J565" s="644" t="s">
        <v>2250</v>
      </c>
      <c r="K565" s="739"/>
      <c r="L565" s="735">
        <v>12</v>
      </c>
      <c r="M565" s="736">
        <v>97952.819999999992</v>
      </c>
      <c r="N565" s="735"/>
      <c r="O565" s="735">
        <v>6</v>
      </c>
      <c r="P565" s="736">
        <v>48966.740000000005</v>
      </c>
      <c r="Q565" s="214"/>
    </row>
    <row r="566" spans="1:17" ht="12" customHeight="1" x14ac:dyDescent="0.2">
      <c r="A566" s="735" t="s">
        <v>2169</v>
      </c>
      <c r="B566" s="735" t="s">
        <v>2170</v>
      </c>
      <c r="C566" s="735" t="s">
        <v>451</v>
      </c>
      <c r="D566" s="644" t="s">
        <v>2446</v>
      </c>
      <c r="E566" s="736">
        <v>2500</v>
      </c>
      <c r="F566" s="737" t="s">
        <v>3859</v>
      </c>
      <c r="G566" s="738" t="s">
        <v>3860</v>
      </c>
      <c r="H566" s="644" t="s">
        <v>3861</v>
      </c>
      <c r="I566" s="636" t="s">
        <v>2241</v>
      </c>
      <c r="J566" s="644" t="s">
        <v>2241</v>
      </c>
      <c r="K566" s="739"/>
      <c r="L566" s="735">
        <v>12</v>
      </c>
      <c r="M566" s="736">
        <v>31960.800000000007</v>
      </c>
      <c r="N566" s="735"/>
      <c r="O566" s="735">
        <v>6</v>
      </c>
      <c r="P566" s="736">
        <v>16044.9</v>
      </c>
      <c r="Q566" s="214"/>
    </row>
    <row r="567" spans="1:17" ht="12" customHeight="1" x14ac:dyDescent="0.2">
      <c r="A567" s="735" t="s">
        <v>2169</v>
      </c>
      <c r="B567" s="735" t="s">
        <v>2170</v>
      </c>
      <c r="C567" s="735" t="s">
        <v>451</v>
      </c>
      <c r="D567" s="644" t="s">
        <v>3862</v>
      </c>
      <c r="E567" s="736">
        <v>7000</v>
      </c>
      <c r="F567" s="737" t="s">
        <v>3863</v>
      </c>
      <c r="G567" s="738" t="s">
        <v>3864</v>
      </c>
      <c r="H567" s="644" t="s">
        <v>2174</v>
      </c>
      <c r="I567" s="636" t="s">
        <v>2250</v>
      </c>
      <c r="J567" s="644" t="s">
        <v>2250</v>
      </c>
      <c r="K567" s="739"/>
      <c r="L567" s="735">
        <v>12</v>
      </c>
      <c r="M567" s="736">
        <v>86159.209999999992</v>
      </c>
      <c r="N567" s="735"/>
      <c r="O567" s="735">
        <v>6</v>
      </c>
      <c r="P567" s="736">
        <v>42980.54</v>
      </c>
      <c r="Q567" s="214"/>
    </row>
    <row r="568" spans="1:17" ht="12" customHeight="1" x14ac:dyDescent="0.2">
      <c r="A568" s="735" t="s">
        <v>2169</v>
      </c>
      <c r="B568" s="735" t="s">
        <v>2170</v>
      </c>
      <c r="C568" s="735" t="s">
        <v>451</v>
      </c>
      <c r="D568" s="644" t="s">
        <v>2636</v>
      </c>
      <c r="E568" s="736">
        <v>7000</v>
      </c>
      <c r="F568" s="737" t="s">
        <v>3865</v>
      </c>
      <c r="G568" s="738" t="s">
        <v>3866</v>
      </c>
      <c r="H568" s="644" t="s">
        <v>2201</v>
      </c>
      <c r="I568" s="636"/>
      <c r="J568" s="644"/>
      <c r="K568" s="739"/>
      <c r="L568" s="735">
        <v>12</v>
      </c>
      <c r="M568" s="736">
        <v>85896.67</v>
      </c>
      <c r="N568" s="735"/>
      <c r="O568" s="735">
        <v>6</v>
      </c>
      <c r="P568" s="736">
        <v>41205.39</v>
      </c>
      <c r="Q568" s="214"/>
    </row>
    <row r="569" spans="1:17" ht="12" customHeight="1" x14ac:dyDescent="0.2">
      <c r="A569" s="735" t="s">
        <v>2169</v>
      </c>
      <c r="B569" s="735" t="s">
        <v>2170</v>
      </c>
      <c r="C569" s="735" t="s">
        <v>451</v>
      </c>
      <c r="D569" s="644" t="s">
        <v>3867</v>
      </c>
      <c r="E569" s="736">
        <v>2700</v>
      </c>
      <c r="F569" s="737" t="s">
        <v>3868</v>
      </c>
      <c r="G569" s="738" t="s">
        <v>3869</v>
      </c>
      <c r="H569" s="644" t="s">
        <v>2253</v>
      </c>
      <c r="I569" s="636" t="s">
        <v>2254</v>
      </c>
      <c r="J569" s="644" t="s">
        <v>2254</v>
      </c>
      <c r="K569" s="739"/>
      <c r="L569" s="735">
        <v>12</v>
      </c>
      <c r="M569" s="736">
        <v>34360.80000000001</v>
      </c>
      <c r="N569" s="735"/>
      <c r="O569" s="735">
        <v>6</v>
      </c>
      <c r="P569" s="736">
        <v>17244.900000000001</v>
      </c>
      <c r="Q569" s="214"/>
    </row>
    <row r="570" spans="1:17" ht="12" customHeight="1" x14ac:dyDescent="0.2">
      <c r="A570" s="735" t="s">
        <v>2169</v>
      </c>
      <c r="B570" s="735" t="s">
        <v>2170</v>
      </c>
      <c r="C570" s="735" t="s">
        <v>451</v>
      </c>
      <c r="D570" s="644" t="s">
        <v>3870</v>
      </c>
      <c r="E570" s="736">
        <v>5000</v>
      </c>
      <c r="F570" s="737" t="s">
        <v>3871</v>
      </c>
      <c r="G570" s="738" t="s">
        <v>3872</v>
      </c>
      <c r="H570" s="644" t="s">
        <v>2201</v>
      </c>
      <c r="I570" s="636"/>
      <c r="J570" s="644"/>
      <c r="K570" s="739"/>
      <c r="L570" s="735">
        <v>12</v>
      </c>
      <c r="M570" s="736">
        <v>63375.80000000001</v>
      </c>
      <c r="N570" s="735"/>
      <c r="O570" s="735">
        <v>6</v>
      </c>
      <c r="P570" s="736">
        <v>31044.9</v>
      </c>
      <c r="Q570" s="214"/>
    </row>
    <row r="571" spans="1:17" ht="12" customHeight="1" x14ac:dyDescent="0.2">
      <c r="A571" s="735" t="s">
        <v>2169</v>
      </c>
      <c r="B571" s="735" t="s">
        <v>2170</v>
      </c>
      <c r="C571" s="735" t="s">
        <v>451</v>
      </c>
      <c r="D571" s="644" t="s">
        <v>3873</v>
      </c>
      <c r="E571" s="736">
        <v>3200</v>
      </c>
      <c r="F571" s="737" t="s">
        <v>3874</v>
      </c>
      <c r="G571" s="738" t="s">
        <v>3875</v>
      </c>
      <c r="H571" s="644" t="s">
        <v>2384</v>
      </c>
      <c r="I571" s="636" t="s">
        <v>2241</v>
      </c>
      <c r="J571" s="644" t="s">
        <v>2241</v>
      </c>
      <c r="K571" s="739"/>
      <c r="L571" s="735">
        <v>12</v>
      </c>
      <c r="M571" s="736">
        <v>40362.840000000011</v>
      </c>
      <c r="N571" s="735"/>
      <c r="O571" s="735">
        <v>6</v>
      </c>
      <c r="P571" s="736">
        <v>20225.36</v>
      </c>
      <c r="Q571" s="214"/>
    </row>
    <row r="572" spans="1:17" ht="12" customHeight="1" x14ac:dyDescent="0.2">
      <c r="A572" s="735" t="s">
        <v>2169</v>
      </c>
      <c r="B572" s="735" t="s">
        <v>2170</v>
      </c>
      <c r="C572" s="735" t="s">
        <v>451</v>
      </c>
      <c r="D572" s="644" t="s">
        <v>3876</v>
      </c>
      <c r="E572" s="736">
        <v>5000</v>
      </c>
      <c r="F572" s="737" t="s">
        <v>3877</v>
      </c>
      <c r="G572" s="738" t="s">
        <v>3878</v>
      </c>
      <c r="H572" s="644" t="s">
        <v>2201</v>
      </c>
      <c r="I572" s="636" t="s">
        <v>2201</v>
      </c>
      <c r="J572" s="644"/>
      <c r="K572" s="739"/>
      <c r="L572" s="735">
        <v>2</v>
      </c>
      <c r="M572" s="736">
        <v>10826.8</v>
      </c>
      <c r="N572" s="735"/>
      <c r="O572" s="735">
        <v>1</v>
      </c>
      <c r="P572" s="736">
        <v>1049.1500000000001</v>
      </c>
      <c r="Q572" s="214"/>
    </row>
    <row r="573" spans="1:17" ht="12" customHeight="1" x14ac:dyDescent="0.2">
      <c r="A573" s="735" t="s">
        <v>2169</v>
      </c>
      <c r="B573" s="735" t="s">
        <v>2170</v>
      </c>
      <c r="C573" s="735" t="s">
        <v>451</v>
      </c>
      <c r="D573" s="644" t="s">
        <v>3879</v>
      </c>
      <c r="E573" s="736">
        <v>12000</v>
      </c>
      <c r="F573" s="737" t="s">
        <v>3880</v>
      </c>
      <c r="G573" s="738" t="s">
        <v>3881</v>
      </c>
      <c r="H573" s="644" t="s">
        <v>2189</v>
      </c>
      <c r="I573" s="636" t="s">
        <v>2180</v>
      </c>
      <c r="J573" s="644" t="s">
        <v>2180</v>
      </c>
      <c r="K573" s="739"/>
      <c r="L573" s="735">
        <v>12</v>
      </c>
      <c r="M573" s="736">
        <v>146694.12999999998</v>
      </c>
      <c r="N573" s="735"/>
      <c r="O573" s="735">
        <v>7</v>
      </c>
      <c r="P573" s="736">
        <v>91400.36</v>
      </c>
      <c r="Q573" s="214"/>
    </row>
    <row r="574" spans="1:17" ht="12" customHeight="1" x14ac:dyDescent="0.2">
      <c r="A574" s="735" t="s">
        <v>2169</v>
      </c>
      <c r="B574" s="735" t="s">
        <v>2170</v>
      </c>
      <c r="C574" s="735" t="s">
        <v>451</v>
      </c>
      <c r="D574" s="644" t="s">
        <v>3882</v>
      </c>
      <c r="E574" s="736">
        <v>10000</v>
      </c>
      <c r="F574" s="737" t="s">
        <v>3883</v>
      </c>
      <c r="G574" s="738" t="s">
        <v>3884</v>
      </c>
      <c r="H574" s="644" t="s">
        <v>2174</v>
      </c>
      <c r="I574" s="636" t="s">
        <v>2250</v>
      </c>
      <c r="J574" s="644" t="s">
        <v>2250</v>
      </c>
      <c r="K574" s="739"/>
      <c r="L574" s="735">
        <v>12</v>
      </c>
      <c r="M574" s="736">
        <v>121837.41999999998</v>
      </c>
      <c r="N574" s="735"/>
      <c r="O574" s="735">
        <v>6</v>
      </c>
      <c r="P574" s="736">
        <v>61039.87</v>
      </c>
      <c r="Q574" s="214"/>
    </row>
    <row r="575" spans="1:17" ht="12" customHeight="1" x14ac:dyDescent="0.2">
      <c r="A575" s="735" t="s">
        <v>2169</v>
      </c>
      <c r="B575" s="735" t="s">
        <v>2170</v>
      </c>
      <c r="C575" s="735" t="s">
        <v>451</v>
      </c>
      <c r="D575" s="644" t="s">
        <v>3885</v>
      </c>
      <c r="E575" s="736">
        <v>15600</v>
      </c>
      <c r="F575" s="737" t="s">
        <v>3886</v>
      </c>
      <c r="G575" s="738" t="s">
        <v>3887</v>
      </c>
      <c r="H575" s="644">
        <v>0</v>
      </c>
      <c r="I575" s="636">
        <v>0</v>
      </c>
      <c r="J575" s="644">
        <v>0</v>
      </c>
      <c r="K575" s="739"/>
      <c r="L575" s="735">
        <v>1</v>
      </c>
      <c r="M575" s="736">
        <v>9473.4</v>
      </c>
      <c r="N575" s="735"/>
      <c r="O575" s="735"/>
      <c r="P575" s="736"/>
      <c r="Q575" s="214"/>
    </row>
    <row r="576" spans="1:17" ht="12" customHeight="1" x14ac:dyDescent="0.2">
      <c r="A576" s="735" t="s">
        <v>2169</v>
      </c>
      <c r="B576" s="735" t="s">
        <v>2170</v>
      </c>
      <c r="C576" s="735" t="s">
        <v>451</v>
      </c>
      <c r="D576" s="644" t="s">
        <v>3888</v>
      </c>
      <c r="E576" s="736">
        <v>4000</v>
      </c>
      <c r="F576" s="737" t="s">
        <v>3889</v>
      </c>
      <c r="G576" s="738" t="s">
        <v>3890</v>
      </c>
      <c r="H576" s="644" t="s">
        <v>2979</v>
      </c>
      <c r="I576" s="636" t="s">
        <v>2180</v>
      </c>
      <c r="J576" s="644" t="s">
        <v>2180</v>
      </c>
      <c r="K576" s="739"/>
      <c r="L576" s="735">
        <v>1</v>
      </c>
      <c r="M576" s="736">
        <v>3935.08</v>
      </c>
      <c r="N576" s="735"/>
      <c r="O576" s="735"/>
      <c r="P576" s="736"/>
      <c r="Q576" s="214"/>
    </row>
    <row r="577" spans="1:17" ht="12" customHeight="1" x14ac:dyDescent="0.2">
      <c r="A577" s="735" t="s">
        <v>2169</v>
      </c>
      <c r="B577" s="735" t="s">
        <v>2170</v>
      </c>
      <c r="C577" s="735" t="s">
        <v>451</v>
      </c>
      <c r="D577" s="644" t="s">
        <v>3891</v>
      </c>
      <c r="E577" s="736">
        <v>3000</v>
      </c>
      <c r="F577" s="737" t="s">
        <v>3892</v>
      </c>
      <c r="G577" s="738" t="s">
        <v>3893</v>
      </c>
      <c r="H577" s="644" t="s">
        <v>2745</v>
      </c>
      <c r="I577" s="636" t="s">
        <v>2385</v>
      </c>
      <c r="J577" s="644" t="s">
        <v>2385</v>
      </c>
      <c r="K577" s="739"/>
      <c r="L577" s="735">
        <v>12</v>
      </c>
      <c r="M577" s="736">
        <v>38871.599999999999</v>
      </c>
      <c r="N577" s="735"/>
      <c r="O577" s="735">
        <v>6</v>
      </c>
      <c r="P577" s="736">
        <v>19044.900000000001</v>
      </c>
      <c r="Q577" s="214"/>
    </row>
    <row r="578" spans="1:17" ht="12" customHeight="1" x14ac:dyDescent="0.2">
      <c r="A578" s="735" t="s">
        <v>2169</v>
      </c>
      <c r="B578" s="735" t="s">
        <v>2170</v>
      </c>
      <c r="C578" s="735" t="s">
        <v>451</v>
      </c>
      <c r="D578" s="644" t="s">
        <v>3894</v>
      </c>
      <c r="E578" s="736">
        <v>4600</v>
      </c>
      <c r="F578" s="737" t="s">
        <v>3895</v>
      </c>
      <c r="G578" s="738" t="s">
        <v>3896</v>
      </c>
      <c r="H578" s="644" t="s">
        <v>2201</v>
      </c>
      <c r="I578" s="636"/>
      <c r="J578" s="644"/>
      <c r="K578" s="739"/>
      <c r="L578" s="735">
        <v>4</v>
      </c>
      <c r="M578" s="736">
        <v>19374.32</v>
      </c>
      <c r="N578" s="735"/>
      <c r="O578" s="735"/>
      <c r="P578" s="736"/>
      <c r="Q578" s="214"/>
    </row>
    <row r="579" spans="1:17" ht="12" customHeight="1" x14ac:dyDescent="0.2">
      <c r="A579" s="735" t="s">
        <v>2169</v>
      </c>
      <c r="B579" s="735" t="s">
        <v>2170</v>
      </c>
      <c r="C579" s="735" t="s">
        <v>451</v>
      </c>
      <c r="D579" s="644" t="s">
        <v>3897</v>
      </c>
      <c r="E579" s="736">
        <v>3000</v>
      </c>
      <c r="F579" s="737" t="s">
        <v>3898</v>
      </c>
      <c r="G579" s="738" t="s">
        <v>3899</v>
      </c>
      <c r="H579" s="644" t="s">
        <v>2201</v>
      </c>
      <c r="I579" s="636"/>
      <c r="J579" s="644"/>
      <c r="K579" s="739"/>
      <c r="L579" s="735">
        <v>1</v>
      </c>
      <c r="M579" s="736">
        <v>1513.4</v>
      </c>
      <c r="N579" s="735"/>
      <c r="O579" s="735"/>
      <c r="P579" s="736"/>
      <c r="Q579" s="214"/>
    </row>
    <row r="580" spans="1:17" ht="12" customHeight="1" x14ac:dyDescent="0.2">
      <c r="A580" s="735" t="s">
        <v>2169</v>
      </c>
      <c r="B580" s="735" t="s">
        <v>2170</v>
      </c>
      <c r="C580" s="735" t="s">
        <v>451</v>
      </c>
      <c r="D580" s="644" t="s">
        <v>2636</v>
      </c>
      <c r="E580" s="736">
        <v>7000</v>
      </c>
      <c r="F580" s="737" t="s">
        <v>3900</v>
      </c>
      <c r="G580" s="738" t="s">
        <v>3901</v>
      </c>
      <c r="H580" s="644" t="s">
        <v>2201</v>
      </c>
      <c r="I580" s="636"/>
      <c r="J580" s="644"/>
      <c r="K580" s="739"/>
      <c r="L580" s="735">
        <v>12</v>
      </c>
      <c r="M580" s="736">
        <v>85958.9</v>
      </c>
      <c r="N580" s="735"/>
      <c r="O580" s="735">
        <v>6</v>
      </c>
      <c r="P580" s="736">
        <v>43021.770000000004</v>
      </c>
      <c r="Q580" s="214"/>
    </row>
    <row r="581" spans="1:17" ht="12" customHeight="1" x14ac:dyDescent="0.2">
      <c r="A581" s="735" t="s">
        <v>2169</v>
      </c>
      <c r="B581" s="735" t="s">
        <v>2232</v>
      </c>
      <c r="C581" s="735" t="s">
        <v>451</v>
      </c>
      <c r="D581" s="644" t="s">
        <v>3902</v>
      </c>
      <c r="E581" s="736">
        <v>7000</v>
      </c>
      <c r="F581" s="737" t="s">
        <v>3903</v>
      </c>
      <c r="G581" s="738" t="s">
        <v>3904</v>
      </c>
      <c r="H581" s="644" t="s">
        <v>2317</v>
      </c>
      <c r="I581" s="636" t="s">
        <v>2180</v>
      </c>
      <c r="J581" s="644" t="s">
        <v>2180</v>
      </c>
      <c r="K581" s="739"/>
      <c r="L581" s="735">
        <v>12</v>
      </c>
      <c r="M581" s="736">
        <v>85929.689999999988</v>
      </c>
      <c r="N581" s="735"/>
      <c r="O581" s="735">
        <v>5</v>
      </c>
      <c r="P581" s="736">
        <v>35838.57</v>
      </c>
      <c r="Q581" s="214"/>
    </row>
    <row r="582" spans="1:17" ht="12" customHeight="1" x14ac:dyDescent="0.2">
      <c r="A582" s="735" t="s">
        <v>2169</v>
      </c>
      <c r="B582" s="735" t="s">
        <v>2170</v>
      </c>
      <c r="C582" s="735" t="s">
        <v>451</v>
      </c>
      <c r="D582" s="644" t="s">
        <v>3905</v>
      </c>
      <c r="E582" s="736">
        <v>10000</v>
      </c>
      <c r="F582" s="737" t="s">
        <v>3906</v>
      </c>
      <c r="G582" s="738" t="s">
        <v>3907</v>
      </c>
      <c r="H582" s="644" t="s">
        <v>2543</v>
      </c>
      <c r="I582" s="636" t="s">
        <v>2180</v>
      </c>
      <c r="J582" s="644" t="s">
        <v>2180</v>
      </c>
      <c r="K582" s="739"/>
      <c r="L582" s="735">
        <v>12</v>
      </c>
      <c r="M582" s="736">
        <v>122960.79999999999</v>
      </c>
      <c r="N582" s="735"/>
      <c r="O582" s="735">
        <v>6</v>
      </c>
      <c r="P582" s="736">
        <v>61036.28</v>
      </c>
      <c r="Q582" s="214"/>
    </row>
    <row r="583" spans="1:17" ht="12" customHeight="1" x14ac:dyDescent="0.2">
      <c r="A583" s="735" t="s">
        <v>2169</v>
      </c>
      <c r="B583" s="735" t="s">
        <v>2170</v>
      </c>
      <c r="C583" s="735" t="s">
        <v>451</v>
      </c>
      <c r="D583" s="644" t="s">
        <v>3908</v>
      </c>
      <c r="E583" s="736">
        <v>2500</v>
      </c>
      <c r="F583" s="737" t="s">
        <v>3909</v>
      </c>
      <c r="G583" s="738" t="s">
        <v>3910</v>
      </c>
      <c r="H583" s="644" t="s">
        <v>2201</v>
      </c>
      <c r="I583" s="636"/>
      <c r="J583" s="644"/>
      <c r="K583" s="739"/>
      <c r="L583" s="735">
        <v>12</v>
      </c>
      <c r="M583" s="736">
        <v>32127.460000000006</v>
      </c>
      <c r="N583" s="735"/>
      <c r="O583" s="735">
        <v>6</v>
      </c>
      <c r="P583" s="736">
        <v>16044.9</v>
      </c>
      <c r="Q583" s="214"/>
    </row>
    <row r="584" spans="1:17" ht="12" customHeight="1" x14ac:dyDescent="0.2">
      <c r="A584" s="735" t="s">
        <v>2169</v>
      </c>
      <c r="B584" s="735" t="s">
        <v>2170</v>
      </c>
      <c r="C584" s="735" t="s">
        <v>451</v>
      </c>
      <c r="D584" s="644" t="s">
        <v>2925</v>
      </c>
      <c r="E584" s="736">
        <v>9000</v>
      </c>
      <c r="F584" s="737" t="s">
        <v>3911</v>
      </c>
      <c r="G584" s="738" t="s">
        <v>3912</v>
      </c>
      <c r="H584" s="644" t="s">
        <v>2236</v>
      </c>
      <c r="I584" s="636" t="s">
        <v>2175</v>
      </c>
      <c r="J584" s="644"/>
      <c r="K584" s="739"/>
      <c r="L584" s="735">
        <v>4</v>
      </c>
      <c r="M584" s="736">
        <v>36453.599999999999</v>
      </c>
      <c r="N584" s="735"/>
      <c r="O584" s="735">
        <v>6</v>
      </c>
      <c r="P584" s="736">
        <v>54977</v>
      </c>
      <c r="Q584" s="214"/>
    </row>
    <row r="585" spans="1:17" ht="12" customHeight="1" x14ac:dyDescent="0.2">
      <c r="A585" s="735" t="s">
        <v>2169</v>
      </c>
      <c r="B585" s="735" t="s">
        <v>2170</v>
      </c>
      <c r="C585" s="735" t="s">
        <v>451</v>
      </c>
      <c r="D585" s="644" t="s">
        <v>2261</v>
      </c>
      <c r="E585" s="736">
        <v>5000</v>
      </c>
      <c r="F585" s="737" t="s">
        <v>3913</v>
      </c>
      <c r="G585" s="738" t="s">
        <v>3914</v>
      </c>
      <c r="H585" s="644" t="s">
        <v>3915</v>
      </c>
      <c r="I585" s="636" t="s">
        <v>2180</v>
      </c>
      <c r="J585" s="644" t="s">
        <v>2180</v>
      </c>
      <c r="K585" s="739"/>
      <c r="L585" s="735">
        <v>12</v>
      </c>
      <c r="M585" s="736">
        <v>61844.680000000008</v>
      </c>
      <c r="N585" s="735"/>
      <c r="O585" s="735">
        <v>6</v>
      </c>
      <c r="P585" s="736">
        <v>31039.15</v>
      </c>
      <c r="Q585" s="214"/>
    </row>
    <row r="586" spans="1:17" ht="12" customHeight="1" x14ac:dyDescent="0.2">
      <c r="A586" s="735" t="s">
        <v>2169</v>
      </c>
      <c r="B586" s="735" t="s">
        <v>2232</v>
      </c>
      <c r="C586" s="735" t="s">
        <v>451</v>
      </c>
      <c r="D586" s="644" t="s">
        <v>2560</v>
      </c>
      <c r="E586" s="736">
        <v>4500</v>
      </c>
      <c r="F586" s="737" t="s">
        <v>3916</v>
      </c>
      <c r="G586" s="738" t="s">
        <v>3917</v>
      </c>
      <c r="H586" s="644" t="s">
        <v>3918</v>
      </c>
      <c r="I586" s="636" t="s">
        <v>2284</v>
      </c>
      <c r="J586" s="644" t="s">
        <v>2284</v>
      </c>
      <c r="K586" s="739"/>
      <c r="L586" s="735">
        <v>10</v>
      </c>
      <c r="M586" s="736">
        <v>46734.000000000007</v>
      </c>
      <c r="N586" s="735"/>
      <c r="O586" s="735">
        <v>5</v>
      </c>
      <c r="P586" s="736">
        <v>23370.75</v>
      </c>
      <c r="Q586" s="214"/>
    </row>
    <row r="587" spans="1:17" ht="12" customHeight="1" x14ac:dyDescent="0.2">
      <c r="A587" s="735" t="s">
        <v>2169</v>
      </c>
      <c r="B587" s="735" t="s">
        <v>2170</v>
      </c>
      <c r="C587" s="735" t="s">
        <v>451</v>
      </c>
      <c r="D587" s="644" t="s">
        <v>3919</v>
      </c>
      <c r="E587" s="736">
        <v>4000</v>
      </c>
      <c r="F587" s="737" t="s">
        <v>3920</v>
      </c>
      <c r="G587" s="738" t="s">
        <v>3921</v>
      </c>
      <c r="H587" s="644" t="s">
        <v>3057</v>
      </c>
      <c r="I587" s="636" t="s">
        <v>2180</v>
      </c>
      <c r="J587" s="644" t="s">
        <v>2180</v>
      </c>
      <c r="K587" s="739"/>
      <c r="L587" s="735">
        <v>12</v>
      </c>
      <c r="M587" s="736">
        <v>49847.400000000009</v>
      </c>
      <c r="N587" s="735"/>
      <c r="O587" s="735">
        <v>6</v>
      </c>
      <c r="P587" s="736">
        <v>24635.42</v>
      </c>
      <c r="Q587" s="214"/>
    </row>
    <row r="588" spans="1:17" ht="12" customHeight="1" x14ac:dyDescent="0.2">
      <c r="A588" s="735" t="s">
        <v>2169</v>
      </c>
      <c r="B588" s="735" t="s">
        <v>2170</v>
      </c>
      <c r="C588" s="735" t="s">
        <v>451</v>
      </c>
      <c r="D588" s="644" t="s">
        <v>2630</v>
      </c>
      <c r="E588" s="736">
        <v>8000</v>
      </c>
      <c r="F588" s="737" t="s">
        <v>3922</v>
      </c>
      <c r="G588" s="738" t="s">
        <v>3923</v>
      </c>
      <c r="H588" s="644" t="s">
        <v>2420</v>
      </c>
      <c r="I588" s="636" t="s">
        <v>2246</v>
      </c>
      <c r="J588" s="644" t="s">
        <v>2420</v>
      </c>
      <c r="K588" s="739"/>
      <c r="L588" s="735">
        <v>9</v>
      </c>
      <c r="M588" s="736">
        <v>74920.599999999991</v>
      </c>
      <c r="N588" s="735"/>
      <c r="O588" s="735">
        <v>6</v>
      </c>
      <c r="P588" s="736">
        <v>49021.340000000004</v>
      </c>
      <c r="Q588" s="214"/>
    </row>
    <row r="589" spans="1:17" ht="12" customHeight="1" x14ac:dyDescent="0.2">
      <c r="A589" s="735" t="s">
        <v>2169</v>
      </c>
      <c r="B589" s="735" t="s">
        <v>2170</v>
      </c>
      <c r="C589" s="735" t="s">
        <v>451</v>
      </c>
      <c r="D589" s="644" t="s">
        <v>3924</v>
      </c>
      <c r="E589" s="736">
        <v>6000</v>
      </c>
      <c r="F589" s="737" t="s">
        <v>3925</v>
      </c>
      <c r="G589" s="738" t="s">
        <v>3926</v>
      </c>
      <c r="H589" s="644">
        <v>0</v>
      </c>
      <c r="I589" s="636">
        <v>0</v>
      </c>
      <c r="J589" s="644">
        <v>0</v>
      </c>
      <c r="K589" s="739"/>
      <c r="L589" s="735">
        <v>4</v>
      </c>
      <c r="M589" s="736">
        <v>24453.599999999999</v>
      </c>
      <c r="N589" s="735"/>
      <c r="O589" s="735"/>
      <c r="P589" s="736"/>
      <c r="Q589" s="214"/>
    </row>
    <row r="590" spans="1:17" ht="12" customHeight="1" x14ac:dyDescent="0.2">
      <c r="A590" s="735" t="s">
        <v>2169</v>
      </c>
      <c r="B590" s="735" t="s">
        <v>2170</v>
      </c>
      <c r="C590" s="735" t="s">
        <v>451</v>
      </c>
      <c r="D590" s="644" t="s">
        <v>2630</v>
      </c>
      <c r="E590" s="736">
        <v>8000</v>
      </c>
      <c r="F590" s="737" t="s">
        <v>3927</v>
      </c>
      <c r="G590" s="738" t="s">
        <v>3928</v>
      </c>
      <c r="H590" s="644" t="s">
        <v>2317</v>
      </c>
      <c r="I590" s="636" t="s">
        <v>2250</v>
      </c>
      <c r="J590" s="644" t="s">
        <v>2250</v>
      </c>
      <c r="K590" s="739"/>
      <c r="L590" s="735">
        <v>12</v>
      </c>
      <c r="M590" s="736">
        <v>98002.069999999992</v>
      </c>
      <c r="N590" s="735"/>
      <c r="O590" s="735">
        <v>2</v>
      </c>
      <c r="P590" s="736">
        <v>17202.129999999997</v>
      </c>
      <c r="Q590" s="214"/>
    </row>
    <row r="591" spans="1:17" ht="12" customHeight="1" x14ac:dyDescent="0.2">
      <c r="A591" s="735" t="s">
        <v>2169</v>
      </c>
      <c r="B591" s="735" t="s">
        <v>2170</v>
      </c>
      <c r="C591" s="735" t="s">
        <v>451</v>
      </c>
      <c r="D591" s="644" t="s">
        <v>2225</v>
      </c>
      <c r="E591" s="736">
        <v>10000</v>
      </c>
      <c r="F591" s="737" t="s">
        <v>3929</v>
      </c>
      <c r="G591" s="738" t="s">
        <v>3930</v>
      </c>
      <c r="H591" s="644">
        <v>0</v>
      </c>
      <c r="I591" s="636">
        <v>0</v>
      </c>
      <c r="J591" s="644">
        <v>0</v>
      </c>
      <c r="K591" s="739"/>
      <c r="L591" s="735">
        <v>3</v>
      </c>
      <c r="M591" s="736">
        <v>30266.730000000003</v>
      </c>
      <c r="N591" s="735"/>
      <c r="O591" s="735"/>
      <c r="P591" s="736"/>
      <c r="Q591" s="214"/>
    </row>
    <row r="592" spans="1:17" ht="12" customHeight="1" x14ac:dyDescent="0.2">
      <c r="A592" s="735" t="s">
        <v>2169</v>
      </c>
      <c r="B592" s="735" t="s">
        <v>2170</v>
      </c>
      <c r="C592" s="735" t="s">
        <v>451</v>
      </c>
      <c r="D592" s="644" t="s">
        <v>3931</v>
      </c>
      <c r="E592" s="736">
        <v>10000</v>
      </c>
      <c r="F592" s="737" t="s">
        <v>3932</v>
      </c>
      <c r="G592" s="738" t="s">
        <v>3933</v>
      </c>
      <c r="H592" s="644" t="s">
        <v>2985</v>
      </c>
      <c r="I592" s="636" t="s">
        <v>2228</v>
      </c>
      <c r="J592" s="644" t="s">
        <v>2985</v>
      </c>
      <c r="K592" s="739"/>
      <c r="L592" s="735">
        <v>12</v>
      </c>
      <c r="M592" s="736">
        <v>122294.12999999996</v>
      </c>
      <c r="N592" s="735"/>
      <c r="O592" s="735">
        <v>6</v>
      </c>
      <c r="P592" s="736">
        <v>60685.710000000006</v>
      </c>
      <c r="Q592" s="214"/>
    </row>
    <row r="593" spans="1:17" ht="12" customHeight="1" x14ac:dyDescent="0.2">
      <c r="A593" s="735" t="s">
        <v>2169</v>
      </c>
      <c r="B593" s="735" t="s">
        <v>2170</v>
      </c>
      <c r="C593" s="735" t="s">
        <v>451</v>
      </c>
      <c r="D593" s="644" t="s">
        <v>2265</v>
      </c>
      <c r="E593" s="736">
        <v>8000</v>
      </c>
      <c r="F593" s="737" t="s">
        <v>3934</v>
      </c>
      <c r="G593" s="738" t="s">
        <v>3935</v>
      </c>
      <c r="H593" s="644" t="s">
        <v>2189</v>
      </c>
      <c r="I593" s="636" t="s">
        <v>2180</v>
      </c>
      <c r="J593" s="644" t="s">
        <v>2180</v>
      </c>
      <c r="K593" s="739"/>
      <c r="L593" s="735">
        <v>12</v>
      </c>
      <c r="M593" s="736">
        <v>98212.229999999981</v>
      </c>
      <c r="N593" s="735"/>
      <c r="O593" s="735">
        <v>6</v>
      </c>
      <c r="P593" s="736">
        <v>48977.66</v>
      </c>
      <c r="Q593" s="214"/>
    </row>
    <row r="594" spans="1:17" ht="12" customHeight="1" x14ac:dyDescent="0.2">
      <c r="A594" s="735" t="s">
        <v>2169</v>
      </c>
      <c r="B594" s="735" t="s">
        <v>2170</v>
      </c>
      <c r="C594" s="735" t="s">
        <v>451</v>
      </c>
      <c r="D594" s="644" t="s">
        <v>3936</v>
      </c>
      <c r="E594" s="736">
        <v>7000</v>
      </c>
      <c r="F594" s="737" t="s">
        <v>3937</v>
      </c>
      <c r="G594" s="738" t="s">
        <v>3938</v>
      </c>
      <c r="H594" s="644" t="s">
        <v>3939</v>
      </c>
      <c r="I594" s="636" t="s">
        <v>2228</v>
      </c>
      <c r="J594" s="644" t="s">
        <v>3939</v>
      </c>
      <c r="K594" s="739"/>
      <c r="L594" s="735">
        <v>12</v>
      </c>
      <c r="M594" s="736">
        <v>86189.69</v>
      </c>
      <c r="N594" s="735"/>
      <c r="O594" s="735">
        <v>6</v>
      </c>
      <c r="P594" s="736">
        <v>42929.24</v>
      </c>
      <c r="Q594" s="214"/>
    </row>
    <row r="595" spans="1:17" ht="12" customHeight="1" x14ac:dyDescent="0.2">
      <c r="A595" s="735" t="s">
        <v>2169</v>
      </c>
      <c r="B595" s="735" t="s">
        <v>2170</v>
      </c>
      <c r="C595" s="735" t="s">
        <v>451</v>
      </c>
      <c r="D595" s="644" t="s">
        <v>3940</v>
      </c>
      <c r="E595" s="736">
        <v>8000</v>
      </c>
      <c r="F595" s="737" t="s">
        <v>3941</v>
      </c>
      <c r="G595" s="738" t="s">
        <v>3942</v>
      </c>
      <c r="H595" s="644" t="s">
        <v>3339</v>
      </c>
      <c r="I595" s="636" t="s">
        <v>2393</v>
      </c>
      <c r="J595" s="644" t="s">
        <v>2393</v>
      </c>
      <c r="K595" s="739"/>
      <c r="L595" s="735">
        <v>12</v>
      </c>
      <c r="M595" s="736">
        <v>97960.799999999988</v>
      </c>
      <c r="N595" s="735"/>
      <c r="O595" s="735">
        <v>6</v>
      </c>
      <c r="P595" s="736">
        <v>49044.9</v>
      </c>
      <c r="Q595" s="214"/>
    </row>
    <row r="596" spans="1:17" ht="12" customHeight="1" x14ac:dyDescent="0.2">
      <c r="A596" s="735" t="s">
        <v>2169</v>
      </c>
      <c r="B596" s="735" t="s">
        <v>2170</v>
      </c>
      <c r="C596" s="735" t="s">
        <v>451</v>
      </c>
      <c r="D596" s="644" t="s">
        <v>2482</v>
      </c>
      <c r="E596" s="736">
        <v>12000</v>
      </c>
      <c r="F596" s="737" t="s">
        <v>3943</v>
      </c>
      <c r="G596" s="738" t="s">
        <v>3944</v>
      </c>
      <c r="H596" s="644" t="s">
        <v>2189</v>
      </c>
      <c r="I596" s="636" t="s">
        <v>2228</v>
      </c>
      <c r="J596" s="644" t="s">
        <v>2189</v>
      </c>
      <c r="K596" s="739"/>
      <c r="L596" s="735">
        <v>9</v>
      </c>
      <c r="M596" s="736">
        <v>109320.59999999998</v>
      </c>
      <c r="N596" s="735"/>
      <c r="O596" s="735"/>
      <c r="P596" s="736"/>
      <c r="Q596" s="214"/>
    </row>
    <row r="597" spans="1:17" ht="12" customHeight="1" x14ac:dyDescent="0.2">
      <c r="A597" s="735" t="s">
        <v>2169</v>
      </c>
      <c r="B597" s="735" t="s">
        <v>2170</v>
      </c>
      <c r="C597" s="735" t="s">
        <v>451</v>
      </c>
      <c r="D597" s="644" t="s">
        <v>3945</v>
      </c>
      <c r="E597" s="736">
        <v>7000</v>
      </c>
      <c r="F597" s="737" t="s">
        <v>3946</v>
      </c>
      <c r="G597" s="738" t="s">
        <v>3947</v>
      </c>
      <c r="H597" s="644" t="s">
        <v>2201</v>
      </c>
      <c r="I597" s="636"/>
      <c r="J597" s="644"/>
      <c r="K597" s="739"/>
      <c r="L597" s="735">
        <v>12</v>
      </c>
      <c r="M597" s="736">
        <v>85749.53</v>
      </c>
      <c r="N597" s="735"/>
      <c r="O597" s="735">
        <v>6</v>
      </c>
      <c r="P597" s="736">
        <v>40219.670000000006</v>
      </c>
      <c r="Q597" s="214"/>
    </row>
    <row r="598" spans="1:17" ht="12" customHeight="1" x14ac:dyDescent="0.2">
      <c r="A598" s="735" t="s">
        <v>2169</v>
      </c>
      <c r="B598" s="735" t="s">
        <v>2232</v>
      </c>
      <c r="C598" s="735" t="s">
        <v>451</v>
      </c>
      <c r="D598" s="644" t="s">
        <v>3948</v>
      </c>
      <c r="E598" s="736">
        <v>11000</v>
      </c>
      <c r="F598" s="737" t="s">
        <v>3949</v>
      </c>
      <c r="G598" s="738" t="s">
        <v>3950</v>
      </c>
      <c r="H598" s="644" t="s">
        <v>3057</v>
      </c>
      <c r="I598" s="636" t="s">
        <v>2250</v>
      </c>
      <c r="J598" s="644" t="s">
        <v>2250</v>
      </c>
      <c r="K598" s="739"/>
      <c r="L598" s="735">
        <v>12</v>
      </c>
      <c r="M598" s="736">
        <v>133960.79999999996</v>
      </c>
      <c r="N598" s="735"/>
      <c r="O598" s="735">
        <v>5</v>
      </c>
      <c r="P598" s="736">
        <v>55870.75</v>
      </c>
      <c r="Q598" s="214"/>
    </row>
    <row r="599" spans="1:17" ht="12" customHeight="1" x14ac:dyDescent="0.2">
      <c r="A599" s="735" t="s">
        <v>2169</v>
      </c>
      <c r="B599" s="735" t="s">
        <v>2170</v>
      </c>
      <c r="C599" s="735" t="s">
        <v>451</v>
      </c>
      <c r="D599" s="644" t="s">
        <v>3951</v>
      </c>
      <c r="E599" s="736">
        <v>6000</v>
      </c>
      <c r="F599" s="737" t="s">
        <v>3952</v>
      </c>
      <c r="G599" s="738" t="s">
        <v>3953</v>
      </c>
      <c r="H599" s="644" t="s">
        <v>3954</v>
      </c>
      <c r="I599" s="636" t="s">
        <v>2284</v>
      </c>
      <c r="J599" s="644" t="s">
        <v>2284</v>
      </c>
      <c r="K599" s="739"/>
      <c r="L599" s="735">
        <v>12</v>
      </c>
      <c r="M599" s="736">
        <v>53327.020000000004</v>
      </c>
      <c r="N599" s="735"/>
      <c r="O599" s="735">
        <v>6</v>
      </c>
      <c r="P599" s="736">
        <v>36927.230000000003</v>
      </c>
      <c r="Q599" s="214"/>
    </row>
    <row r="600" spans="1:17" ht="12" customHeight="1" x14ac:dyDescent="0.2">
      <c r="A600" s="735" t="s">
        <v>2169</v>
      </c>
      <c r="B600" s="735" t="s">
        <v>2170</v>
      </c>
      <c r="C600" s="735" t="s">
        <v>451</v>
      </c>
      <c r="D600" s="644" t="s">
        <v>3955</v>
      </c>
      <c r="E600" s="736">
        <v>5000</v>
      </c>
      <c r="F600" s="737" t="s">
        <v>3956</v>
      </c>
      <c r="G600" s="738" t="s">
        <v>3957</v>
      </c>
      <c r="H600" s="644">
        <v>0</v>
      </c>
      <c r="I600" s="636">
        <v>0</v>
      </c>
      <c r="J600" s="644">
        <v>0</v>
      </c>
      <c r="K600" s="739"/>
      <c r="L600" s="735">
        <v>3</v>
      </c>
      <c r="M600" s="736">
        <v>15340.199999999999</v>
      </c>
      <c r="N600" s="735"/>
      <c r="O600" s="735"/>
      <c r="P600" s="736"/>
      <c r="Q600" s="214"/>
    </row>
    <row r="601" spans="1:17" ht="12" customHeight="1" x14ac:dyDescent="0.2">
      <c r="A601" s="735" t="s">
        <v>2169</v>
      </c>
      <c r="B601" s="735" t="s">
        <v>2170</v>
      </c>
      <c r="C601" s="735" t="s">
        <v>451</v>
      </c>
      <c r="D601" s="644" t="s">
        <v>3958</v>
      </c>
      <c r="E601" s="736">
        <v>3500</v>
      </c>
      <c r="F601" s="737" t="s">
        <v>3959</v>
      </c>
      <c r="G601" s="738" t="s">
        <v>3960</v>
      </c>
      <c r="H601" s="644" t="s">
        <v>2253</v>
      </c>
      <c r="I601" s="636" t="s">
        <v>2254</v>
      </c>
      <c r="J601" s="644" t="s">
        <v>2254</v>
      </c>
      <c r="K601" s="739"/>
      <c r="L601" s="735">
        <v>12</v>
      </c>
      <c r="M601" s="736">
        <v>43964.070000000007</v>
      </c>
      <c r="N601" s="735"/>
      <c r="O601" s="735">
        <v>6</v>
      </c>
      <c r="P601" s="736">
        <v>22042.640000000003</v>
      </c>
      <c r="Q601" s="214"/>
    </row>
    <row r="602" spans="1:17" ht="12" customHeight="1" x14ac:dyDescent="0.2">
      <c r="A602" s="735" t="s">
        <v>2169</v>
      </c>
      <c r="B602" s="735" t="s">
        <v>2170</v>
      </c>
      <c r="C602" s="735" t="s">
        <v>451</v>
      </c>
      <c r="D602" s="644" t="s">
        <v>3244</v>
      </c>
      <c r="E602" s="736">
        <v>6000</v>
      </c>
      <c r="F602" s="737" t="s">
        <v>3961</v>
      </c>
      <c r="G602" s="738" t="s">
        <v>3962</v>
      </c>
      <c r="H602" s="644" t="s">
        <v>3963</v>
      </c>
      <c r="I602" s="636" t="s">
        <v>2250</v>
      </c>
      <c r="J602" s="644" t="s">
        <v>2250</v>
      </c>
      <c r="K602" s="739"/>
      <c r="L602" s="735">
        <v>12</v>
      </c>
      <c r="M602" s="736">
        <v>73770.670000000013</v>
      </c>
      <c r="N602" s="735"/>
      <c r="O602" s="735">
        <v>6</v>
      </c>
      <c r="P602" s="736">
        <v>36966.020000000004</v>
      </c>
      <c r="Q602" s="214"/>
    </row>
    <row r="603" spans="1:17" ht="12" customHeight="1" x14ac:dyDescent="0.2">
      <c r="A603" s="735" t="s">
        <v>2169</v>
      </c>
      <c r="B603" s="735" t="s">
        <v>2170</v>
      </c>
      <c r="C603" s="735" t="s">
        <v>451</v>
      </c>
      <c r="D603" s="644" t="s">
        <v>3808</v>
      </c>
      <c r="E603" s="736">
        <v>9000</v>
      </c>
      <c r="F603" s="737" t="s">
        <v>3964</v>
      </c>
      <c r="G603" s="738" t="s">
        <v>3965</v>
      </c>
      <c r="H603" s="644" t="s">
        <v>2201</v>
      </c>
      <c r="I603" s="636"/>
      <c r="J603" s="644"/>
      <c r="K603" s="739"/>
      <c r="L603" s="735">
        <v>12</v>
      </c>
      <c r="M603" s="736">
        <v>109746.98999999998</v>
      </c>
      <c r="N603" s="735"/>
      <c r="O603" s="735">
        <v>6</v>
      </c>
      <c r="P603" s="736">
        <v>54996.4</v>
      </c>
      <c r="Q603" s="214"/>
    </row>
    <row r="604" spans="1:17" ht="12" customHeight="1" x14ac:dyDescent="0.2">
      <c r="A604" s="735" t="s">
        <v>2169</v>
      </c>
      <c r="B604" s="735" t="s">
        <v>2170</v>
      </c>
      <c r="C604" s="735" t="s">
        <v>451</v>
      </c>
      <c r="D604" s="644" t="s">
        <v>3966</v>
      </c>
      <c r="E604" s="736">
        <v>13000</v>
      </c>
      <c r="F604" s="737" t="s">
        <v>3967</v>
      </c>
      <c r="G604" s="738" t="s">
        <v>3968</v>
      </c>
      <c r="H604" s="644" t="s">
        <v>2179</v>
      </c>
      <c r="I604" s="636" t="s">
        <v>2180</v>
      </c>
      <c r="J604" s="644" t="s">
        <v>2180</v>
      </c>
      <c r="K604" s="739"/>
      <c r="L604" s="735">
        <v>6</v>
      </c>
      <c r="M604" s="736">
        <v>52439.31</v>
      </c>
      <c r="N604" s="735"/>
      <c r="O604" s="735"/>
      <c r="P604" s="736"/>
      <c r="Q604" s="214"/>
    </row>
    <row r="605" spans="1:17" ht="12" customHeight="1" x14ac:dyDescent="0.2">
      <c r="A605" s="735" t="s">
        <v>2169</v>
      </c>
      <c r="B605" s="735" t="s">
        <v>2170</v>
      </c>
      <c r="C605" s="735" t="s">
        <v>451</v>
      </c>
      <c r="D605" s="644" t="s">
        <v>3969</v>
      </c>
      <c r="E605" s="736">
        <v>4500</v>
      </c>
      <c r="F605" s="737" t="s">
        <v>3970</v>
      </c>
      <c r="G605" s="738" t="s">
        <v>3971</v>
      </c>
      <c r="H605" s="644" t="s">
        <v>3972</v>
      </c>
      <c r="I605" s="636" t="s">
        <v>2284</v>
      </c>
      <c r="J605" s="644" t="s">
        <v>2284</v>
      </c>
      <c r="K605" s="739"/>
      <c r="L605" s="735">
        <v>12</v>
      </c>
      <c r="M605" s="736">
        <v>55948.560000000012</v>
      </c>
      <c r="N605" s="735"/>
      <c r="O605" s="735">
        <v>6</v>
      </c>
      <c r="P605" s="736">
        <v>27871.949999999997</v>
      </c>
      <c r="Q605" s="214"/>
    </row>
    <row r="606" spans="1:17" ht="12" customHeight="1" x14ac:dyDescent="0.2">
      <c r="A606" s="735" t="s">
        <v>2169</v>
      </c>
      <c r="B606" s="735" t="s">
        <v>2170</v>
      </c>
      <c r="C606" s="735" t="s">
        <v>451</v>
      </c>
      <c r="D606" s="644" t="s">
        <v>2825</v>
      </c>
      <c r="E606" s="736">
        <v>3500</v>
      </c>
      <c r="F606" s="737" t="s">
        <v>3973</v>
      </c>
      <c r="G606" s="738" t="s">
        <v>3974</v>
      </c>
      <c r="H606" s="644" t="s">
        <v>3975</v>
      </c>
      <c r="I606" s="636" t="s">
        <v>2741</v>
      </c>
      <c r="J606" s="644" t="s">
        <v>2741</v>
      </c>
      <c r="K606" s="739"/>
      <c r="L606" s="735">
        <v>12</v>
      </c>
      <c r="M606" s="736">
        <v>44073.030000000006</v>
      </c>
      <c r="N606" s="735"/>
      <c r="O606" s="735">
        <v>6</v>
      </c>
      <c r="P606" s="736">
        <v>22032.58</v>
      </c>
      <c r="Q606" s="214"/>
    </row>
    <row r="607" spans="1:17" ht="12" customHeight="1" x14ac:dyDescent="0.2">
      <c r="A607" s="735" t="s">
        <v>2169</v>
      </c>
      <c r="B607" s="735" t="s">
        <v>2170</v>
      </c>
      <c r="C607" s="735" t="s">
        <v>451</v>
      </c>
      <c r="D607" s="644" t="s">
        <v>2225</v>
      </c>
      <c r="E607" s="736">
        <v>9500</v>
      </c>
      <c r="F607" s="737" t="s">
        <v>3976</v>
      </c>
      <c r="G607" s="738" t="s">
        <v>3977</v>
      </c>
      <c r="H607" s="644" t="s">
        <v>2236</v>
      </c>
      <c r="I607" s="636" t="s">
        <v>2175</v>
      </c>
      <c r="J607" s="644"/>
      <c r="K607" s="739"/>
      <c r="L607" s="735">
        <v>6</v>
      </c>
      <c r="M607" s="736">
        <v>57347.070000000007</v>
      </c>
      <c r="N607" s="735"/>
      <c r="O607" s="735">
        <v>6</v>
      </c>
      <c r="P607" s="736">
        <v>57988.250000000007</v>
      </c>
      <c r="Q607" s="214"/>
    </row>
    <row r="608" spans="1:17" ht="12" customHeight="1" x14ac:dyDescent="0.2">
      <c r="A608" s="735" t="s">
        <v>2169</v>
      </c>
      <c r="B608" s="735" t="s">
        <v>2170</v>
      </c>
      <c r="C608" s="735" t="s">
        <v>451</v>
      </c>
      <c r="D608" s="644" t="s">
        <v>3108</v>
      </c>
      <c r="E608" s="736">
        <v>3700</v>
      </c>
      <c r="F608" s="737" t="s">
        <v>3978</v>
      </c>
      <c r="G608" s="738" t="s">
        <v>3979</v>
      </c>
      <c r="H608" s="644" t="s">
        <v>2647</v>
      </c>
      <c r="I608" s="636" t="s">
        <v>2393</v>
      </c>
      <c r="J608" s="644" t="s">
        <v>2393</v>
      </c>
      <c r="K608" s="739"/>
      <c r="L608" s="735">
        <v>12</v>
      </c>
      <c r="M608" s="736">
        <v>46360.80000000001</v>
      </c>
      <c r="N608" s="735"/>
      <c r="O608" s="735">
        <v>6</v>
      </c>
      <c r="P608" s="736">
        <v>23244.9</v>
      </c>
      <c r="Q608" s="214"/>
    </row>
    <row r="609" spans="1:17" ht="12" customHeight="1" x14ac:dyDescent="0.2">
      <c r="A609" s="735" t="s">
        <v>2169</v>
      </c>
      <c r="B609" s="735" t="s">
        <v>2170</v>
      </c>
      <c r="C609" s="735" t="s">
        <v>451</v>
      </c>
      <c r="D609" s="644" t="s">
        <v>3980</v>
      </c>
      <c r="E609" s="736">
        <v>13500</v>
      </c>
      <c r="F609" s="737" t="s">
        <v>3981</v>
      </c>
      <c r="G609" s="738" t="s">
        <v>3982</v>
      </c>
      <c r="H609" s="644" t="s">
        <v>2179</v>
      </c>
      <c r="I609" s="636" t="s">
        <v>2250</v>
      </c>
      <c r="J609" s="644" t="s">
        <v>2250</v>
      </c>
      <c r="K609" s="739"/>
      <c r="L609" s="735">
        <v>12</v>
      </c>
      <c r="M609" s="736">
        <v>163847.39999999997</v>
      </c>
      <c r="N609" s="735"/>
      <c r="O609" s="735">
        <v>7</v>
      </c>
      <c r="P609" s="736">
        <v>143522.4</v>
      </c>
      <c r="Q609" s="214"/>
    </row>
    <row r="610" spans="1:17" ht="12" customHeight="1" x14ac:dyDescent="0.2">
      <c r="A610" s="735" t="s">
        <v>2169</v>
      </c>
      <c r="B610" s="735" t="s">
        <v>2170</v>
      </c>
      <c r="C610" s="735" t="s">
        <v>451</v>
      </c>
      <c r="D610" s="644" t="s">
        <v>3800</v>
      </c>
      <c r="E610" s="736">
        <v>4000</v>
      </c>
      <c r="F610" s="737" t="s">
        <v>3983</v>
      </c>
      <c r="G610" s="738" t="s">
        <v>3984</v>
      </c>
      <c r="H610" s="644" t="s">
        <v>3800</v>
      </c>
      <c r="I610" s="636" t="s">
        <v>2218</v>
      </c>
      <c r="J610" s="644"/>
      <c r="K610" s="739"/>
      <c r="L610" s="735">
        <v>12</v>
      </c>
      <c r="M610" s="736">
        <v>50627.460000000006</v>
      </c>
      <c r="N610" s="735"/>
      <c r="O610" s="735">
        <v>6</v>
      </c>
      <c r="P610" s="736">
        <v>24895.190000000002</v>
      </c>
      <c r="Q610" s="214"/>
    </row>
    <row r="611" spans="1:17" ht="12" customHeight="1" x14ac:dyDescent="0.2">
      <c r="A611" s="735" t="s">
        <v>2169</v>
      </c>
      <c r="B611" s="735" t="s">
        <v>2170</v>
      </c>
      <c r="C611" s="735" t="s">
        <v>451</v>
      </c>
      <c r="D611" s="644" t="s">
        <v>3985</v>
      </c>
      <c r="E611" s="736">
        <v>6000</v>
      </c>
      <c r="F611" s="737" t="s">
        <v>3986</v>
      </c>
      <c r="G611" s="738" t="s">
        <v>3987</v>
      </c>
      <c r="H611" s="644" t="s">
        <v>2201</v>
      </c>
      <c r="I611" s="636"/>
      <c r="J611" s="644"/>
      <c r="K611" s="739"/>
      <c r="L611" s="735">
        <v>12</v>
      </c>
      <c r="M611" s="736">
        <v>73548.900000000009</v>
      </c>
      <c r="N611" s="735"/>
      <c r="O611" s="735">
        <v>6</v>
      </c>
      <c r="P611" s="736">
        <v>36940.160000000003</v>
      </c>
      <c r="Q611" s="214"/>
    </row>
    <row r="612" spans="1:17" ht="12" customHeight="1" x14ac:dyDescent="0.2">
      <c r="A612" s="735" t="s">
        <v>2169</v>
      </c>
      <c r="B612" s="735" t="s">
        <v>2170</v>
      </c>
      <c r="C612" s="735" t="s">
        <v>451</v>
      </c>
      <c r="D612" s="644" t="s">
        <v>3988</v>
      </c>
      <c r="E612" s="736">
        <v>8000</v>
      </c>
      <c r="F612" s="737" t="s">
        <v>3989</v>
      </c>
      <c r="G612" s="738" t="s">
        <v>3990</v>
      </c>
      <c r="H612" s="644" t="s">
        <v>2201</v>
      </c>
      <c r="I612" s="636"/>
      <c r="J612" s="644"/>
      <c r="K612" s="739"/>
      <c r="L612" s="735">
        <v>12</v>
      </c>
      <c r="M612" s="736">
        <v>93613.65</v>
      </c>
      <c r="N612" s="735"/>
      <c r="O612" s="735">
        <v>6</v>
      </c>
      <c r="P612" s="736">
        <v>49043.75</v>
      </c>
      <c r="Q612" s="214"/>
    </row>
    <row r="613" spans="1:17" ht="12" customHeight="1" x14ac:dyDescent="0.2">
      <c r="A613" s="735" t="s">
        <v>2169</v>
      </c>
      <c r="B613" s="735" t="s">
        <v>2170</v>
      </c>
      <c r="C613" s="735" t="s">
        <v>451</v>
      </c>
      <c r="D613" s="644" t="s">
        <v>3991</v>
      </c>
      <c r="E613" s="736">
        <v>6000</v>
      </c>
      <c r="F613" s="737" t="s">
        <v>3992</v>
      </c>
      <c r="G613" s="738" t="s">
        <v>3993</v>
      </c>
      <c r="H613" s="644" t="s">
        <v>2201</v>
      </c>
      <c r="I613" s="636"/>
      <c r="J613" s="644"/>
      <c r="K613" s="739"/>
      <c r="L613" s="735">
        <v>6</v>
      </c>
      <c r="M613" s="736">
        <v>36673.33</v>
      </c>
      <c r="N613" s="735"/>
      <c r="O613" s="735"/>
      <c r="P613" s="736"/>
      <c r="Q613" s="214"/>
    </row>
    <row r="614" spans="1:17" ht="12" customHeight="1" x14ac:dyDescent="0.2">
      <c r="A614" s="735" t="s">
        <v>2169</v>
      </c>
      <c r="B614" s="735" t="s">
        <v>2170</v>
      </c>
      <c r="C614" s="735" t="s">
        <v>451</v>
      </c>
      <c r="D614" s="644" t="s">
        <v>2404</v>
      </c>
      <c r="E614" s="736">
        <v>8000</v>
      </c>
      <c r="F614" s="737" t="s">
        <v>3994</v>
      </c>
      <c r="G614" s="738" t="s">
        <v>3995</v>
      </c>
      <c r="H614" s="644">
        <v>0</v>
      </c>
      <c r="I614" s="636">
        <v>0</v>
      </c>
      <c r="J614" s="644">
        <v>0</v>
      </c>
      <c r="K614" s="739"/>
      <c r="L614" s="735">
        <v>9</v>
      </c>
      <c r="M614" s="736">
        <v>66357.570000000007</v>
      </c>
      <c r="N614" s="735"/>
      <c r="O614" s="735"/>
      <c r="P614" s="736"/>
      <c r="Q614" s="214"/>
    </row>
    <row r="615" spans="1:17" ht="12" customHeight="1" x14ac:dyDescent="0.2">
      <c r="A615" s="735" t="s">
        <v>2169</v>
      </c>
      <c r="B615" s="735" t="s">
        <v>2232</v>
      </c>
      <c r="C615" s="735" t="s">
        <v>451</v>
      </c>
      <c r="D615" s="644" t="s">
        <v>3996</v>
      </c>
      <c r="E615" s="736">
        <v>9000</v>
      </c>
      <c r="F615" s="737" t="s">
        <v>3997</v>
      </c>
      <c r="G615" s="738" t="s">
        <v>3998</v>
      </c>
      <c r="H615" s="644" t="s">
        <v>2179</v>
      </c>
      <c r="I615" s="636" t="s">
        <v>2250</v>
      </c>
      <c r="J615" s="644" t="s">
        <v>2250</v>
      </c>
      <c r="K615" s="739"/>
      <c r="L615" s="735">
        <v>12</v>
      </c>
      <c r="M615" s="736">
        <v>110719.57999999999</v>
      </c>
      <c r="N615" s="735"/>
      <c r="O615" s="735">
        <v>5</v>
      </c>
      <c r="P615" s="736">
        <v>45809.32</v>
      </c>
      <c r="Q615" s="214"/>
    </row>
    <row r="616" spans="1:17" ht="12" customHeight="1" x14ac:dyDescent="0.2">
      <c r="A616" s="735" t="s">
        <v>2169</v>
      </c>
      <c r="B616" s="735" t="s">
        <v>2170</v>
      </c>
      <c r="C616" s="735" t="s">
        <v>451</v>
      </c>
      <c r="D616" s="644" t="s">
        <v>3730</v>
      </c>
      <c r="E616" s="736">
        <v>15600</v>
      </c>
      <c r="F616" s="737" t="s">
        <v>3999</v>
      </c>
      <c r="G616" s="738" t="s">
        <v>4000</v>
      </c>
      <c r="H616" s="644" t="s">
        <v>2245</v>
      </c>
      <c r="I616" s="636" t="s">
        <v>2180</v>
      </c>
      <c r="J616" s="644" t="s">
        <v>2180</v>
      </c>
      <c r="K616" s="739"/>
      <c r="L616" s="735">
        <v>2</v>
      </c>
      <c r="M616" s="736">
        <v>19986.8</v>
      </c>
      <c r="N616" s="735"/>
      <c r="O616" s="735"/>
      <c r="P616" s="736"/>
      <c r="Q616" s="214"/>
    </row>
    <row r="617" spans="1:17" ht="12" customHeight="1" x14ac:dyDescent="0.2">
      <c r="A617" s="735" t="s">
        <v>2169</v>
      </c>
      <c r="B617" s="735" t="s">
        <v>2170</v>
      </c>
      <c r="C617" s="735" t="s">
        <v>451</v>
      </c>
      <c r="D617" s="644" t="s">
        <v>2225</v>
      </c>
      <c r="E617" s="736">
        <v>10000</v>
      </c>
      <c r="F617" s="737" t="s">
        <v>4001</v>
      </c>
      <c r="G617" s="738" t="s">
        <v>4002</v>
      </c>
      <c r="H617" s="644" t="s">
        <v>2179</v>
      </c>
      <c r="I617" s="636" t="s">
        <v>2296</v>
      </c>
      <c r="J617" s="644" t="s">
        <v>2296</v>
      </c>
      <c r="K617" s="739"/>
      <c r="L617" s="735">
        <v>12</v>
      </c>
      <c r="M617" s="736">
        <v>121620.20999999998</v>
      </c>
      <c r="N617" s="735"/>
      <c r="O617" s="735">
        <v>6</v>
      </c>
      <c r="P617" s="736">
        <v>61037.72</v>
      </c>
      <c r="Q617" s="214"/>
    </row>
    <row r="618" spans="1:17" ht="12" customHeight="1" x14ac:dyDescent="0.2">
      <c r="A618" s="735" t="s">
        <v>2169</v>
      </c>
      <c r="B618" s="735" t="s">
        <v>2170</v>
      </c>
      <c r="C618" s="735" t="s">
        <v>451</v>
      </c>
      <c r="D618" s="644" t="s">
        <v>4003</v>
      </c>
      <c r="E618" s="736">
        <v>7000</v>
      </c>
      <c r="F618" s="737" t="s">
        <v>4004</v>
      </c>
      <c r="G618" s="738" t="s">
        <v>4005</v>
      </c>
      <c r="H618" s="644" t="s">
        <v>2179</v>
      </c>
      <c r="I618" s="636" t="s">
        <v>2228</v>
      </c>
      <c r="J618" s="644" t="s">
        <v>2179</v>
      </c>
      <c r="K618" s="739"/>
      <c r="L618" s="735">
        <v>12</v>
      </c>
      <c r="M618" s="736">
        <v>86080.73</v>
      </c>
      <c r="N618" s="735"/>
      <c r="O618" s="735">
        <v>6</v>
      </c>
      <c r="P618" s="736">
        <v>43027.3</v>
      </c>
      <c r="Q618" s="214"/>
    </row>
    <row r="619" spans="1:17" ht="12" customHeight="1" x14ac:dyDescent="0.2">
      <c r="A619" s="735" t="s">
        <v>2169</v>
      </c>
      <c r="B619" s="735" t="s">
        <v>2170</v>
      </c>
      <c r="C619" s="735" t="s">
        <v>451</v>
      </c>
      <c r="D619" s="644" t="s">
        <v>4006</v>
      </c>
      <c r="E619" s="736">
        <v>10000</v>
      </c>
      <c r="F619" s="737" t="s">
        <v>4007</v>
      </c>
      <c r="G619" s="738" t="s">
        <v>4008</v>
      </c>
      <c r="H619" s="644" t="s">
        <v>2924</v>
      </c>
      <c r="I619" s="636" t="s">
        <v>2228</v>
      </c>
      <c r="J619" s="644" t="s">
        <v>2924</v>
      </c>
      <c r="K619" s="739"/>
      <c r="L619" s="735">
        <v>12</v>
      </c>
      <c r="M619" s="736">
        <v>121924.51999999997</v>
      </c>
      <c r="N619" s="735"/>
      <c r="O619" s="735">
        <v>6</v>
      </c>
      <c r="P619" s="736">
        <v>59932.85</v>
      </c>
      <c r="Q619" s="214"/>
    </row>
    <row r="620" spans="1:17" ht="12" customHeight="1" x14ac:dyDescent="0.2">
      <c r="A620" s="735" t="s">
        <v>2169</v>
      </c>
      <c r="B620" s="735" t="s">
        <v>2170</v>
      </c>
      <c r="C620" s="735" t="s">
        <v>451</v>
      </c>
      <c r="D620" s="644" t="s">
        <v>2630</v>
      </c>
      <c r="E620" s="736">
        <v>8000</v>
      </c>
      <c r="F620" s="737" t="s">
        <v>4009</v>
      </c>
      <c r="G620" s="738" t="s">
        <v>4010</v>
      </c>
      <c r="H620" s="644" t="s">
        <v>2420</v>
      </c>
      <c r="I620" s="636" t="s">
        <v>2228</v>
      </c>
      <c r="J620" s="644"/>
      <c r="K620" s="739"/>
      <c r="L620" s="735">
        <v>2</v>
      </c>
      <c r="M620" s="736">
        <v>17126.8</v>
      </c>
      <c r="N620" s="735"/>
      <c r="O620" s="735">
        <v>6</v>
      </c>
      <c r="P620" s="736">
        <v>49010.420000000006</v>
      </c>
      <c r="Q620" s="214"/>
    </row>
    <row r="621" spans="1:17" ht="12" customHeight="1" x14ac:dyDescent="0.2">
      <c r="A621" s="735" t="s">
        <v>2169</v>
      </c>
      <c r="B621" s="735" t="s">
        <v>2232</v>
      </c>
      <c r="C621" s="735" t="s">
        <v>451</v>
      </c>
      <c r="D621" s="644" t="s">
        <v>2272</v>
      </c>
      <c r="E621" s="736">
        <v>9500</v>
      </c>
      <c r="F621" s="737" t="s">
        <v>4011</v>
      </c>
      <c r="G621" s="738" t="s">
        <v>4012</v>
      </c>
      <c r="H621" s="644" t="s">
        <v>3057</v>
      </c>
      <c r="I621" s="636" t="s">
        <v>2250</v>
      </c>
      <c r="J621" s="644" t="s">
        <v>2250</v>
      </c>
      <c r="K621" s="739"/>
      <c r="L621" s="735">
        <v>11</v>
      </c>
      <c r="M621" s="736">
        <v>105705.73999999998</v>
      </c>
      <c r="N621" s="735"/>
      <c r="O621" s="735">
        <v>1</v>
      </c>
      <c r="P621" s="736">
        <v>6372.3499999999995</v>
      </c>
      <c r="Q621" s="214"/>
    </row>
    <row r="622" spans="1:17" ht="12" customHeight="1" x14ac:dyDescent="0.2">
      <c r="A622" s="735" t="s">
        <v>2169</v>
      </c>
      <c r="B622" s="735" t="s">
        <v>2170</v>
      </c>
      <c r="C622" s="735" t="s">
        <v>451</v>
      </c>
      <c r="D622" s="644" t="s">
        <v>4013</v>
      </c>
      <c r="E622" s="736">
        <v>8000</v>
      </c>
      <c r="F622" s="737" t="s">
        <v>4014</v>
      </c>
      <c r="G622" s="738" t="s">
        <v>4015</v>
      </c>
      <c r="H622" s="644" t="s">
        <v>2323</v>
      </c>
      <c r="I622" s="636" t="s">
        <v>2180</v>
      </c>
      <c r="J622" s="644" t="s">
        <v>2180</v>
      </c>
      <c r="K622" s="739"/>
      <c r="L622" s="735">
        <v>12</v>
      </c>
      <c r="M622" s="736">
        <v>99401.589999999967</v>
      </c>
      <c r="N622" s="735"/>
      <c r="O622" s="735">
        <v>6</v>
      </c>
      <c r="P622" s="736">
        <v>49033.98</v>
      </c>
      <c r="Q622" s="214"/>
    </row>
    <row r="623" spans="1:17" ht="12" customHeight="1" x14ac:dyDescent="0.2">
      <c r="A623" s="735" t="s">
        <v>2169</v>
      </c>
      <c r="B623" s="735" t="s">
        <v>2232</v>
      </c>
      <c r="C623" s="735" t="s">
        <v>451</v>
      </c>
      <c r="D623" s="644" t="s">
        <v>3958</v>
      </c>
      <c r="E623" s="736">
        <v>4500</v>
      </c>
      <c r="F623" s="737" t="s">
        <v>4016</v>
      </c>
      <c r="G623" s="738" t="s">
        <v>4017</v>
      </c>
      <c r="H623" s="644" t="s">
        <v>2372</v>
      </c>
      <c r="I623" s="636" t="s">
        <v>2284</v>
      </c>
      <c r="J623" s="644" t="s">
        <v>2284</v>
      </c>
      <c r="K623" s="739"/>
      <c r="L623" s="735">
        <v>10</v>
      </c>
      <c r="M623" s="736">
        <v>42120.600000000006</v>
      </c>
      <c r="N623" s="735"/>
      <c r="O623" s="735">
        <v>5</v>
      </c>
      <c r="P623" s="736">
        <v>20968.809999999998</v>
      </c>
      <c r="Q623" s="214"/>
    </row>
    <row r="624" spans="1:17" ht="12" customHeight="1" x14ac:dyDescent="0.2">
      <c r="A624" s="735" t="s">
        <v>2169</v>
      </c>
      <c r="B624" s="735" t="s">
        <v>2170</v>
      </c>
      <c r="C624" s="735" t="s">
        <v>451</v>
      </c>
      <c r="D624" s="644" t="s">
        <v>2225</v>
      </c>
      <c r="E624" s="736">
        <v>9500</v>
      </c>
      <c r="F624" s="737" t="s">
        <v>4018</v>
      </c>
      <c r="G624" s="738" t="s">
        <v>4019</v>
      </c>
      <c r="H624" s="644" t="s">
        <v>2201</v>
      </c>
      <c r="I624" s="636"/>
      <c r="J624" s="644"/>
      <c r="K624" s="739"/>
      <c r="L624" s="735">
        <v>12</v>
      </c>
      <c r="M624" s="736">
        <v>116277.46999999997</v>
      </c>
      <c r="N624" s="735"/>
      <c r="O624" s="735">
        <v>6</v>
      </c>
      <c r="P624" s="736">
        <v>58044.22</v>
      </c>
      <c r="Q624" s="214"/>
    </row>
    <row r="625" spans="1:17" ht="12" customHeight="1" x14ac:dyDescent="0.2">
      <c r="A625" s="735" t="s">
        <v>2169</v>
      </c>
      <c r="B625" s="735" t="s">
        <v>2170</v>
      </c>
      <c r="C625" s="735" t="s">
        <v>451</v>
      </c>
      <c r="D625" s="644" t="s">
        <v>4020</v>
      </c>
      <c r="E625" s="736">
        <v>3500</v>
      </c>
      <c r="F625" s="737" t="s">
        <v>4021</v>
      </c>
      <c r="G625" s="738" t="s">
        <v>4022</v>
      </c>
      <c r="H625" s="644" t="s">
        <v>2184</v>
      </c>
      <c r="I625" s="636" t="s">
        <v>2284</v>
      </c>
      <c r="J625" s="644" t="s">
        <v>2284</v>
      </c>
      <c r="K625" s="739"/>
      <c r="L625" s="735">
        <v>1</v>
      </c>
      <c r="M625" s="736">
        <v>3613.4</v>
      </c>
      <c r="N625" s="735"/>
      <c r="O625" s="735"/>
      <c r="P625" s="736"/>
      <c r="Q625" s="214"/>
    </row>
    <row r="626" spans="1:17" ht="12" customHeight="1" x14ac:dyDescent="0.2">
      <c r="A626" s="735" t="s">
        <v>2169</v>
      </c>
      <c r="B626" s="735" t="s">
        <v>2170</v>
      </c>
      <c r="C626" s="735" t="s">
        <v>451</v>
      </c>
      <c r="D626" s="644" t="s">
        <v>4023</v>
      </c>
      <c r="E626" s="736">
        <v>5000</v>
      </c>
      <c r="F626" s="737" t="s">
        <v>4024</v>
      </c>
      <c r="G626" s="738" t="s">
        <v>4025</v>
      </c>
      <c r="H626" s="644" t="s">
        <v>2253</v>
      </c>
      <c r="I626" s="636" t="s">
        <v>2185</v>
      </c>
      <c r="J626" s="644" t="s">
        <v>2253</v>
      </c>
      <c r="K626" s="739"/>
      <c r="L626" s="735">
        <v>12</v>
      </c>
      <c r="M626" s="736">
        <v>63375.80000000001</v>
      </c>
      <c r="N626" s="735"/>
      <c r="O626" s="735">
        <v>6</v>
      </c>
      <c r="P626" s="736">
        <v>31044.9</v>
      </c>
      <c r="Q626" s="214"/>
    </row>
    <row r="627" spans="1:17" ht="12" customHeight="1" x14ac:dyDescent="0.2">
      <c r="A627" s="735" t="s">
        <v>2169</v>
      </c>
      <c r="B627" s="735" t="s">
        <v>2170</v>
      </c>
      <c r="C627" s="735" t="s">
        <v>451</v>
      </c>
      <c r="D627" s="644" t="s">
        <v>4026</v>
      </c>
      <c r="E627" s="736">
        <v>7000</v>
      </c>
      <c r="F627" s="737" t="s">
        <v>4027</v>
      </c>
      <c r="G627" s="738" t="s">
        <v>4028</v>
      </c>
      <c r="H627" s="644" t="s">
        <v>2184</v>
      </c>
      <c r="I627" s="636" t="s">
        <v>2385</v>
      </c>
      <c r="J627" s="644" t="s">
        <v>2385</v>
      </c>
      <c r="K627" s="739"/>
      <c r="L627" s="735">
        <v>12</v>
      </c>
      <c r="M627" s="736">
        <v>85960.799999999988</v>
      </c>
      <c r="N627" s="735"/>
      <c r="O627" s="735">
        <v>6</v>
      </c>
      <c r="P627" s="736">
        <v>43044.9</v>
      </c>
      <c r="Q627" s="214"/>
    </row>
    <row r="628" spans="1:17" ht="12" customHeight="1" x14ac:dyDescent="0.2">
      <c r="A628" s="735" t="s">
        <v>2169</v>
      </c>
      <c r="B628" s="735" t="s">
        <v>2170</v>
      </c>
      <c r="C628" s="735" t="s">
        <v>451</v>
      </c>
      <c r="D628" s="644" t="s">
        <v>3058</v>
      </c>
      <c r="E628" s="736">
        <v>7000</v>
      </c>
      <c r="F628" s="737" t="s">
        <v>4029</v>
      </c>
      <c r="G628" s="738" t="s">
        <v>4030</v>
      </c>
      <c r="H628" s="644" t="s">
        <v>2174</v>
      </c>
      <c r="I628" s="636" t="s">
        <v>2250</v>
      </c>
      <c r="J628" s="644" t="s">
        <v>2250</v>
      </c>
      <c r="K628" s="739"/>
      <c r="L628" s="735">
        <v>12</v>
      </c>
      <c r="M628" s="736">
        <v>81410.37000000001</v>
      </c>
      <c r="N628" s="735"/>
      <c r="O628" s="735">
        <v>6</v>
      </c>
      <c r="P628" s="736">
        <v>35114.75</v>
      </c>
      <c r="Q628" s="214"/>
    </row>
    <row r="629" spans="1:17" ht="12" customHeight="1" x14ac:dyDescent="0.2">
      <c r="A629" s="735" t="s">
        <v>2169</v>
      </c>
      <c r="B629" s="735" t="s">
        <v>2232</v>
      </c>
      <c r="C629" s="735" t="s">
        <v>451</v>
      </c>
      <c r="D629" s="644" t="s">
        <v>2272</v>
      </c>
      <c r="E629" s="736">
        <v>9500</v>
      </c>
      <c r="F629" s="737" t="s">
        <v>4031</v>
      </c>
      <c r="G629" s="738" t="s">
        <v>4032</v>
      </c>
      <c r="H629" s="644" t="s">
        <v>2208</v>
      </c>
      <c r="I629" s="636" t="s">
        <v>2228</v>
      </c>
      <c r="J629" s="644" t="s">
        <v>2208</v>
      </c>
      <c r="K629" s="739"/>
      <c r="L629" s="735">
        <v>12</v>
      </c>
      <c r="M629" s="736">
        <v>116277.46999999997</v>
      </c>
      <c r="N629" s="735"/>
      <c r="O629" s="735">
        <v>5</v>
      </c>
      <c r="P629" s="736">
        <v>48370.75</v>
      </c>
      <c r="Q629" s="214"/>
    </row>
    <row r="630" spans="1:17" ht="12" customHeight="1" x14ac:dyDescent="0.2">
      <c r="A630" s="735" t="s">
        <v>2169</v>
      </c>
      <c r="B630" s="735" t="s">
        <v>2170</v>
      </c>
      <c r="C630" s="735" t="s">
        <v>451</v>
      </c>
      <c r="D630" s="644" t="s">
        <v>4033</v>
      </c>
      <c r="E630" s="736">
        <v>4600</v>
      </c>
      <c r="F630" s="737" t="s">
        <v>4034</v>
      </c>
      <c r="G630" s="738" t="s">
        <v>4035</v>
      </c>
      <c r="H630" s="644" t="s">
        <v>4036</v>
      </c>
      <c r="I630" s="636" t="s">
        <v>2254</v>
      </c>
      <c r="J630" s="644" t="s">
        <v>2254</v>
      </c>
      <c r="K630" s="739"/>
      <c r="L630" s="735">
        <v>12</v>
      </c>
      <c r="M630" s="736">
        <v>58002.600000000013</v>
      </c>
      <c r="N630" s="735"/>
      <c r="O630" s="735">
        <v>6</v>
      </c>
      <c r="P630" s="736">
        <v>28644.9</v>
      </c>
      <c r="Q630" s="214"/>
    </row>
    <row r="631" spans="1:17" ht="12" customHeight="1" x14ac:dyDescent="0.2">
      <c r="A631" s="735" t="s">
        <v>2169</v>
      </c>
      <c r="B631" s="735" t="s">
        <v>2170</v>
      </c>
      <c r="C631" s="735" t="s">
        <v>451</v>
      </c>
      <c r="D631" s="644" t="s">
        <v>4037</v>
      </c>
      <c r="E631" s="736">
        <v>6000</v>
      </c>
      <c r="F631" s="737" t="s">
        <v>4038</v>
      </c>
      <c r="G631" s="738" t="s">
        <v>4039</v>
      </c>
      <c r="H631" s="644" t="s">
        <v>2420</v>
      </c>
      <c r="I631" s="636" t="s">
        <v>2175</v>
      </c>
      <c r="J631" s="644"/>
      <c r="K631" s="739"/>
      <c r="L631" s="735">
        <v>9</v>
      </c>
      <c r="M631" s="736">
        <v>55620.600000000006</v>
      </c>
      <c r="N631" s="735"/>
      <c r="O631" s="735">
        <v>6</v>
      </c>
      <c r="P631" s="736">
        <v>37015.590000000004</v>
      </c>
      <c r="Q631" s="214"/>
    </row>
    <row r="632" spans="1:17" ht="12" customHeight="1" x14ac:dyDescent="0.2">
      <c r="A632" s="735" t="s">
        <v>2169</v>
      </c>
      <c r="B632" s="735" t="s">
        <v>2170</v>
      </c>
      <c r="C632" s="735" t="s">
        <v>451</v>
      </c>
      <c r="D632" s="644" t="s">
        <v>3614</v>
      </c>
      <c r="E632" s="736">
        <v>3000</v>
      </c>
      <c r="F632" s="737" t="s">
        <v>4040</v>
      </c>
      <c r="G632" s="738" t="s">
        <v>4041</v>
      </c>
      <c r="H632" s="644" t="s">
        <v>3162</v>
      </c>
      <c r="I632" s="636" t="s">
        <v>2454</v>
      </c>
      <c r="J632" s="644" t="s">
        <v>3162</v>
      </c>
      <c r="K632" s="739"/>
      <c r="L632" s="735">
        <v>12</v>
      </c>
      <c r="M632" s="736">
        <v>37856.720000000008</v>
      </c>
      <c r="N632" s="735"/>
      <c r="O632" s="735">
        <v>6</v>
      </c>
      <c r="P632" s="736">
        <v>18939.080000000002</v>
      </c>
      <c r="Q632" s="214"/>
    </row>
    <row r="633" spans="1:17" ht="12" customHeight="1" x14ac:dyDescent="0.2">
      <c r="A633" s="735" t="s">
        <v>2169</v>
      </c>
      <c r="B633" s="735" t="s">
        <v>2170</v>
      </c>
      <c r="C633" s="735" t="s">
        <v>451</v>
      </c>
      <c r="D633" s="644" t="s">
        <v>4042</v>
      </c>
      <c r="E633" s="736">
        <v>9000</v>
      </c>
      <c r="F633" s="737" t="s">
        <v>4043</v>
      </c>
      <c r="G633" s="738" t="s">
        <v>4044</v>
      </c>
      <c r="H633" s="644" t="s">
        <v>2201</v>
      </c>
      <c r="I633" s="636"/>
      <c r="J633" s="644"/>
      <c r="K633" s="739"/>
      <c r="L633" s="735">
        <v>12</v>
      </c>
      <c r="M633" s="736">
        <v>108413.96999999997</v>
      </c>
      <c r="N633" s="735"/>
      <c r="O633" s="735">
        <v>6</v>
      </c>
      <c r="P633" s="736">
        <v>54969.25</v>
      </c>
      <c r="Q633" s="214"/>
    </row>
    <row r="634" spans="1:17" ht="12" customHeight="1" x14ac:dyDescent="0.2">
      <c r="A634" s="735" t="s">
        <v>2169</v>
      </c>
      <c r="B634" s="735" t="s">
        <v>2170</v>
      </c>
      <c r="C634" s="735" t="s">
        <v>451</v>
      </c>
      <c r="D634" s="644" t="s">
        <v>4045</v>
      </c>
      <c r="E634" s="736">
        <v>11000</v>
      </c>
      <c r="F634" s="737" t="s">
        <v>4046</v>
      </c>
      <c r="G634" s="738" t="s">
        <v>4047</v>
      </c>
      <c r="H634" s="644" t="s">
        <v>2189</v>
      </c>
      <c r="I634" s="636" t="s">
        <v>2175</v>
      </c>
      <c r="J634" s="644"/>
      <c r="K634" s="739"/>
      <c r="L634" s="735">
        <v>4</v>
      </c>
      <c r="M634" s="736">
        <v>43073.53</v>
      </c>
      <c r="N634" s="735"/>
      <c r="O634" s="735">
        <v>6</v>
      </c>
      <c r="P634" s="736">
        <v>67044.899999999994</v>
      </c>
      <c r="Q634" s="214"/>
    </row>
    <row r="635" spans="1:17" ht="12" customHeight="1" x14ac:dyDescent="0.2">
      <c r="A635" s="735" t="s">
        <v>2169</v>
      </c>
      <c r="B635" s="735" t="s">
        <v>2170</v>
      </c>
      <c r="C635" s="735" t="s">
        <v>451</v>
      </c>
      <c r="D635" s="644" t="s">
        <v>4048</v>
      </c>
      <c r="E635" s="736">
        <v>9500</v>
      </c>
      <c r="F635" s="737" t="s">
        <v>4049</v>
      </c>
      <c r="G635" s="738" t="s">
        <v>4050</v>
      </c>
      <c r="H635" s="644" t="s">
        <v>2201</v>
      </c>
      <c r="I635" s="636"/>
      <c r="J635" s="644"/>
      <c r="K635" s="739"/>
      <c r="L635" s="735">
        <v>12</v>
      </c>
      <c r="M635" s="736">
        <v>115960.79999999997</v>
      </c>
      <c r="N635" s="735"/>
      <c r="O635" s="735">
        <v>6</v>
      </c>
      <c r="P635" s="736">
        <v>58066.060000000005</v>
      </c>
      <c r="Q635" s="214"/>
    </row>
    <row r="636" spans="1:17" ht="12" customHeight="1" x14ac:dyDescent="0.2">
      <c r="A636" s="735" t="s">
        <v>2169</v>
      </c>
      <c r="B636" s="735" t="s">
        <v>2170</v>
      </c>
      <c r="C636" s="735" t="s">
        <v>451</v>
      </c>
      <c r="D636" s="644" t="s">
        <v>4051</v>
      </c>
      <c r="E636" s="736">
        <v>8500</v>
      </c>
      <c r="F636" s="737" t="s">
        <v>4052</v>
      </c>
      <c r="G636" s="738" t="s">
        <v>4053</v>
      </c>
      <c r="H636" s="644" t="s">
        <v>3963</v>
      </c>
      <c r="I636" s="636" t="s">
        <v>2250</v>
      </c>
      <c r="J636" s="644" t="s">
        <v>2250</v>
      </c>
      <c r="K636" s="739"/>
      <c r="L636" s="735">
        <v>12</v>
      </c>
      <c r="M636" s="736">
        <v>103845.08999999998</v>
      </c>
      <c r="N636" s="735"/>
      <c r="O636" s="735">
        <v>6</v>
      </c>
      <c r="P636" s="736">
        <v>52044.29</v>
      </c>
      <c r="Q636" s="214"/>
    </row>
    <row r="637" spans="1:17" ht="12" customHeight="1" x14ac:dyDescent="0.2">
      <c r="A637" s="735" t="s">
        <v>2169</v>
      </c>
      <c r="B637" s="735" t="s">
        <v>2170</v>
      </c>
      <c r="C637" s="735" t="s">
        <v>451</v>
      </c>
      <c r="D637" s="644" t="s">
        <v>4054</v>
      </c>
      <c r="E637" s="736">
        <v>12000</v>
      </c>
      <c r="F637" s="737" t="s">
        <v>4055</v>
      </c>
      <c r="G637" s="738" t="s">
        <v>4056</v>
      </c>
      <c r="H637" s="644" t="s">
        <v>2201</v>
      </c>
      <c r="I637" s="636" t="s">
        <v>2201</v>
      </c>
      <c r="J637" s="644"/>
      <c r="K637" s="739"/>
      <c r="L637" s="735">
        <v>6</v>
      </c>
      <c r="M637" s="736">
        <v>72180.399999999994</v>
      </c>
      <c r="N637" s="735"/>
      <c r="O637" s="735">
        <v>2</v>
      </c>
      <c r="P637" s="736">
        <v>14653.18</v>
      </c>
      <c r="Q637" s="214"/>
    </row>
    <row r="638" spans="1:17" ht="12" customHeight="1" x14ac:dyDescent="0.2">
      <c r="A638" s="735" t="s">
        <v>2169</v>
      </c>
      <c r="B638" s="735" t="s">
        <v>2170</v>
      </c>
      <c r="C638" s="735" t="s">
        <v>451</v>
      </c>
      <c r="D638" s="644" t="s">
        <v>2225</v>
      </c>
      <c r="E638" s="736">
        <v>9000</v>
      </c>
      <c r="F638" s="737" t="s">
        <v>4057</v>
      </c>
      <c r="G638" s="738" t="s">
        <v>4058</v>
      </c>
      <c r="H638" s="644" t="s">
        <v>2201</v>
      </c>
      <c r="I638" s="636" t="s">
        <v>2201</v>
      </c>
      <c r="J638" s="644"/>
      <c r="K638" s="739"/>
      <c r="L638" s="735">
        <v>6</v>
      </c>
      <c r="M638" s="736">
        <v>49880.4</v>
      </c>
      <c r="N638" s="735"/>
      <c r="O638" s="735">
        <v>2</v>
      </c>
      <c r="P638" s="736">
        <v>9939.0999999999985</v>
      </c>
      <c r="Q638" s="214"/>
    </row>
    <row r="639" spans="1:17" ht="12" customHeight="1" x14ac:dyDescent="0.2">
      <c r="A639" s="735" t="s">
        <v>2169</v>
      </c>
      <c r="B639" s="735" t="s">
        <v>2170</v>
      </c>
      <c r="C639" s="735" t="s">
        <v>451</v>
      </c>
      <c r="D639" s="644" t="s">
        <v>4059</v>
      </c>
      <c r="E639" s="736">
        <v>9500</v>
      </c>
      <c r="F639" s="737" t="s">
        <v>4060</v>
      </c>
      <c r="G639" s="738" t="s">
        <v>4061</v>
      </c>
      <c r="H639" s="644" t="s">
        <v>2268</v>
      </c>
      <c r="I639" s="636" t="s">
        <v>2180</v>
      </c>
      <c r="J639" s="644" t="s">
        <v>2180</v>
      </c>
      <c r="K639" s="739"/>
      <c r="L639" s="735">
        <v>12</v>
      </c>
      <c r="M639" s="736">
        <v>115960.79999999997</v>
      </c>
      <c r="N639" s="735"/>
      <c r="O639" s="735">
        <v>6</v>
      </c>
      <c r="P639" s="736">
        <v>58044.9</v>
      </c>
      <c r="Q639" s="214"/>
    </row>
    <row r="640" spans="1:17" ht="12" customHeight="1" x14ac:dyDescent="0.2">
      <c r="A640" s="735" t="s">
        <v>2169</v>
      </c>
      <c r="B640" s="735" t="s">
        <v>2170</v>
      </c>
      <c r="C640" s="735" t="s">
        <v>451</v>
      </c>
      <c r="D640" s="644" t="s">
        <v>4062</v>
      </c>
      <c r="E640" s="736">
        <v>5500</v>
      </c>
      <c r="F640" s="737" t="s">
        <v>4063</v>
      </c>
      <c r="G640" s="738" t="s">
        <v>4064</v>
      </c>
      <c r="H640" s="644" t="s">
        <v>4065</v>
      </c>
      <c r="I640" s="636" t="s">
        <v>2228</v>
      </c>
      <c r="J640" s="644"/>
      <c r="K640" s="739"/>
      <c r="L640" s="735">
        <v>3</v>
      </c>
      <c r="M640" s="736">
        <v>13090.199999999999</v>
      </c>
      <c r="N640" s="735"/>
      <c r="O640" s="735">
        <v>6</v>
      </c>
      <c r="P640" s="736">
        <v>34014.090000000004</v>
      </c>
      <c r="Q640" s="214"/>
    </row>
    <row r="641" spans="1:17" ht="12" customHeight="1" x14ac:dyDescent="0.2">
      <c r="A641" s="735" t="s">
        <v>2169</v>
      </c>
      <c r="B641" s="735" t="s">
        <v>2170</v>
      </c>
      <c r="C641" s="735" t="s">
        <v>451</v>
      </c>
      <c r="D641" s="644" t="s">
        <v>4066</v>
      </c>
      <c r="E641" s="736">
        <v>10000</v>
      </c>
      <c r="F641" s="737" t="s">
        <v>4067</v>
      </c>
      <c r="G641" s="738" t="s">
        <v>4068</v>
      </c>
      <c r="H641" s="644" t="s">
        <v>2197</v>
      </c>
      <c r="I641" s="636" t="s">
        <v>2175</v>
      </c>
      <c r="J641" s="644"/>
      <c r="K641" s="739"/>
      <c r="L641" s="735">
        <v>3</v>
      </c>
      <c r="M641" s="736">
        <v>23773.53</v>
      </c>
      <c r="N641" s="735"/>
      <c r="O641" s="735">
        <v>6</v>
      </c>
      <c r="P641" s="736">
        <v>61044.9</v>
      </c>
      <c r="Q641" s="214"/>
    </row>
    <row r="642" spans="1:17" ht="12" customHeight="1" x14ac:dyDescent="0.2">
      <c r="A642" s="735" t="s">
        <v>2169</v>
      </c>
      <c r="B642" s="735" t="s">
        <v>2170</v>
      </c>
      <c r="C642" s="735" t="s">
        <v>451</v>
      </c>
      <c r="D642" s="644" t="s">
        <v>4069</v>
      </c>
      <c r="E642" s="736">
        <v>3000</v>
      </c>
      <c r="F642" s="737" t="s">
        <v>4070</v>
      </c>
      <c r="G642" s="738" t="s">
        <v>4071</v>
      </c>
      <c r="H642" s="644" t="s">
        <v>643</v>
      </c>
      <c r="I642" s="636" t="s">
        <v>2385</v>
      </c>
      <c r="J642" s="644" t="s">
        <v>2385</v>
      </c>
      <c r="K642" s="739"/>
      <c r="L642" s="735">
        <v>12</v>
      </c>
      <c r="M642" s="736">
        <v>37947.19000000001</v>
      </c>
      <c r="N642" s="735"/>
      <c r="O642" s="735">
        <v>6</v>
      </c>
      <c r="P642" s="736">
        <v>18963.87</v>
      </c>
      <c r="Q642" s="214"/>
    </row>
    <row r="643" spans="1:17" ht="12" customHeight="1" x14ac:dyDescent="0.2">
      <c r="A643" s="735" t="s">
        <v>2169</v>
      </c>
      <c r="B643" s="735" t="s">
        <v>2232</v>
      </c>
      <c r="C643" s="735" t="s">
        <v>451</v>
      </c>
      <c r="D643" s="644" t="s">
        <v>2602</v>
      </c>
      <c r="E643" s="736">
        <v>4800</v>
      </c>
      <c r="F643" s="737" t="s">
        <v>4072</v>
      </c>
      <c r="G643" s="738" t="s">
        <v>4073</v>
      </c>
      <c r="H643" s="644" t="s">
        <v>2184</v>
      </c>
      <c r="I643" s="636" t="s">
        <v>2185</v>
      </c>
      <c r="J643" s="644" t="s">
        <v>2184</v>
      </c>
      <c r="K643" s="739"/>
      <c r="L643" s="735">
        <v>11</v>
      </c>
      <c r="M643" s="736">
        <v>54347.400000000009</v>
      </c>
      <c r="N643" s="735"/>
      <c r="O643" s="735">
        <v>5</v>
      </c>
      <c r="P643" s="736">
        <v>24870.75</v>
      </c>
      <c r="Q643" s="214"/>
    </row>
    <row r="644" spans="1:17" ht="12" customHeight="1" x14ac:dyDescent="0.2">
      <c r="A644" s="735" t="s">
        <v>2169</v>
      </c>
      <c r="B644" s="735" t="s">
        <v>2170</v>
      </c>
      <c r="C644" s="735" t="s">
        <v>451</v>
      </c>
      <c r="D644" s="644" t="s">
        <v>2636</v>
      </c>
      <c r="E644" s="736">
        <v>7000</v>
      </c>
      <c r="F644" s="737" t="s">
        <v>4074</v>
      </c>
      <c r="G644" s="738" t="s">
        <v>4075</v>
      </c>
      <c r="H644" s="644" t="s">
        <v>2201</v>
      </c>
      <c r="I644" s="636"/>
      <c r="J644" s="644"/>
      <c r="K644" s="739"/>
      <c r="L644" s="735">
        <v>10</v>
      </c>
      <c r="M644" s="736">
        <v>66767.33</v>
      </c>
      <c r="N644" s="735"/>
      <c r="O644" s="735"/>
      <c r="P644" s="736"/>
      <c r="Q644" s="214"/>
    </row>
    <row r="645" spans="1:17" ht="12" customHeight="1" x14ac:dyDescent="0.2">
      <c r="A645" s="735" t="s">
        <v>2169</v>
      </c>
      <c r="B645" s="735" t="s">
        <v>2170</v>
      </c>
      <c r="C645" s="735" t="s">
        <v>451</v>
      </c>
      <c r="D645" s="644" t="s">
        <v>4076</v>
      </c>
      <c r="E645" s="736">
        <v>4500</v>
      </c>
      <c r="F645" s="737" t="s">
        <v>4077</v>
      </c>
      <c r="G645" s="738" t="s">
        <v>4078</v>
      </c>
      <c r="H645" s="644" t="s">
        <v>3362</v>
      </c>
      <c r="I645" s="636" t="s">
        <v>2250</v>
      </c>
      <c r="J645" s="644" t="s">
        <v>2250</v>
      </c>
      <c r="K645" s="739"/>
      <c r="L645" s="735">
        <v>12</v>
      </c>
      <c r="M645" s="736">
        <v>56260.390000000007</v>
      </c>
      <c r="N645" s="735"/>
      <c r="O645" s="735">
        <v>2</v>
      </c>
      <c r="P645" s="736">
        <v>11985.8</v>
      </c>
      <c r="Q645" s="214"/>
    </row>
    <row r="646" spans="1:17" ht="12" customHeight="1" x14ac:dyDescent="0.2">
      <c r="A646" s="735" t="s">
        <v>2169</v>
      </c>
      <c r="B646" s="735" t="s">
        <v>2170</v>
      </c>
      <c r="C646" s="735" t="s">
        <v>451</v>
      </c>
      <c r="D646" s="644" t="s">
        <v>2446</v>
      </c>
      <c r="E646" s="736">
        <v>2500</v>
      </c>
      <c r="F646" s="737" t="s">
        <v>4079</v>
      </c>
      <c r="G646" s="738" t="s">
        <v>4080</v>
      </c>
      <c r="H646" s="644" t="s">
        <v>2253</v>
      </c>
      <c r="I646" s="636" t="s">
        <v>2254</v>
      </c>
      <c r="J646" s="644" t="s">
        <v>2254</v>
      </c>
      <c r="K646" s="739"/>
      <c r="L646" s="735">
        <v>12</v>
      </c>
      <c r="M646" s="736">
        <v>32044.130000000008</v>
      </c>
      <c r="N646" s="735"/>
      <c r="O646" s="735">
        <v>6</v>
      </c>
      <c r="P646" s="736">
        <v>16044.9</v>
      </c>
      <c r="Q646" s="214"/>
    </row>
    <row r="647" spans="1:17" ht="12" customHeight="1" x14ac:dyDescent="0.2">
      <c r="A647" s="735" t="s">
        <v>2169</v>
      </c>
      <c r="B647" s="735" t="s">
        <v>2170</v>
      </c>
      <c r="C647" s="735" t="s">
        <v>451</v>
      </c>
      <c r="D647" s="644" t="s">
        <v>4081</v>
      </c>
      <c r="E647" s="736">
        <v>10000</v>
      </c>
      <c r="F647" s="737" t="s">
        <v>4082</v>
      </c>
      <c r="G647" s="738" t="s">
        <v>4083</v>
      </c>
      <c r="H647" s="644" t="s">
        <v>2179</v>
      </c>
      <c r="I647" s="636" t="s">
        <v>2250</v>
      </c>
      <c r="J647" s="644" t="s">
        <v>2250</v>
      </c>
      <c r="K647" s="739"/>
      <c r="L647" s="735">
        <v>12</v>
      </c>
      <c r="M647" s="736">
        <v>121846.48999999998</v>
      </c>
      <c r="N647" s="735"/>
      <c r="O647" s="735">
        <v>6</v>
      </c>
      <c r="P647" s="736">
        <v>61044.9</v>
      </c>
      <c r="Q647" s="214"/>
    </row>
    <row r="648" spans="1:17" ht="12" customHeight="1" x14ac:dyDescent="0.2">
      <c r="A648" s="735" t="s">
        <v>2169</v>
      </c>
      <c r="B648" s="735" t="s">
        <v>2232</v>
      </c>
      <c r="C648" s="735" t="s">
        <v>451</v>
      </c>
      <c r="D648" s="644" t="s">
        <v>2272</v>
      </c>
      <c r="E648" s="736">
        <v>9500</v>
      </c>
      <c r="F648" s="737" t="s">
        <v>4084</v>
      </c>
      <c r="G648" s="738" t="s">
        <v>4085</v>
      </c>
      <c r="H648" s="644" t="s">
        <v>2420</v>
      </c>
      <c r="I648" s="636" t="s">
        <v>4086</v>
      </c>
      <c r="J648" s="644" t="s">
        <v>2420</v>
      </c>
      <c r="K648" s="739"/>
      <c r="L648" s="735">
        <v>11</v>
      </c>
      <c r="M648" s="736">
        <v>106679.86999999998</v>
      </c>
      <c r="N648" s="735"/>
      <c r="O648" s="735">
        <v>5</v>
      </c>
      <c r="P648" s="736">
        <v>48370.75</v>
      </c>
      <c r="Q648" s="214"/>
    </row>
    <row r="649" spans="1:17" ht="12" customHeight="1" x14ac:dyDescent="0.2">
      <c r="A649" s="735" t="s">
        <v>2169</v>
      </c>
      <c r="B649" s="735" t="s">
        <v>2170</v>
      </c>
      <c r="C649" s="735" t="s">
        <v>451</v>
      </c>
      <c r="D649" s="644" t="s">
        <v>2225</v>
      </c>
      <c r="E649" s="736">
        <v>7000</v>
      </c>
      <c r="F649" s="737" t="s">
        <v>4087</v>
      </c>
      <c r="G649" s="738" t="s">
        <v>4088</v>
      </c>
      <c r="H649" s="644" t="s">
        <v>2236</v>
      </c>
      <c r="I649" s="636" t="s">
        <v>2175</v>
      </c>
      <c r="J649" s="644"/>
      <c r="K649" s="739"/>
      <c r="L649" s="735">
        <v>5</v>
      </c>
      <c r="M649" s="736">
        <v>30145.199999999997</v>
      </c>
      <c r="N649" s="735"/>
      <c r="O649" s="735">
        <v>6</v>
      </c>
      <c r="P649" s="736">
        <v>43041.380000000005</v>
      </c>
      <c r="Q649" s="214"/>
    </row>
    <row r="650" spans="1:17" ht="12" customHeight="1" x14ac:dyDescent="0.2">
      <c r="A650" s="735" t="s">
        <v>2169</v>
      </c>
      <c r="B650" s="735" t="s">
        <v>2170</v>
      </c>
      <c r="C650" s="735" t="s">
        <v>451</v>
      </c>
      <c r="D650" s="644" t="s">
        <v>2781</v>
      </c>
      <c r="E650" s="736">
        <v>2500</v>
      </c>
      <c r="F650" s="737" t="s">
        <v>4089</v>
      </c>
      <c r="G650" s="738" t="s">
        <v>4090</v>
      </c>
      <c r="H650" s="644" t="s">
        <v>2184</v>
      </c>
      <c r="I650" s="636" t="s">
        <v>2185</v>
      </c>
      <c r="J650" s="644"/>
      <c r="K650" s="739"/>
      <c r="L650" s="735">
        <v>7</v>
      </c>
      <c r="M650" s="736">
        <v>17730.400000000001</v>
      </c>
      <c r="N650" s="735"/>
      <c r="O650" s="735">
        <v>6</v>
      </c>
      <c r="P650" s="736">
        <v>16044.9</v>
      </c>
      <c r="Q650" s="214"/>
    </row>
    <row r="651" spans="1:17" ht="12" customHeight="1" x14ac:dyDescent="0.2">
      <c r="A651" s="735" t="s">
        <v>2169</v>
      </c>
      <c r="B651" s="735" t="s">
        <v>2170</v>
      </c>
      <c r="C651" s="735" t="s">
        <v>451</v>
      </c>
      <c r="D651" s="644" t="s">
        <v>3022</v>
      </c>
      <c r="E651" s="736">
        <v>8000</v>
      </c>
      <c r="F651" s="737" t="s">
        <v>4091</v>
      </c>
      <c r="G651" s="738" t="s">
        <v>4092</v>
      </c>
      <c r="H651" s="644" t="s">
        <v>2201</v>
      </c>
      <c r="I651" s="636"/>
      <c r="J651" s="644"/>
      <c r="K651" s="739"/>
      <c r="L651" s="735">
        <v>12</v>
      </c>
      <c r="M651" s="736">
        <v>97947.00999999998</v>
      </c>
      <c r="N651" s="735"/>
      <c r="O651" s="735">
        <v>6</v>
      </c>
      <c r="P651" s="736">
        <v>48955.82</v>
      </c>
      <c r="Q651" s="214"/>
    </row>
    <row r="652" spans="1:17" ht="12" customHeight="1" x14ac:dyDescent="0.2">
      <c r="A652" s="735" t="s">
        <v>2169</v>
      </c>
      <c r="B652" s="735" t="s">
        <v>2170</v>
      </c>
      <c r="C652" s="735" t="s">
        <v>451</v>
      </c>
      <c r="D652" s="644" t="s">
        <v>4093</v>
      </c>
      <c r="E652" s="736">
        <v>3000</v>
      </c>
      <c r="F652" s="737" t="s">
        <v>4094</v>
      </c>
      <c r="G652" s="738" t="s">
        <v>4095</v>
      </c>
      <c r="H652" s="644" t="s">
        <v>2212</v>
      </c>
      <c r="I652" s="636" t="s">
        <v>2213</v>
      </c>
      <c r="J652" s="644" t="s">
        <v>2213</v>
      </c>
      <c r="K652" s="739"/>
      <c r="L652" s="735">
        <v>12</v>
      </c>
      <c r="M652" s="736">
        <v>37960.80000000001</v>
      </c>
      <c r="N652" s="735"/>
      <c r="O652" s="735">
        <v>6</v>
      </c>
      <c r="P652" s="736">
        <v>19042.310000000001</v>
      </c>
      <c r="Q652" s="214"/>
    </row>
    <row r="653" spans="1:17" ht="12" customHeight="1" x14ac:dyDescent="0.2">
      <c r="A653" s="735" t="s">
        <v>2169</v>
      </c>
      <c r="B653" s="735" t="s">
        <v>2170</v>
      </c>
      <c r="C653" s="735" t="s">
        <v>451</v>
      </c>
      <c r="D653" s="644" t="s">
        <v>4096</v>
      </c>
      <c r="E653" s="736">
        <v>3000</v>
      </c>
      <c r="F653" s="737" t="s">
        <v>4097</v>
      </c>
      <c r="G653" s="738" t="s">
        <v>4098</v>
      </c>
      <c r="H653" s="644" t="s">
        <v>2184</v>
      </c>
      <c r="I653" s="636" t="s">
        <v>2185</v>
      </c>
      <c r="J653" s="644" t="s">
        <v>2184</v>
      </c>
      <c r="K653" s="739"/>
      <c r="L653" s="735">
        <v>12</v>
      </c>
      <c r="M653" s="736">
        <v>37845.770000000004</v>
      </c>
      <c r="N653" s="735"/>
      <c r="O653" s="735">
        <v>6</v>
      </c>
      <c r="P653" s="736">
        <v>18972.260000000002</v>
      </c>
      <c r="Q653" s="214"/>
    </row>
    <row r="654" spans="1:17" ht="12" customHeight="1" x14ac:dyDescent="0.2">
      <c r="A654" s="735" t="s">
        <v>2169</v>
      </c>
      <c r="B654" s="735" t="s">
        <v>2170</v>
      </c>
      <c r="C654" s="735" t="s">
        <v>451</v>
      </c>
      <c r="D654" s="644" t="s">
        <v>2585</v>
      </c>
      <c r="E654" s="736">
        <v>4600</v>
      </c>
      <c r="F654" s="737" t="s">
        <v>4099</v>
      </c>
      <c r="G654" s="738" t="s">
        <v>4100</v>
      </c>
      <c r="H654" s="644" t="s">
        <v>2201</v>
      </c>
      <c r="I654" s="636"/>
      <c r="J654" s="644"/>
      <c r="K654" s="739"/>
      <c r="L654" s="735">
        <v>12</v>
      </c>
      <c r="M654" s="736">
        <v>53449.200000000012</v>
      </c>
      <c r="N654" s="735"/>
      <c r="O654" s="735"/>
      <c r="P654" s="736"/>
      <c r="Q654" s="214"/>
    </row>
    <row r="655" spans="1:17" ht="12" customHeight="1" x14ac:dyDescent="0.2">
      <c r="A655" s="735" t="s">
        <v>2169</v>
      </c>
      <c r="B655" s="735" t="s">
        <v>2170</v>
      </c>
      <c r="C655" s="735" t="s">
        <v>451</v>
      </c>
      <c r="D655" s="644" t="s">
        <v>4101</v>
      </c>
      <c r="E655" s="736">
        <v>4500</v>
      </c>
      <c r="F655" s="737" t="s">
        <v>4102</v>
      </c>
      <c r="G655" s="738" t="s">
        <v>4103</v>
      </c>
      <c r="H655" s="644" t="s">
        <v>2253</v>
      </c>
      <c r="I655" s="636" t="s">
        <v>2250</v>
      </c>
      <c r="J655" s="644" t="s">
        <v>2250</v>
      </c>
      <c r="K655" s="739"/>
      <c r="L655" s="735">
        <v>12</v>
      </c>
      <c r="M655" s="736">
        <v>55960.80000000001</v>
      </c>
      <c r="N655" s="735"/>
      <c r="O655" s="735">
        <v>6</v>
      </c>
      <c r="P655" s="736">
        <v>28044.9</v>
      </c>
      <c r="Q655" s="214"/>
    </row>
    <row r="656" spans="1:17" ht="12" customHeight="1" x14ac:dyDescent="0.2">
      <c r="A656" s="735" t="s">
        <v>2169</v>
      </c>
      <c r="B656" s="735" t="s">
        <v>2170</v>
      </c>
      <c r="C656" s="735" t="s">
        <v>451</v>
      </c>
      <c r="D656" s="644" t="s">
        <v>2261</v>
      </c>
      <c r="E656" s="736">
        <v>3500</v>
      </c>
      <c r="F656" s="737" t="s">
        <v>4104</v>
      </c>
      <c r="G656" s="738" t="s">
        <v>4105</v>
      </c>
      <c r="H656" s="644" t="s">
        <v>2201</v>
      </c>
      <c r="I656" s="636"/>
      <c r="J656" s="644"/>
      <c r="K656" s="739"/>
      <c r="L656" s="735">
        <v>12</v>
      </c>
      <c r="M656" s="736">
        <v>43960.80000000001</v>
      </c>
      <c r="N656" s="735"/>
      <c r="O656" s="735">
        <v>6</v>
      </c>
      <c r="P656" s="736">
        <v>22044.9</v>
      </c>
      <c r="Q656" s="214"/>
    </row>
    <row r="657" spans="1:17" ht="12" customHeight="1" x14ac:dyDescent="0.2">
      <c r="A657" s="735" t="s">
        <v>2169</v>
      </c>
      <c r="B657" s="735" t="s">
        <v>2170</v>
      </c>
      <c r="C657" s="735" t="s">
        <v>451</v>
      </c>
      <c r="D657" s="644" t="s">
        <v>4106</v>
      </c>
      <c r="E657" s="736">
        <v>7000</v>
      </c>
      <c r="F657" s="737" t="s">
        <v>4107</v>
      </c>
      <c r="G657" s="738" t="s">
        <v>4108</v>
      </c>
      <c r="H657" s="644" t="s">
        <v>2174</v>
      </c>
      <c r="I657" s="636" t="s">
        <v>2250</v>
      </c>
      <c r="J657" s="644" t="s">
        <v>2250</v>
      </c>
      <c r="K657" s="739"/>
      <c r="L657" s="735">
        <v>12</v>
      </c>
      <c r="M657" s="736">
        <v>85552.23</v>
      </c>
      <c r="N657" s="735"/>
      <c r="O657" s="735">
        <v>6</v>
      </c>
      <c r="P657" s="736">
        <v>42695.08</v>
      </c>
      <c r="Q657" s="214"/>
    </row>
    <row r="658" spans="1:17" ht="12" customHeight="1" x14ac:dyDescent="0.2">
      <c r="A658" s="735" t="s">
        <v>2169</v>
      </c>
      <c r="B658" s="735" t="s">
        <v>2170</v>
      </c>
      <c r="C658" s="735" t="s">
        <v>451</v>
      </c>
      <c r="D658" s="644" t="s">
        <v>4109</v>
      </c>
      <c r="E658" s="736">
        <v>6000</v>
      </c>
      <c r="F658" s="737" t="s">
        <v>4110</v>
      </c>
      <c r="G658" s="738" t="s">
        <v>4111</v>
      </c>
      <c r="H658" s="644" t="s">
        <v>2201</v>
      </c>
      <c r="I658" s="636"/>
      <c r="J658" s="644"/>
      <c r="K658" s="739"/>
      <c r="L658" s="735">
        <v>12</v>
      </c>
      <c r="M658" s="736">
        <v>73957.53</v>
      </c>
      <c r="N658" s="735"/>
      <c r="O658" s="735">
        <v>6</v>
      </c>
      <c r="P658" s="736">
        <v>37040.590000000004</v>
      </c>
      <c r="Q658" s="214"/>
    </row>
    <row r="659" spans="1:17" ht="12" customHeight="1" x14ac:dyDescent="0.2">
      <c r="A659" s="735" t="s">
        <v>2169</v>
      </c>
      <c r="B659" s="735" t="s">
        <v>2170</v>
      </c>
      <c r="C659" s="735" t="s">
        <v>451</v>
      </c>
      <c r="D659" s="644" t="s">
        <v>4112</v>
      </c>
      <c r="E659" s="736">
        <v>5000</v>
      </c>
      <c r="F659" s="737" t="s">
        <v>4113</v>
      </c>
      <c r="G659" s="738" t="s">
        <v>4114</v>
      </c>
      <c r="H659" s="644" t="s">
        <v>2201</v>
      </c>
      <c r="I659" s="636"/>
      <c r="J659" s="644"/>
      <c r="K659" s="739"/>
      <c r="L659" s="735">
        <v>12</v>
      </c>
      <c r="M659" s="736">
        <v>63375.80000000001</v>
      </c>
      <c r="N659" s="735"/>
      <c r="O659" s="735">
        <v>6</v>
      </c>
      <c r="P659" s="736">
        <v>31044.9</v>
      </c>
      <c r="Q659" s="214"/>
    </row>
    <row r="660" spans="1:17" ht="12" customHeight="1" x14ac:dyDescent="0.2">
      <c r="A660" s="735" t="s">
        <v>2169</v>
      </c>
      <c r="B660" s="735" t="s">
        <v>2170</v>
      </c>
      <c r="C660" s="735" t="s">
        <v>451</v>
      </c>
      <c r="D660" s="644" t="s">
        <v>2560</v>
      </c>
      <c r="E660" s="736">
        <v>3500</v>
      </c>
      <c r="F660" s="737" t="s">
        <v>4115</v>
      </c>
      <c r="G660" s="738" t="s">
        <v>4116</v>
      </c>
      <c r="H660" s="644" t="s">
        <v>2712</v>
      </c>
      <c r="I660" s="636" t="s">
        <v>2250</v>
      </c>
      <c r="J660" s="644" t="s">
        <v>2250</v>
      </c>
      <c r="K660" s="739"/>
      <c r="L660" s="735">
        <v>12</v>
      </c>
      <c r="M660" s="736">
        <v>43960.80000000001</v>
      </c>
      <c r="N660" s="735"/>
      <c r="O660" s="735">
        <v>6</v>
      </c>
      <c r="P660" s="736">
        <v>22033.83</v>
      </c>
      <c r="Q660" s="214"/>
    </row>
    <row r="661" spans="1:17" ht="12" customHeight="1" x14ac:dyDescent="0.2">
      <c r="A661" s="735" t="s">
        <v>2169</v>
      </c>
      <c r="B661" s="735" t="s">
        <v>2170</v>
      </c>
      <c r="C661" s="735" t="s">
        <v>451</v>
      </c>
      <c r="D661" s="644" t="s">
        <v>4117</v>
      </c>
      <c r="E661" s="736">
        <v>8000</v>
      </c>
      <c r="F661" s="737" t="s">
        <v>4118</v>
      </c>
      <c r="G661" s="738" t="s">
        <v>4119</v>
      </c>
      <c r="H661" s="644" t="s">
        <v>4120</v>
      </c>
      <c r="I661" s="636" t="s">
        <v>2175</v>
      </c>
      <c r="J661" s="644"/>
      <c r="K661" s="739"/>
      <c r="L661" s="735">
        <v>1</v>
      </c>
      <c r="M661" s="736">
        <v>7846.73</v>
      </c>
      <c r="N661" s="735"/>
      <c r="O661" s="735">
        <v>6</v>
      </c>
      <c r="P661" s="736">
        <v>49034.560000000005</v>
      </c>
      <c r="Q661" s="214"/>
    </row>
    <row r="662" spans="1:17" ht="12" customHeight="1" x14ac:dyDescent="0.2">
      <c r="A662" s="735" t="s">
        <v>2169</v>
      </c>
      <c r="B662" s="735" t="s">
        <v>2170</v>
      </c>
      <c r="C662" s="735" t="s">
        <v>451</v>
      </c>
      <c r="D662" s="644" t="s">
        <v>4121</v>
      </c>
      <c r="E662" s="736">
        <v>12000</v>
      </c>
      <c r="F662" s="737" t="s">
        <v>4122</v>
      </c>
      <c r="G662" s="738" t="s">
        <v>4123</v>
      </c>
      <c r="H662" s="644" t="s">
        <v>2201</v>
      </c>
      <c r="I662" s="636"/>
      <c r="J662" s="644"/>
      <c r="K662" s="739"/>
      <c r="L662" s="735">
        <v>10</v>
      </c>
      <c r="M662" s="736">
        <v>121391.54999999997</v>
      </c>
      <c r="N662" s="735"/>
      <c r="O662" s="735"/>
      <c r="P662" s="736"/>
      <c r="Q662" s="214"/>
    </row>
    <row r="663" spans="1:17" ht="12" customHeight="1" x14ac:dyDescent="0.2">
      <c r="A663" s="735" t="s">
        <v>2169</v>
      </c>
      <c r="B663" s="735" t="s">
        <v>2170</v>
      </c>
      <c r="C663" s="735" t="s">
        <v>451</v>
      </c>
      <c r="D663" s="644" t="s">
        <v>4124</v>
      </c>
      <c r="E663" s="736">
        <v>7000</v>
      </c>
      <c r="F663" s="737" t="s">
        <v>4125</v>
      </c>
      <c r="G663" s="738" t="s">
        <v>4126</v>
      </c>
      <c r="H663" s="644" t="s">
        <v>2494</v>
      </c>
      <c r="I663" s="636" t="s">
        <v>2180</v>
      </c>
      <c r="J663" s="644" t="s">
        <v>2180</v>
      </c>
      <c r="K663" s="739"/>
      <c r="L663" s="735">
        <v>12</v>
      </c>
      <c r="M663" s="736">
        <v>85960.799999999988</v>
      </c>
      <c r="N663" s="735"/>
      <c r="O663" s="735">
        <v>6</v>
      </c>
      <c r="P663" s="736">
        <v>43030.32</v>
      </c>
      <c r="Q663" s="214"/>
    </row>
    <row r="664" spans="1:17" ht="12" customHeight="1" x14ac:dyDescent="0.2">
      <c r="A664" s="735" t="s">
        <v>2169</v>
      </c>
      <c r="B664" s="735" t="s">
        <v>2170</v>
      </c>
      <c r="C664" s="735" t="s">
        <v>451</v>
      </c>
      <c r="D664" s="644" t="s">
        <v>2225</v>
      </c>
      <c r="E664" s="736">
        <v>8000</v>
      </c>
      <c r="F664" s="737" t="s">
        <v>4127</v>
      </c>
      <c r="G664" s="738" t="s">
        <v>4128</v>
      </c>
      <c r="H664" s="644" t="s">
        <v>2201</v>
      </c>
      <c r="I664" s="636" t="s">
        <v>2201</v>
      </c>
      <c r="J664" s="644"/>
      <c r="K664" s="739"/>
      <c r="L664" s="735">
        <v>3</v>
      </c>
      <c r="M664" s="736">
        <v>21921.329999999998</v>
      </c>
      <c r="N664" s="735"/>
      <c r="O664" s="735"/>
      <c r="P664" s="736"/>
      <c r="Q664" s="214"/>
    </row>
    <row r="665" spans="1:17" ht="12" customHeight="1" x14ac:dyDescent="0.2">
      <c r="A665" s="735" t="s">
        <v>2169</v>
      </c>
      <c r="B665" s="735" t="s">
        <v>2170</v>
      </c>
      <c r="C665" s="735" t="s">
        <v>451</v>
      </c>
      <c r="D665" s="644" t="s">
        <v>4129</v>
      </c>
      <c r="E665" s="736">
        <v>8500</v>
      </c>
      <c r="F665" s="737" t="s">
        <v>4130</v>
      </c>
      <c r="G665" s="738" t="s">
        <v>4131</v>
      </c>
      <c r="H665" s="644" t="s">
        <v>2201</v>
      </c>
      <c r="I665" s="636" t="s">
        <v>2201</v>
      </c>
      <c r="J665" s="644"/>
      <c r="K665" s="739"/>
      <c r="L665" s="735">
        <v>2</v>
      </c>
      <c r="M665" s="736">
        <v>16263.4</v>
      </c>
      <c r="N665" s="735"/>
      <c r="O665" s="735">
        <v>6</v>
      </c>
      <c r="P665" s="736">
        <v>52022.310000000005</v>
      </c>
      <c r="Q665" s="214"/>
    </row>
    <row r="666" spans="1:17" ht="12" customHeight="1" x14ac:dyDescent="0.2">
      <c r="A666" s="735" t="s">
        <v>2169</v>
      </c>
      <c r="B666" s="735" t="s">
        <v>2170</v>
      </c>
      <c r="C666" s="735" t="s">
        <v>451</v>
      </c>
      <c r="D666" s="644" t="s">
        <v>4132</v>
      </c>
      <c r="E666" s="736">
        <v>8000</v>
      </c>
      <c r="F666" s="737" t="s">
        <v>4133</v>
      </c>
      <c r="G666" s="738" t="s">
        <v>4134</v>
      </c>
      <c r="H666" s="644" t="s">
        <v>2201</v>
      </c>
      <c r="I666" s="636"/>
      <c r="J666" s="644"/>
      <c r="K666" s="739"/>
      <c r="L666" s="735">
        <v>6</v>
      </c>
      <c r="M666" s="736">
        <v>49558.8</v>
      </c>
      <c r="N666" s="735"/>
      <c r="O666" s="735"/>
      <c r="P666" s="736"/>
      <c r="Q666" s="214"/>
    </row>
    <row r="667" spans="1:17" ht="12" customHeight="1" x14ac:dyDescent="0.2">
      <c r="A667" s="735" t="s">
        <v>2169</v>
      </c>
      <c r="B667" s="735" t="s">
        <v>2170</v>
      </c>
      <c r="C667" s="735" t="s">
        <v>451</v>
      </c>
      <c r="D667" s="644" t="s">
        <v>4135</v>
      </c>
      <c r="E667" s="736">
        <v>10000</v>
      </c>
      <c r="F667" s="737" t="s">
        <v>4136</v>
      </c>
      <c r="G667" s="738" t="s">
        <v>4137</v>
      </c>
      <c r="H667" s="644" t="s">
        <v>2179</v>
      </c>
      <c r="I667" s="636" t="s">
        <v>2250</v>
      </c>
      <c r="J667" s="644" t="s">
        <v>2250</v>
      </c>
      <c r="K667" s="739"/>
      <c r="L667" s="735">
        <v>12</v>
      </c>
      <c r="M667" s="736">
        <v>121960.79999999997</v>
      </c>
      <c r="N667" s="735"/>
      <c r="O667" s="735">
        <v>6</v>
      </c>
      <c r="P667" s="736">
        <v>61040.590000000004</v>
      </c>
      <c r="Q667" s="214"/>
    </row>
    <row r="668" spans="1:17" ht="12" customHeight="1" x14ac:dyDescent="0.2">
      <c r="A668" s="735" t="s">
        <v>2169</v>
      </c>
      <c r="B668" s="735" t="s">
        <v>2170</v>
      </c>
      <c r="C668" s="735" t="s">
        <v>451</v>
      </c>
      <c r="D668" s="644" t="s">
        <v>4138</v>
      </c>
      <c r="E668" s="736">
        <v>8000</v>
      </c>
      <c r="F668" s="737" t="s">
        <v>4139</v>
      </c>
      <c r="G668" s="738" t="s">
        <v>4140</v>
      </c>
      <c r="H668" s="644" t="s">
        <v>2245</v>
      </c>
      <c r="I668" s="636" t="s">
        <v>2175</v>
      </c>
      <c r="J668" s="644"/>
      <c r="K668" s="739"/>
      <c r="L668" s="735">
        <v>4</v>
      </c>
      <c r="M668" s="736">
        <v>33706.870000000003</v>
      </c>
      <c r="N668" s="735"/>
      <c r="O668" s="735">
        <v>6</v>
      </c>
      <c r="P668" s="736">
        <v>48991.450000000004</v>
      </c>
      <c r="Q668" s="214"/>
    </row>
    <row r="669" spans="1:17" ht="12" customHeight="1" x14ac:dyDescent="0.2">
      <c r="A669" s="735" t="s">
        <v>2169</v>
      </c>
      <c r="B669" s="735" t="s">
        <v>2170</v>
      </c>
      <c r="C669" s="735" t="s">
        <v>451</v>
      </c>
      <c r="D669" s="644" t="s">
        <v>4141</v>
      </c>
      <c r="E669" s="736">
        <v>11000</v>
      </c>
      <c r="F669" s="737" t="s">
        <v>4142</v>
      </c>
      <c r="G669" s="738" t="s">
        <v>4143</v>
      </c>
      <c r="H669" s="644" t="s">
        <v>2189</v>
      </c>
      <c r="I669" s="636" t="s">
        <v>2428</v>
      </c>
      <c r="J669" s="644"/>
      <c r="K669" s="739"/>
      <c r="L669" s="735">
        <v>7</v>
      </c>
      <c r="M669" s="736">
        <v>75780.400000000009</v>
      </c>
      <c r="N669" s="735"/>
      <c r="O669" s="735">
        <v>6</v>
      </c>
      <c r="P669" s="736">
        <v>67044.899999999994</v>
      </c>
      <c r="Q669" s="214"/>
    </row>
    <row r="670" spans="1:17" ht="12" customHeight="1" x14ac:dyDescent="0.2">
      <c r="A670" s="735" t="s">
        <v>2169</v>
      </c>
      <c r="B670" s="735" t="s">
        <v>2232</v>
      </c>
      <c r="C670" s="735" t="s">
        <v>451</v>
      </c>
      <c r="D670" s="644" t="s">
        <v>2410</v>
      </c>
      <c r="E670" s="736">
        <v>7000</v>
      </c>
      <c r="F670" s="737" t="s">
        <v>4144</v>
      </c>
      <c r="G670" s="738" t="s">
        <v>4145</v>
      </c>
      <c r="H670" s="644" t="s">
        <v>2189</v>
      </c>
      <c r="I670" s="636" t="s">
        <v>2175</v>
      </c>
      <c r="J670" s="644" t="s">
        <v>2189</v>
      </c>
      <c r="K670" s="739"/>
      <c r="L670" s="735">
        <v>11</v>
      </c>
      <c r="M670" s="736">
        <v>78780.73</v>
      </c>
      <c r="N670" s="735"/>
      <c r="O670" s="735">
        <v>5</v>
      </c>
      <c r="P670" s="736">
        <v>35870.75</v>
      </c>
      <c r="Q670" s="214"/>
    </row>
    <row r="671" spans="1:17" ht="12" customHeight="1" x14ac:dyDescent="0.2">
      <c r="A671" s="735" t="s">
        <v>2169</v>
      </c>
      <c r="B671" s="735" t="s">
        <v>2170</v>
      </c>
      <c r="C671" s="735" t="s">
        <v>451</v>
      </c>
      <c r="D671" s="644" t="s">
        <v>3958</v>
      </c>
      <c r="E671" s="736">
        <v>2600</v>
      </c>
      <c r="F671" s="737" t="s">
        <v>4146</v>
      </c>
      <c r="G671" s="738" t="s">
        <v>4147</v>
      </c>
      <c r="H671" s="644" t="s">
        <v>4148</v>
      </c>
      <c r="I671" s="636" t="s">
        <v>2393</v>
      </c>
      <c r="J671" s="644" t="s">
        <v>2393</v>
      </c>
      <c r="K671" s="739"/>
      <c r="L671" s="735">
        <v>12</v>
      </c>
      <c r="M671" s="736">
        <v>33047.400000000009</v>
      </c>
      <c r="N671" s="735"/>
      <c r="O671" s="735">
        <v>6</v>
      </c>
      <c r="P671" s="736">
        <v>16555.05</v>
      </c>
      <c r="Q671" s="214"/>
    </row>
    <row r="672" spans="1:17" ht="12" customHeight="1" x14ac:dyDescent="0.2">
      <c r="A672" s="735" t="s">
        <v>2169</v>
      </c>
      <c r="B672" s="735" t="s">
        <v>2170</v>
      </c>
      <c r="C672" s="735" t="s">
        <v>451</v>
      </c>
      <c r="D672" s="644" t="s">
        <v>4149</v>
      </c>
      <c r="E672" s="736">
        <v>15600</v>
      </c>
      <c r="F672" s="737" t="s">
        <v>4150</v>
      </c>
      <c r="G672" s="738" t="s">
        <v>4151</v>
      </c>
      <c r="H672" s="644" t="s">
        <v>2201</v>
      </c>
      <c r="I672" s="636"/>
      <c r="J672" s="644"/>
      <c r="K672" s="739"/>
      <c r="L672" s="735">
        <v>8</v>
      </c>
      <c r="M672" s="736">
        <v>126007.19999999998</v>
      </c>
      <c r="N672" s="735"/>
      <c r="O672" s="735"/>
      <c r="P672" s="736"/>
      <c r="Q672" s="214"/>
    </row>
    <row r="673" spans="1:17" ht="12" customHeight="1" x14ac:dyDescent="0.2">
      <c r="A673" s="735" t="s">
        <v>2169</v>
      </c>
      <c r="B673" s="735" t="s">
        <v>2170</v>
      </c>
      <c r="C673" s="735" t="s">
        <v>451</v>
      </c>
      <c r="D673" s="644" t="s">
        <v>3022</v>
      </c>
      <c r="E673" s="736">
        <v>7000</v>
      </c>
      <c r="F673" s="737" t="s">
        <v>4152</v>
      </c>
      <c r="G673" s="738" t="s">
        <v>4153</v>
      </c>
      <c r="H673" s="644" t="s">
        <v>2569</v>
      </c>
      <c r="I673" s="636" t="s">
        <v>2185</v>
      </c>
      <c r="J673" s="644"/>
      <c r="K673" s="739"/>
      <c r="L673" s="735">
        <v>3</v>
      </c>
      <c r="M673" s="736">
        <v>16306.869999999999</v>
      </c>
      <c r="N673" s="735"/>
      <c r="O673" s="735">
        <v>6</v>
      </c>
      <c r="P673" s="736">
        <v>43040.37</v>
      </c>
      <c r="Q673" s="214"/>
    </row>
    <row r="674" spans="1:17" ht="12" customHeight="1" x14ac:dyDescent="0.2">
      <c r="A674" s="735" t="s">
        <v>2169</v>
      </c>
      <c r="B674" s="735" t="s">
        <v>2170</v>
      </c>
      <c r="C674" s="735" t="s">
        <v>451</v>
      </c>
      <c r="D674" s="644" t="s">
        <v>4154</v>
      </c>
      <c r="E674" s="736">
        <v>15600</v>
      </c>
      <c r="F674" s="737" t="s">
        <v>4155</v>
      </c>
      <c r="G674" s="738" t="s">
        <v>4156</v>
      </c>
      <c r="H674" s="644" t="s">
        <v>2201</v>
      </c>
      <c r="I674" s="636"/>
      <c r="J674" s="644"/>
      <c r="K674" s="739"/>
      <c r="L674" s="735">
        <v>12</v>
      </c>
      <c r="M674" s="736">
        <v>189160.79999999996</v>
      </c>
      <c r="N674" s="735"/>
      <c r="O674" s="735">
        <v>6</v>
      </c>
      <c r="P674" s="736">
        <v>93084.9</v>
      </c>
      <c r="Q674" s="214"/>
    </row>
    <row r="675" spans="1:17" ht="12" customHeight="1" x14ac:dyDescent="0.2">
      <c r="A675" s="735" t="s">
        <v>2169</v>
      </c>
      <c r="B675" s="735" t="s">
        <v>2170</v>
      </c>
      <c r="C675" s="735" t="s">
        <v>451</v>
      </c>
      <c r="D675" s="644" t="s">
        <v>4157</v>
      </c>
      <c r="E675" s="736">
        <v>8000</v>
      </c>
      <c r="F675" s="737" t="s">
        <v>4158</v>
      </c>
      <c r="G675" s="738" t="s">
        <v>4159</v>
      </c>
      <c r="H675" s="644" t="s">
        <v>2201</v>
      </c>
      <c r="I675" s="636"/>
      <c r="J675" s="644"/>
      <c r="K675" s="739"/>
      <c r="L675" s="735">
        <v>12</v>
      </c>
      <c r="M675" s="736">
        <v>99401.599999999977</v>
      </c>
      <c r="N675" s="735"/>
      <c r="O675" s="735">
        <v>6</v>
      </c>
      <c r="P675" s="736">
        <v>49044.9</v>
      </c>
      <c r="Q675" s="214"/>
    </row>
    <row r="676" spans="1:17" ht="12" customHeight="1" x14ac:dyDescent="0.2">
      <c r="A676" s="735" t="s">
        <v>2169</v>
      </c>
      <c r="B676" s="735" t="s">
        <v>2170</v>
      </c>
      <c r="C676" s="735" t="s">
        <v>451</v>
      </c>
      <c r="D676" s="644" t="s">
        <v>3879</v>
      </c>
      <c r="E676" s="736">
        <v>10000</v>
      </c>
      <c r="F676" s="737" t="s">
        <v>4160</v>
      </c>
      <c r="G676" s="738" t="s">
        <v>4161</v>
      </c>
      <c r="H676" s="644" t="s">
        <v>2189</v>
      </c>
      <c r="I676" s="636" t="s">
        <v>2175</v>
      </c>
      <c r="J676" s="644"/>
      <c r="K676" s="739"/>
      <c r="L676" s="735">
        <v>4</v>
      </c>
      <c r="M676" s="736">
        <v>42006.58</v>
      </c>
      <c r="N676" s="735"/>
      <c r="O676" s="735">
        <v>6</v>
      </c>
      <c r="P676" s="736">
        <v>61039.15</v>
      </c>
      <c r="Q676" s="214"/>
    </row>
    <row r="677" spans="1:17" ht="12" customHeight="1" x14ac:dyDescent="0.2">
      <c r="A677" s="735" t="s">
        <v>2169</v>
      </c>
      <c r="B677" s="735" t="s">
        <v>2232</v>
      </c>
      <c r="C677" s="735" t="s">
        <v>451</v>
      </c>
      <c r="D677" s="644" t="s">
        <v>2272</v>
      </c>
      <c r="E677" s="736">
        <v>9500</v>
      </c>
      <c r="F677" s="737" t="s">
        <v>4162</v>
      </c>
      <c r="G677" s="738" t="s">
        <v>4163</v>
      </c>
      <c r="H677" s="644" t="s">
        <v>2317</v>
      </c>
      <c r="I677" s="636" t="s">
        <v>2175</v>
      </c>
      <c r="J677" s="644" t="s">
        <v>2317</v>
      </c>
      <c r="K677" s="739"/>
      <c r="L677" s="735">
        <v>11</v>
      </c>
      <c r="M677" s="736">
        <v>106364.06999999998</v>
      </c>
      <c r="N677" s="735"/>
      <c r="O677" s="735">
        <v>5</v>
      </c>
      <c r="P677" s="736">
        <v>48200.140000000007</v>
      </c>
      <c r="Q677" s="214"/>
    </row>
    <row r="678" spans="1:17" ht="12" customHeight="1" x14ac:dyDescent="0.2">
      <c r="A678" s="735" t="s">
        <v>2169</v>
      </c>
      <c r="B678" s="735" t="s">
        <v>2170</v>
      </c>
      <c r="C678" s="735" t="s">
        <v>451</v>
      </c>
      <c r="D678" s="644" t="s">
        <v>3945</v>
      </c>
      <c r="E678" s="736">
        <v>7000</v>
      </c>
      <c r="F678" s="737" t="s">
        <v>4164</v>
      </c>
      <c r="G678" s="738" t="s">
        <v>4165</v>
      </c>
      <c r="H678" s="644" t="s">
        <v>2201</v>
      </c>
      <c r="I678" s="636" t="s">
        <v>2201</v>
      </c>
      <c r="J678" s="644"/>
      <c r="K678" s="739"/>
      <c r="L678" s="735">
        <v>3</v>
      </c>
      <c r="M678" s="736">
        <v>16306.869999999999</v>
      </c>
      <c r="N678" s="735"/>
      <c r="O678" s="735">
        <v>2</v>
      </c>
      <c r="P678" s="736">
        <v>8455.86</v>
      </c>
      <c r="Q678" s="214"/>
    </row>
    <row r="679" spans="1:17" ht="12" customHeight="1" x14ac:dyDescent="0.2">
      <c r="A679" s="735" t="s">
        <v>2169</v>
      </c>
      <c r="B679" s="735" t="s">
        <v>2170</v>
      </c>
      <c r="C679" s="735" t="s">
        <v>451</v>
      </c>
      <c r="D679" s="644" t="s">
        <v>4166</v>
      </c>
      <c r="E679" s="736">
        <v>13000</v>
      </c>
      <c r="F679" s="737" t="s">
        <v>4167</v>
      </c>
      <c r="G679" s="738" t="s">
        <v>4168</v>
      </c>
      <c r="H679" s="644" t="s">
        <v>2197</v>
      </c>
      <c r="I679" s="636" t="s">
        <v>2175</v>
      </c>
      <c r="J679" s="644"/>
      <c r="K679" s="739"/>
      <c r="L679" s="735">
        <v>9</v>
      </c>
      <c r="M679" s="736">
        <v>121553.92999999998</v>
      </c>
      <c r="N679" s="735"/>
      <c r="O679" s="735">
        <v>6</v>
      </c>
      <c r="P679" s="736">
        <v>78834.76999999999</v>
      </c>
      <c r="Q679" s="214"/>
    </row>
    <row r="680" spans="1:17" ht="12" customHeight="1" x14ac:dyDescent="0.2">
      <c r="A680" s="735" t="s">
        <v>2169</v>
      </c>
      <c r="B680" s="735" t="s">
        <v>2170</v>
      </c>
      <c r="C680" s="735" t="s">
        <v>451</v>
      </c>
      <c r="D680" s="644" t="s">
        <v>4169</v>
      </c>
      <c r="E680" s="736">
        <v>3000</v>
      </c>
      <c r="F680" s="737" t="s">
        <v>4170</v>
      </c>
      <c r="G680" s="738" t="s">
        <v>4171</v>
      </c>
      <c r="H680" s="644" t="s">
        <v>2174</v>
      </c>
      <c r="I680" s="636" t="s">
        <v>2180</v>
      </c>
      <c r="J680" s="644" t="s">
        <v>2180</v>
      </c>
      <c r="K680" s="739"/>
      <c r="L680" s="735">
        <v>12</v>
      </c>
      <c r="M680" s="736">
        <v>37960.80000000001</v>
      </c>
      <c r="N680" s="735"/>
      <c r="O680" s="735">
        <v>6</v>
      </c>
      <c r="P680" s="736">
        <v>18942.53</v>
      </c>
      <c r="Q680" s="214"/>
    </row>
    <row r="681" spans="1:17" ht="12" customHeight="1" x14ac:dyDescent="0.2">
      <c r="A681" s="735" t="s">
        <v>2169</v>
      </c>
      <c r="B681" s="735" t="s">
        <v>2170</v>
      </c>
      <c r="C681" s="735" t="s">
        <v>451</v>
      </c>
      <c r="D681" s="644" t="s">
        <v>3211</v>
      </c>
      <c r="E681" s="736">
        <v>6000</v>
      </c>
      <c r="F681" s="737" t="s">
        <v>4172</v>
      </c>
      <c r="G681" s="738" t="s">
        <v>4173</v>
      </c>
      <c r="H681" s="644" t="s">
        <v>2201</v>
      </c>
      <c r="I681" s="636"/>
      <c r="J681" s="644"/>
      <c r="K681" s="739"/>
      <c r="L681" s="735">
        <v>12</v>
      </c>
      <c r="M681" s="736">
        <v>73847.400000000009</v>
      </c>
      <c r="N681" s="735"/>
      <c r="O681" s="735">
        <v>6</v>
      </c>
      <c r="P681" s="736">
        <v>37044.9</v>
      </c>
      <c r="Q681" s="214"/>
    </row>
    <row r="682" spans="1:17" ht="12" customHeight="1" x14ac:dyDescent="0.2">
      <c r="A682" s="735" t="s">
        <v>2169</v>
      </c>
      <c r="B682" s="735" t="s">
        <v>2170</v>
      </c>
      <c r="C682" s="735" t="s">
        <v>451</v>
      </c>
      <c r="D682" s="644" t="s">
        <v>4174</v>
      </c>
      <c r="E682" s="736">
        <v>9500</v>
      </c>
      <c r="F682" s="737" t="s">
        <v>4175</v>
      </c>
      <c r="G682" s="738" t="s">
        <v>4176</v>
      </c>
      <c r="H682" s="644" t="s">
        <v>2174</v>
      </c>
      <c r="I682" s="636" t="s">
        <v>2180</v>
      </c>
      <c r="J682" s="644" t="s">
        <v>2180</v>
      </c>
      <c r="K682" s="739"/>
      <c r="L682" s="735">
        <v>12</v>
      </c>
      <c r="M682" s="736">
        <v>115960.79999999997</v>
      </c>
      <c r="N682" s="735"/>
      <c r="O682" s="735">
        <v>6</v>
      </c>
      <c r="P682" s="736">
        <v>58031.93</v>
      </c>
      <c r="Q682" s="214"/>
    </row>
    <row r="683" spans="1:17" ht="12" customHeight="1" x14ac:dyDescent="0.2">
      <c r="A683" s="735" t="s">
        <v>2169</v>
      </c>
      <c r="B683" s="735" t="s">
        <v>2170</v>
      </c>
      <c r="C683" s="735" t="s">
        <v>451</v>
      </c>
      <c r="D683" s="644" t="s">
        <v>4177</v>
      </c>
      <c r="E683" s="736">
        <v>5000</v>
      </c>
      <c r="F683" s="737" t="s">
        <v>4178</v>
      </c>
      <c r="G683" s="738" t="s">
        <v>4179</v>
      </c>
      <c r="H683" s="644" t="s">
        <v>3629</v>
      </c>
      <c r="I683" s="636" t="s">
        <v>2250</v>
      </c>
      <c r="J683" s="644" t="s">
        <v>2250</v>
      </c>
      <c r="K683" s="739"/>
      <c r="L683" s="735">
        <v>12</v>
      </c>
      <c r="M683" s="736">
        <v>62063.520000000011</v>
      </c>
      <c r="N683" s="735"/>
      <c r="O683" s="735">
        <v>6</v>
      </c>
      <c r="P683" s="736">
        <v>30876.79</v>
      </c>
      <c r="Q683" s="214"/>
    </row>
    <row r="684" spans="1:17" ht="12" customHeight="1" x14ac:dyDescent="0.2">
      <c r="A684" s="735" t="s">
        <v>2169</v>
      </c>
      <c r="B684" s="735" t="s">
        <v>2170</v>
      </c>
      <c r="C684" s="735" t="s">
        <v>451</v>
      </c>
      <c r="D684" s="644" t="s">
        <v>4180</v>
      </c>
      <c r="E684" s="736">
        <v>12000</v>
      </c>
      <c r="F684" s="737" t="s">
        <v>4181</v>
      </c>
      <c r="G684" s="738" t="s">
        <v>4182</v>
      </c>
      <c r="H684" s="644" t="s">
        <v>2179</v>
      </c>
      <c r="I684" s="636" t="s">
        <v>2250</v>
      </c>
      <c r="J684" s="644" t="s">
        <v>2250</v>
      </c>
      <c r="K684" s="739"/>
      <c r="L684" s="735">
        <v>12</v>
      </c>
      <c r="M684" s="736">
        <v>145847.39999999997</v>
      </c>
      <c r="N684" s="735"/>
      <c r="O684" s="735">
        <v>6</v>
      </c>
      <c r="P684" s="736">
        <v>73044.899999999994</v>
      </c>
      <c r="Q684" s="214"/>
    </row>
    <row r="685" spans="1:17" ht="12" customHeight="1" x14ac:dyDescent="0.2">
      <c r="A685" s="735" t="s">
        <v>2169</v>
      </c>
      <c r="B685" s="735" t="s">
        <v>2170</v>
      </c>
      <c r="C685" s="735" t="s">
        <v>451</v>
      </c>
      <c r="D685" s="644" t="s">
        <v>2469</v>
      </c>
      <c r="E685" s="736">
        <v>2500</v>
      </c>
      <c r="F685" s="737" t="s">
        <v>4183</v>
      </c>
      <c r="G685" s="738" t="s">
        <v>4184</v>
      </c>
      <c r="H685" s="644" t="s">
        <v>2867</v>
      </c>
      <c r="I685" s="636" t="s">
        <v>2218</v>
      </c>
      <c r="J685" s="644"/>
      <c r="K685" s="739"/>
      <c r="L685" s="735">
        <v>4</v>
      </c>
      <c r="M685" s="736">
        <v>8760.5</v>
      </c>
      <c r="N685" s="735"/>
      <c r="O685" s="735">
        <v>6</v>
      </c>
      <c r="P685" s="736">
        <v>15952.4</v>
      </c>
      <c r="Q685" s="214"/>
    </row>
    <row r="686" spans="1:17" ht="12" customHeight="1" x14ac:dyDescent="0.2">
      <c r="A686" s="735" t="s">
        <v>2169</v>
      </c>
      <c r="B686" s="735" t="s">
        <v>2170</v>
      </c>
      <c r="C686" s="735" t="s">
        <v>451</v>
      </c>
      <c r="D686" s="644" t="s">
        <v>4185</v>
      </c>
      <c r="E686" s="736">
        <v>12000</v>
      </c>
      <c r="F686" s="737" t="s">
        <v>4186</v>
      </c>
      <c r="G686" s="738" t="s">
        <v>4187</v>
      </c>
      <c r="H686" s="644" t="s">
        <v>4188</v>
      </c>
      <c r="I686" s="636" t="s">
        <v>2228</v>
      </c>
      <c r="J686" s="644"/>
      <c r="K686" s="739"/>
      <c r="L686" s="735">
        <v>1</v>
      </c>
      <c r="M686" s="736">
        <v>5313.4</v>
      </c>
      <c r="N686" s="735"/>
      <c r="O686" s="735">
        <v>6</v>
      </c>
      <c r="P686" s="736">
        <v>73044.899999999994</v>
      </c>
      <c r="Q686" s="214"/>
    </row>
    <row r="687" spans="1:17" ht="12" customHeight="1" x14ac:dyDescent="0.2">
      <c r="A687" s="735" t="s">
        <v>2169</v>
      </c>
      <c r="B687" s="735" t="s">
        <v>2170</v>
      </c>
      <c r="C687" s="735" t="s">
        <v>451</v>
      </c>
      <c r="D687" s="644" t="s">
        <v>4189</v>
      </c>
      <c r="E687" s="736">
        <v>14500</v>
      </c>
      <c r="F687" s="737" t="s">
        <v>4190</v>
      </c>
      <c r="G687" s="738" t="s">
        <v>4191</v>
      </c>
      <c r="H687" s="644" t="s">
        <v>4192</v>
      </c>
      <c r="I687" s="636" t="s">
        <v>2180</v>
      </c>
      <c r="J687" s="644" t="s">
        <v>2180</v>
      </c>
      <c r="K687" s="739"/>
      <c r="L687" s="735">
        <v>12</v>
      </c>
      <c r="M687" s="736">
        <v>175960.79999999996</v>
      </c>
      <c r="N687" s="735"/>
      <c r="O687" s="735">
        <v>6</v>
      </c>
      <c r="P687" s="736">
        <v>88044.9</v>
      </c>
      <c r="Q687" s="214"/>
    </row>
    <row r="688" spans="1:17" ht="12" customHeight="1" x14ac:dyDescent="0.2">
      <c r="A688" s="735" t="s">
        <v>2169</v>
      </c>
      <c r="B688" s="735" t="s">
        <v>2170</v>
      </c>
      <c r="C688" s="735" t="s">
        <v>451</v>
      </c>
      <c r="D688" s="644" t="s">
        <v>4193</v>
      </c>
      <c r="E688" s="736">
        <v>8000</v>
      </c>
      <c r="F688" s="737" t="s">
        <v>4194</v>
      </c>
      <c r="G688" s="738" t="s">
        <v>4195</v>
      </c>
      <c r="H688" s="644" t="s">
        <v>4196</v>
      </c>
      <c r="I688" s="636" t="s">
        <v>2228</v>
      </c>
      <c r="J688" s="644" t="s">
        <v>4196</v>
      </c>
      <c r="K688" s="739"/>
      <c r="L688" s="735">
        <v>12</v>
      </c>
      <c r="M688" s="736">
        <v>98227.47</v>
      </c>
      <c r="N688" s="735"/>
      <c r="O688" s="735">
        <v>6</v>
      </c>
      <c r="P688" s="736">
        <v>49038.58</v>
      </c>
      <c r="Q688" s="214"/>
    </row>
    <row r="689" spans="1:17" ht="12" customHeight="1" x14ac:dyDescent="0.2">
      <c r="A689" s="735" t="s">
        <v>2169</v>
      </c>
      <c r="B689" s="735" t="s">
        <v>2170</v>
      </c>
      <c r="C689" s="735" t="s">
        <v>451</v>
      </c>
      <c r="D689" s="644" t="s">
        <v>4197</v>
      </c>
      <c r="E689" s="736">
        <v>9000</v>
      </c>
      <c r="F689" s="737" t="s">
        <v>4198</v>
      </c>
      <c r="G689" s="738" t="s">
        <v>4199</v>
      </c>
      <c r="H689" s="644" t="s">
        <v>2543</v>
      </c>
      <c r="I689" s="636" t="s">
        <v>2175</v>
      </c>
      <c r="J689" s="644" t="s">
        <v>2543</v>
      </c>
      <c r="K689" s="739"/>
      <c r="L689" s="735">
        <v>12</v>
      </c>
      <c r="M689" s="736">
        <v>110188.95999999998</v>
      </c>
      <c r="N689" s="735"/>
      <c r="O689" s="735">
        <v>6</v>
      </c>
      <c r="P689" s="736">
        <v>54856.11</v>
      </c>
      <c r="Q689" s="214"/>
    </row>
    <row r="690" spans="1:17" ht="12" customHeight="1" x14ac:dyDescent="0.2">
      <c r="A690" s="735" t="s">
        <v>2169</v>
      </c>
      <c r="B690" s="735" t="s">
        <v>2170</v>
      </c>
      <c r="C690" s="735" t="s">
        <v>451</v>
      </c>
      <c r="D690" s="644" t="s">
        <v>4200</v>
      </c>
      <c r="E690" s="736">
        <v>15600</v>
      </c>
      <c r="F690" s="737" t="s">
        <v>4201</v>
      </c>
      <c r="G690" s="738" t="s">
        <v>4202</v>
      </c>
      <c r="H690" s="644" t="s">
        <v>2201</v>
      </c>
      <c r="I690" s="636"/>
      <c r="J690" s="644"/>
      <c r="K690" s="739"/>
      <c r="L690" s="735">
        <v>12</v>
      </c>
      <c r="M690" s="736">
        <v>189160.79999999996</v>
      </c>
      <c r="N690" s="735"/>
      <c r="O690" s="735">
        <v>6</v>
      </c>
      <c r="P690" s="736">
        <v>93084.9</v>
      </c>
      <c r="Q690" s="214"/>
    </row>
    <row r="691" spans="1:17" ht="12" customHeight="1" x14ac:dyDescent="0.2">
      <c r="A691" s="735" t="s">
        <v>2169</v>
      </c>
      <c r="B691" s="735" t="s">
        <v>2170</v>
      </c>
      <c r="C691" s="735" t="s">
        <v>451</v>
      </c>
      <c r="D691" s="644" t="s">
        <v>4203</v>
      </c>
      <c r="E691" s="736">
        <v>9500</v>
      </c>
      <c r="F691" s="737" t="s">
        <v>4204</v>
      </c>
      <c r="G691" s="738" t="s">
        <v>4205</v>
      </c>
      <c r="H691" s="644" t="s">
        <v>2208</v>
      </c>
      <c r="I691" s="636" t="s">
        <v>2250</v>
      </c>
      <c r="J691" s="644" t="s">
        <v>2250</v>
      </c>
      <c r="K691" s="739"/>
      <c r="L691" s="735">
        <v>11</v>
      </c>
      <c r="M691" s="736">
        <v>105956.91999999998</v>
      </c>
      <c r="N691" s="735"/>
      <c r="O691" s="735"/>
      <c r="P691" s="736"/>
      <c r="Q691" s="214"/>
    </row>
    <row r="692" spans="1:17" ht="12" customHeight="1" x14ac:dyDescent="0.2">
      <c r="A692" s="735" t="s">
        <v>2169</v>
      </c>
      <c r="B692" s="735" t="s">
        <v>2170</v>
      </c>
      <c r="C692" s="735" t="s">
        <v>451</v>
      </c>
      <c r="D692" s="644" t="s">
        <v>4206</v>
      </c>
      <c r="E692" s="736">
        <v>8000</v>
      </c>
      <c r="F692" s="737" t="s">
        <v>4207</v>
      </c>
      <c r="G692" s="738" t="s">
        <v>4208</v>
      </c>
      <c r="H692" s="644" t="s">
        <v>2924</v>
      </c>
      <c r="I692" s="636" t="s">
        <v>2180</v>
      </c>
      <c r="J692" s="644" t="s">
        <v>2180</v>
      </c>
      <c r="K692" s="739"/>
      <c r="L692" s="735">
        <v>12</v>
      </c>
      <c r="M692" s="736">
        <v>97943.389999999985</v>
      </c>
      <c r="N692" s="735"/>
      <c r="O692" s="735">
        <v>3</v>
      </c>
      <c r="P692" s="736">
        <v>16625.5</v>
      </c>
      <c r="Q692" s="214"/>
    </row>
    <row r="693" spans="1:17" ht="12" customHeight="1" x14ac:dyDescent="0.2">
      <c r="A693" s="735" t="s">
        <v>2169</v>
      </c>
      <c r="B693" s="735" t="s">
        <v>2170</v>
      </c>
      <c r="C693" s="735" t="s">
        <v>451</v>
      </c>
      <c r="D693" s="644" t="s">
        <v>4209</v>
      </c>
      <c r="E693" s="736">
        <v>4500</v>
      </c>
      <c r="F693" s="737" t="s">
        <v>4210</v>
      </c>
      <c r="G693" s="738" t="s">
        <v>4211</v>
      </c>
      <c r="H693" s="644" t="s">
        <v>4212</v>
      </c>
      <c r="I693" s="636" t="s">
        <v>2393</v>
      </c>
      <c r="J693" s="644" t="s">
        <v>2393</v>
      </c>
      <c r="K693" s="739"/>
      <c r="L693" s="735">
        <v>6</v>
      </c>
      <c r="M693" s="736">
        <v>27680.400000000001</v>
      </c>
      <c r="N693" s="735"/>
      <c r="O693" s="735"/>
      <c r="P693" s="736"/>
      <c r="Q693" s="214"/>
    </row>
    <row r="694" spans="1:17" ht="12" customHeight="1" x14ac:dyDescent="0.2">
      <c r="A694" s="735" t="s">
        <v>2169</v>
      </c>
      <c r="B694" s="735" t="s">
        <v>2170</v>
      </c>
      <c r="C694" s="735" t="s">
        <v>451</v>
      </c>
      <c r="D694" s="644" t="s">
        <v>3504</v>
      </c>
      <c r="E694" s="736">
        <v>8000</v>
      </c>
      <c r="F694" s="737" t="s">
        <v>4213</v>
      </c>
      <c r="G694" s="738" t="s">
        <v>4214</v>
      </c>
      <c r="H694" s="644" t="s">
        <v>2179</v>
      </c>
      <c r="I694" s="636" t="s">
        <v>2228</v>
      </c>
      <c r="J694" s="644"/>
      <c r="K694" s="739"/>
      <c r="L694" s="735">
        <v>1</v>
      </c>
      <c r="M694" s="736">
        <v>5180.07</v>
      </c>
      <c r="N694" s="735"/>
      <c r="O694" s="735">
        <v>6</v>
      </c>
      <c r="P694" s="736">
        <v>49017.320000000007</v>
      </c>
      <c r="Q694" s="214"/>
    </row>
    <row r="695" spans="1:17" ht="12" customHeight="1" x14ac:dyDescent="0.2">
      <c r="A695" s="735" t="s">
        <v>2169</v>
      </c>
      <c r="B695" s="735" t="s">
        <v>2170</v>
      </c>
      <c r="C695" s="735" t="s">
        <v>451</v>
      </c>
      <c r="D695" s="644" t="s">
        <v>2560</v>
      </c>
      <c r="E695" s="736">
        <v>4000</v>
      </c>
      <c r="F695" s="737" t="s">
        <v>4215</v>
      </c>
      <c r="G695" s="738" t="s">
        <v>4216</v>
      </c>
      <c r="H695" s="644" t="s">
        <v>2201</v>
      </c>
      <c r="I695" s="636"/>
      <c r="J695" s="644"/>
      <c r="K695" s="739"/>
      <c r="L695" s="735">
        <v>1</v>
      </c>
      <c r="M695" s="736">
        <v>2246.73</v>
      </c>
      <c r="N695" s="735"/>
      <c r="O695" s="735"/>
      <c r="P695" s="736"/>
      <c r="Q695" s="214"/>
    </row>
    <row r="696" spans="1:17" ht="12" customHeight="1" x14ac:dyDescent="0.2">
      <c r="A696" s="735" t="s">
        <v>2169</v>
      </c>
      <c r="B696" s="735" t="s">
        <v>2170</v>
      </c>
      <c r="C696" s="735" t="s">
        <v>451</v>
      </c>
      <c r="D696" s="644" t="s">
        <v>4217</v>
      </c>
      <c r="E696" s="736">
        <v>8000</v>
      </c>
      <c r="F696" s="737" t="s">
        <v>4218</v>
      </c>
      <c r="G696" s="738" t="s">
        <v>4219</v>
      </c>
      <c r="H696" s="644" t="s">
        <v>4220</v>
      </c>
      <c r="I696" s="636" t="s">
        <v>2228</v>
      </c>
      <c r="J696" s="644" t="s">
        <v>4220</v>
      </c>
      <c r="K696" s="739"/>
      <c r="L696" s="735">
        <v>12</v>
      </c>
      <c r="M696" s="736">
        <v>99401.599999999977</v>
      </c>
      <c r="N696" s="735"/>
      <c r="O696" s="735">
        <v>6</v>
      </c>
      <c r="P696" s="736">
        <v>49044.9</v>
      </c>
      <c r="Q696" s="214"/>
    </row>
    <row r="697" spans="1:17" ht="12" customHeight="1" x14ac:dyDescent="0.2">
      <c r="A697" s="735" t="s">
        <v>2169</v>
      </c>
      <c r="B697" s="735" t="s">
        <v>2232</v>
      </c>
      <c r="C697" s="735" t="s">
        <v>451</v>
      </c>
      <c r="D697" s="644" t="s">
        <v>2272</v>
      </c>
      <c r="E697" s="736">
        <v>9500</v>
      </c>
      <c r="F697" s="737" t="s">
        <v>4221</v>
      </c>
      <c r="G697" s="738" t="s">
        <v>4222</v>
      </c>
      <c r="H697" s="644" t="s">
        <v>3057</v>
      </c>
      <c r="I697" s="636" t="s">
        <v>2250</v>
      </c>
      <c r="J697" s="644" t="s">
        <v>2250</v>
      </c>
      <c r="K697" s="739"/>
      <c r="L697" s="735">
        <v>11</v>
      </c>
      <c r="M697" s="736">
        <v>106364.06999999998</v>
      </c>
      <c r="N697" s="735"/>
      <c r="O697" s="735">
        <v>5</v>
      </c>
      <c r="P697" s="736">
        <v>48370.75</v>
      </c>
      <c r="Q697" s="214"/>
    </row>
    <row r="698" spans="1:17" ht="12" customHeight="1" x14ac:dyDescent="0.2">
      <c r="A698" s="735" t="s">
        <v>2169</v>
      </c>
      <c r="B698" s="735" t="s">
        <v>2170</v>
      </c>
      <c r="C698" s="735" t="s">
        <v>451</v>
      </c>
      <c r="D698" s="644" t="s">
        <v>3924</v>
      </c>
      <c r="E698" s="736">
        <v>6000</v>
      </c>
      <c r="F698" s="737" t="s">
        <v>4223</v>
      </c>
      <c r="G698" s="738" t="s">
        <v>4224</v>
      </c>
      <c r="H698" s="644" t="s">
        <v>2245</v>
      </c>
      <c r="I698" s="636" t="s">
        <v>2175</v>
      </c>
      <c r="J698" s="644"/>
      <c r="K698" s="739"/>
      <c r="L698" s="735">
        <v>9</v>
      </c>
      <c r="M698" s="736">
        <v>55120.600000000006</v>
      </c>
      <c r="N698" s="735"/>
      <c r="O698" s="735">
        <v>6</v>
      </c>
      <c r="P698" s="736">
        <v>36991.880000000005</v>
      </c>
      <c r="Q698" s="214"/>
    </row>
    <row r="699" spans="1:17" ht="12" customHeight="1" x14ac:dyDescent="0.2">
      <c r="A699" s="735" t="s">
        <v>2169</v>
      </c>
      <c r="B699" s="735" t="s">
        <v>2170</v>
      </c>
      <c r="C699" s="735" t="s">
        <v>451</v>
      </c>
      <c r="D699" s="644" t="s">
        <v>2737</v>
      </c>
      <c r="E699" s="736">
        <v>2500</v>
      </c>
      <c r="F699" s="737" t="s">
        <v>4225</v>
      </c>
      <c r="G699" s="738" t="s">
        <v>4226</v>
      </c>
      <c r="H699" s="644" t="s">
        <v>2253</v>
      </c>
      <c r="I699" s="636" t="s">
        <v>2254</v>
      </c>
      <c r="J699" s="644" t="s">
        <v>2254</v>
      </c>
      <c r="K699" s="739"/>
      <c r="L699" s="735">
        <v>5</v>
      </c>
      <c r="M699" s="736">
        <v>11898.74</v>
      </c>
      <c r="N699" s="735"/>
      <c r="O699" s="735"/>
      <c r="P699" s="736"/>
      <c r="Q699" s="214"/>
    </row>
    <row r="700" spans="1:17" ht="12" customHeight="1" x14ac:dyDescent="0.2">
      <c r="A700" s="735" t="s">
        <v>2169</v>
      </c>
      <c r="B700" s="735" t="s">
        <v>2170</v>
      </c>
      <c r="C700" s="735" t="s">
        <v>451</v>
      </c>
      <c r="D700" s="644" t="s">
        <v>2421</v>
      </c>
      <c r="E700" s="736">
        <v>4600</v>
      </c>
      <c r="F700" s="737" t="s">
        <v>4227</v>
      </c>
      <c r="G700" s="738" t="s">
        <v>4228</v>
      </c>
      <c r="H700" s="644" t="s">
        <v>2201</v>
      </c>
      <c r="I700" s="636"/>
      <c r="J700" s="644"/>
      <c r="K700" s="739"/>
      <c r="L700" s="735">
        <v>12</v>
      </c>
      <c r="M700" s="736">
        <v>58462.600000000013</v>
      </c>
      <c r="N700" s="735"/>
      <c r="O700" s="735">
        <v>3</v>
      </c>
      <c r="P700" s="736">
        <v>16724.669999999998</v>
      </c>
      <c r="Q700" s="214"/>
    </row>
    <row r="701" spans="1:17" ht="12" customHeight="1" x14ac:dyDescent="0.2">
      <c r="A701" s="735" t="s">
        <v>2169</v>
      </c>
      <c r="B701" s="735" t="s">
        <v>2170</v>
      </c>
      <c r="C701" s="735" t="s">
        <v>451</v>
      </c>
      <c r="D701" s="644" t="s">
        <v>2439</v>
      </c>
      <c r="E701" s="736">
        <v>7000</v>
      </c>
      <c r="F701" s="737" t="s">
        <v>4229</v>
      </c>
      <c r="G701" s="738" t="s">
        <v>4230</v>
      </c>
      <c r="H701" s="644" t="s">
        <v>2174</v>
      </c>
      <c r="I701" s="636" t="s">
        <v>2180</v>
      </c>
      <c r="J701" s="644" t="s">
        <v>2180</v>
      </c>
      <c r="K701" s="739"/>
      <c r="L701" s="735">
        <v>12</v>
      </c>
      <c r="M701" s="736">
        <v>86177.62</v>
      </c>
      <c r="N701" s="735"/>
      <c r="O701" s="735">
        <v>6</v>
      </c>
      <c r="P701" s="736">
        <v>42966.450000000004</v>
      </c>
      <c r="Q701" s="214"/>
    </row>
    <row r="702" spans="1:17" ht="12" customHeight="1" x14ac:dyDescent="0.2">
      <c r="A702" s="735" t="s">
        <v>2169</v>
      </c>
      <c r="B702" s="735" t="s">
        <v>2170</v>
      </c>
      <c r="C702" s="735" t="s">
        <v>451</v>
      </c>
      <c r="D702" s="644" t="s">
        <v>4106</v>
      </c>
      <c r="E702" s="736">
        <v>7000</v>
      </c>
      <c r="F702" s="737" t="s">
        <v>4231</v>
      </c>
      <c r="G702" s="738" t="s">
        <v>4232</v>
      </c>
      <c r="H702" s="644" t="s">
        <v>2201</v>
      </c>
      <c r="I702" s="636" t="s">
        <v>2296</v>
      </c>
      <c r="J702" s="644" t="s">
        <v>2296</v>
      </c>
      <c r="K702" s="739"/>
      <c r="L702" s="735">
        <v>10</v>
      </c>
      <c r="M702" s="736">
        <v>65470.010000000009</v>
      </c>
      <c r="N702" s="735"/>
      <c r="O702" s="735"/>
      <c r="P702" s="736"/>
      <c r="Q702" s="214"/>
    </row>
    <row r="703" spans="1:17" ht="12" customHeight="1" x14ac:dyDescent="0.2">
      <c r="A703" s="735" t="s">
        <v>2169</v>
      </c>
      <c r="B703" s="735" t="s">
        <v>2170</v>
      </c>
      <c r="C703" s="735" t="s">
        <v>451</v>
      </c>
      <c r="D703" s="644" t="s">
        <v>2236</v>
      </c>
      <c r="E703" s="736">
        <v>8500</v>
      </c>
      <c r="F703" s="737" t="s">
        <v>4233</v>
      </c>
      <c r="G703" s="738" t="s">
        <v>4234</v>
      </c>
      <c r="H703" s="644" t="s">
        <v>2179</v>
      </c>
      <c r="I703" s="636" t="s">
        <v>2250</v>
      </c>
      <c r="J703" s="644" t="s">
        <v>2250</v>
      </c>
      <c r="K703" s="739"/>
      <c r="L703" s="735">
        <v>12</v>
      </c>
      <c r="M703" s="736">
        <v>103847.39999999998</v>
      </c>
      <c r="N703" s="735"/>
      <c r="O703" s="735">
        <v>6</v>
      </c>
      <c r="P703" s="736">
        <v>52044.9</v>
      </c>
      <c r="Q703" s="214"/>
    </row>
    <row r="704" spans="1:17" ht="12" customHeight="1" x14ac:dyDescent="0.2">
      <c r="A704" s="735" t="s">
        <v>2169</v>
      </c>
      <c r="B704" s="735" t="s">
        <v>2170</v>
      </c>
      <c r="C704" s="735" t="s">
        <v>451</v>
      </c>
      <c r="D704" s="644" t="s">
        <v>2225</v>
      </c>
      <c r="E704" s="736">
        <v>10000</v>
      </c>
      <c r="F704" s="737" t="s">
        <v>4235</v>
      </c>
      <c r="G704" s="738" t="s">
        <v>4236</v>
      </c>
      <c r="H704" s="644">
        <v>0</v>
      </c>
      <c r="I704" s="636">
        <v>0</v>
      </c>
      <c r="J704" s="644">
        <v>0</v>
      </c>
      <c r="K704" s="739"/>
      <c r="L704" s="735">
        <v>3</v>
      </c>
      <c r="M704" s="736">
        <v>29999.61</v>
      </c>
      <c r="N704" s="735"/>
      <c r="O704" s="735"/>
      <c r="P704" s="736"/>
      <c r="Q704" s="214"/>
    </row>
    <row r="705" spans="1:17" ht="12" customHeight="1" x14ac:dyDescent="0.2">
      <c r="A705" s="735" t="s">
        <v>2169</v>
      </c>
      <c r="B705" s="735" t="s">
        <v>2170</v>
      </c>
      <c r="C705" s="735" t="s">
        <v>451</v>
      </c>
      <c r="D705" s="644" t="s">
        <v>2346</v>
      </c>
      <c r="E705" s="736">
        <v>5500</v>
      </c>
      <c r="F705" s="737" t="s">
        <v>4237</v>
      </c>
      <c r="G705" s="738" t="s">
        <v>4238</v>
      </c>
      <c r="H705" s="644" t="s">
        <v>4239</v>
      </c>
      <c r="I705" s="636"/>
      <c r="J705" s="644"/>
      <c r="K705" s="739"/>
      <c r="L705" s="735">
        <v>12</v>
      </c>
      <c r="M705" s="736">
        <v>65634</v>
      </c>
      <c r="N705" s="735"/>
      <c r="O705" s="735">
        <v>6</v>
      </c>
      <c r="P705" s="736">
        <v>33990.770000000004</v>
      </c>
      <c r="Q705" s="214"/>
    </row>
    <row r="706" spans="1:17" ht="12" customHeight="1" x14ac:dyDescent="0.2">
      <c r="A706" s="735" t="s">
        <v>2169</v>
      </c>
      <c r="B706" s="735" t="s">
        <v>2170</v>
      </c>
      <c r="C706" s="735" t="s">
        <v>451</v>
      </c>
      <c r="D706" s="644" t="s">
        <v>2435</v>
      </c>
      <c r="E706" s="736">
        <v>6000</v>
      </c>
      <c r="F706" s="737" t="s">
        <v>4240</v>
      </c>
      <c r="G706" s="738" t="s">
        <v>4241</v>
      </c>
      <c r="H706" s="644" t="s">
        <v>2346</v>
      </c>
      <c r="I706" s="636" t="s">
        <v>2385</v>
      </c>
      <c r="J706" s="644" t="s">
        <v>2385</v>
      </c>
      <c r="K706" s="739"/>
      <c r="L706" s="735">
        <v>12</v>
      </c>
      <c r="M706" s="736">
        <v>73960.800000000003</v>
      </c>
      <c r="N706" s="735"/>
      <c r="O706" s="735">
        <v>6</v>
      </c>
      <c r="P706" s="736">
        <v>36952.660000000003</v>
      </c>
      <c r="Q706" s="214"/>
    </row>
    <row r="707" spans="1:17" ht="12" customHeight="1" x14ac:dyDescent="0.2">
      <c r="A707" s="735" t="s">
        <v>2169</v>
      </c>
      <c r="B707" s="735" t="s">
        <v>2170</v>
      </c>
      <c r="C707" s="735" t="s">
        <v>451</v>
      </c>
      <c r="D707" s="644" t="s">
        <v>4242</v>
      </c>
      <c r="E707" s="736">
        <v>8000</v>
      </c>
      <c r="F707" s="737" t="s">
        <v>4243</v>
      </c>
      <c r="G707" s="738" t="s">
        <v>4244</v>
      </c>
      <c r="H707" s="644" t="s">
        <v>2201</v>
      </c>
      <c r="I707" s="636"/>
      <c r="J707" s="644"/>
      <c r="K707" s="739"/>
      <c r="L707" s="735">
        <v>2</v>
      </c>
      <c r="M707" s="736">
        <v>16226.8</v>
      </c>
      <c r="N707" s="735"/>
      <c r="O707" s="735"/>
      <c r="P707" s="736"/>
      <c r="Q707" s="214"/>
    </row>
    <row r="708" spans="1:17" ht="12" customHeight="1" x14ac:dyDescent="0.2">
      <c r="A708" s="735" t="s">
        <v>2169</v>
      </c>
      <c r="B708" s="735" t="s">
        <v>2170</v>
      </c>
      <c r="C708" s="735" t="s">
        <v>451</v>
      </c>
      <c r="D708" s="644" t="s">
        <v>2511</v>
      </c>
      <c r="E708" s="736">
        <v>3500</v>
      </c>
      <c r="F708" s="737" t="s">
        <v>4245</v>
      </c>
      <c r="G708" s="738" t="s">
        <v>4246</v>
      </c>
      <c r="H708" s="644" t="s">
        <v>4247</v>
      </c>
      <c r="I708" s="636" t="s">
        <v>2385</v>
      </c>
      <c r="J708" s="644" t="s">
        <v>2385</v>
      </c>
      <c r="K708" s="739"/>
      <c r="L708" s="735">
        <v>12</v>
      </c>
      <c r="M708" s="736">
        <v>43960.80000000001</v>
      </c>
      <c r="N708" s="735"/>
      <c r="O708" s="735">
        <v>6</v>
      </c>
      <c r="P708" s="736">
        <v>22044.9</v>
      </c>
      <c r="Q708" s="214"/>
    </row>
    <row r="709" spans="1:17" ht="12" customHeight="1" x14ac:dyDescent="0.2">
      <c r="A709" s="735" t="s">
        <v>2169</v>
      </c>
      <c r="B709" s="735" t="s">
        <v>2170</v>
      </c>
      <c r="C709" s="735" t="s">
        <v>451</v>
      </c>
      <c r="D709" s="644" t="s">
        <v>4248</v>
      </c>
      <c r="E709" s="736">
        <v>5500</v>
      </c>
      <c r="F709" s="737" t="s">
        <v>4249</v>
      </c>
      <c r="G709" s="738" t="s">
        <v>4250</v>
      </c>
      <c r="H709" s="644" t="s">
        <v>2201</v>
      </c>
      <c r="I709" s="636"/>
      <c r="J709" s="644"/>
      <c r="K709" s="739"/>
      <c r="L709" s="735">
        <v>6</v>
      </c>
      <c r="M709" s="736">
        <v>33863.729999999996</v>
      </c>
      <c r="N709" s="735"/>
      <c r="O709" s="735"/>
      <c r="P709" s="736"/>
      <c r="Q709" s="214"/>
    </row>
    <row r="710" spans="1:17" ht="12" customHeight="1" x14ac:dyDescent="0.2">
      <c r="A710" s="735" t="s">
        <v>2169</v>
      </c>
      <c r="B710" s="735" t="s">
        <v>2170</v>
      </c>
      <c r="C710" s="735" t="s">
        <v>451</v>
      </c>
      <c r="D710" s="644" t="s">
        <v>3284</v>
      </c>
      <c r="E710" s="736">
        <v>3000</v>
      </c>
      <c r="F710" s="737" t="s">
        <v>4251</v>
      </c>
      <c r="G710" s="738" t="s">
        <v>4252</v>
      </c>
      <c r="H710" s="644" t="s">
        <v>2184</v>
      </c>
      <c r="I710" s="636" t="s">
        <v>2254</v>
      </c>
      <c r="J710" s="644" t="s">
        <v>2254</v>
      </c>
      <c r="K710" s="739"/>
      <c r="L710" s="735">
        <v>12</v>
      </c>
      <c r="M710" s="736">
        <v>37960.80000000001</v>
      </c>
      <c r="N710" s="735"/>
      <c r="O710" s="735">
        <v>6</v>
      </c>
      <c r="P710" s="736">
        <v>19044.900000000001</v>
      </c>
      <c r="Q710" s="214"/>
    </row>
    <row r="711" spans="1:17" ht="12" customHeight="1" x14ac:dyDescent="0.2">
      <c r="A711" s="735" t="s">
        <v>2169</v>
      </c>
      <c r="B711" s="735" t="s">
        <v>2170</v>
      </c>
      <c r="C711" s="735" t="s">
        <v>451</v>
      </c>
      <c r="D711" s="644" t="s">
        <v>2630</v>
      </c>
      <c r="E711" s="736">
        <v>8000</v>
      </c>
      <c r="F711" s="737" t="s">
        <v>4253</v>
      </c>
      <c r="G711" s="738" t="s">
        <v>4254</v>
      </c>
      <c r="H711" s="644" t="s">
        <v>2420</v>
      </c>
      <c r="I711" s="636" t="s">
        <v>2175</v>
      </c>
      <c r="J711" s="644"/>
      <c r="K711" s="739"/>
      <c r="L711" s="735">
        <v>6</v>
      </c>
      <c r="M711" s="736">
        <v>50580.4</v>
      </c>
      <c r="N711" s="735"/>
      <c r="O711" s="735">
        <v>6</v>
      </c>
      <c r="P711" s="736">
        <v>48766.16</v>
      </c>
      <c r="Q711" s="214"/>
    </row>
    <row r="712" spans="1:17" ht="12" customHeight="1" x14ac:dyDescent="0.2">
      <c r="A712" s="735" t="s">
        <v>2169</v>
      </c>
      <c r="B712" s="735" t="s">
        <v>2170</v>
      </c>
      <c r="C712" s="735" t="s">
        <v>451</v>
      </c>
      <c r="D712" s="644" t="s">
        <v>3380</v>
      </c>
      <c r="E712" s="736">
        <v>9200</v>
      </c>
      <c r="F712" s="737" t="s">
        <v>4255</v>
      </c>
      <c r="G712" s="738" t="s">
        <v>4256</v>
      </c>
      <c r="H712" s="644" t="s">
        <v>2317</v>
      </c>
      <c r="I712" s="636" t="s">
        <v>2250</v>
      </c>
      <c r="J712" s="644" t="s">
        <v>2250</v>
      </c>
      <c r="K712" s="739"/>
      <c r="L712" s="735">
        <v>12</v>
      </c>
      <c r="M712" s="736">
        <v>112523.18999999997</v>
      </c>
      <c r="N712" s="735"/>
      <c r="O712" s="735">
        <v>6</v>
      </c>
      <c r="P712" s="736">
        <v>56199.960000000006</v>
      </c>
      <c r="Q712" s="214"/>
    </row>
    <row r="713" spans="1:17" ht="12" customHeight="1" x14ac:dyDescent="0.2">
      <c r="A713" s="735" t="s">
        <v>2169</v>
      </c>
      <c r="B713" s="735" t="s">
        <v>2170</v>
      </c>
      <c r="C713" s="735" t="s">
        <v>451</v>
      </c>
      <c r="D713" s="644" t="s">
        <v>4257</v>
      </c>
      <c r="E713" s="736">
        <v>8000</v>
      </c>
      <c r="F713" s="737" t="s">
        <v>4258</v>
      </c>
      <c r="G713" s="738" t="s">
        <v>4259</v>
      </c>
      <c r="H713" s="644" t="s">
        <v>2208</v>
      </c>
      <c r="I713" s="636" t="s">
        <v>2228</v>
      </c>
      <c r="J713" s="644" t="s">
        <v>2208</v>
      </c>
      <c r="K713" s="739"/>
      <c r="L713" s="735">
        <v>12</v>
      </c>
      <c r="M713" s="736">
        <v>97960.799999999988</v>
      </c>
      <c r="N713" s="735"/>
      <c r="O713" s="735">
        <v>6</v>
      </c>
      <c r="P713" s="736">
        <v>48723.64</v>
      </c>
      <c r="Q713" s="214"/>
    </row>
    <row r="714" spans="1:17" ht="12" customHeight="1" x14ac:dyDescent="0.2">
      <c r="A714" s="735" t="s">
        <v>2169</v>
      </c>
      <c r="B714" s="735" t="s">
        <v>2170</v>
      </c>
      <c r="C714" s="735" t="s">
        <v>451</v>
      </c>
      <c r="D714" s="644" t="s">
        <v>4260</v>
      </c>
      <c r="E714" s="736">
        <v>4000</v>
      </c>
      <c r="F714" s="737" t="s">
        <v>4261</v>
      </c>
      <c r="G714" s="738" t="s">
        <v>4262</v>
      </c>
      <c r="H714" s="644" t="s">
        <v>2346</v>
      </c>
      <c r="I714" s="636" t="s">
        <v>2241</v>
      </c>
      <c r="J714" s="644" t="s">
        <v>2241</v>
      </c>
      <c r="K714" s="739"/>
      <c r="L714" s="735">
        <v>12</v>
      </c>
      <c r="M714" s="736">
        <v>49960.070000000007</v>
      </c>
      <c r="N714" s="735"/>
      <c r="O714" s="735">
        <v>6</v>
      </c>
      <c r="P714" s="736">
        <v>25037.14</v>
      </c>
      <c r="Q714" s="214"/>
    </row>
    <row r="715" spans="1:17" ht="12" customHeight="1" x14ac:dyDescent="0.2">
      <c r="A715" s="735" t="s">
        <v>2169</v>
      </c>
      <c r="B715" s="735" t="s">
        <v>2170</v>
      </c>
      <c r="C715" s="735" t="s">
        <v>451</v>
      </c>
      <c r="D715" s="644" t="s">
        <v>4263</v>
      </c>
      <c r="E715" s="736">
        <v>9000</v>
      </c>
      <c r="F715" s="737" t="s">
        <v>4264</v>
      </c>
      <c r="G715" s="738" t="s">
        <v>4265</v>
      </c>
      <c r="H715" s="644" t="s">
        <v>2201</v>
      </c>
      <c r="I715" s="636"/>
      <c r="J715" s="644"/>
      <c r="K715" s="739"/>
      <c r="L715" s="735">
        <v>12</v>
      </c>
      <c r="M715" s="736">
        <v>110860.79999999997</v>
      </c>
      <c r="N715" s="735"/>
      <c r="O715" s="735">
        <v>2</v>
      </c>
      <c r="P715" s="736">
        <v>20473.3</v>
      </c>
      <c r="Q715" s="214"/>
    </row>
    <row r="716" spans="1:17" ht="12" customHeight="1" x14ac:dyDescent="0.2">
      <c r="A716" s="735" t="s">
        <v>2169</v>
      </c>
      <c r="B716" s="735" t="s">
        <v>2170</v>
      </c>
      <c r="C716" s="735" t="s">
        <v>451</v>
      </c>
      <c r="D716" s="644" t="s">
        <v>4266</v>
      </c>
      <c r="E716" s="736">
        <v>3000</v>
      </c>
      <c r="F716" s="737" t="s">
        <v>4267</v>
      </c>
      <c r="G716" s="738" t="s">
        <v>4268</v>
      </c>
      <c r="H716" s="644" t="s">
        <v>2536</v>
      </c>
      <c r="I716" s="636" t="s">
        <v>3025</v>
      </c>
      <c r="J716" s="644" t="s">
        <v>2536</v>
      </c>
      <c r="K716" s="739"/>
      <c r="L716" s="735">
        <v>12</v>
      </c>
      <c r="M716" s="736">
        <v>37960.80000000001</v>
      </c>
      <c r="N716" s="735"/>
      <c r="O716" s="735">
        <v>6</v>
      </c>
      <c r="P716" s="736">
        <v>19040.37</v>
      </c>
      <c r="Q716" s="214"/>
    </row>
    <row r="717" spans="1:17" ht="12" customHeight="1" x14ac:dyDescent="0.2">
      <c r="A717" s="735" t="s">
        <v>2169</v>
      </c>
      <c r="B717" s="735" t="s">
        <v>2170</v>
      </c>
      <c r="C717" s="735" t="s">
        <v>451</v>
      </c>
      <c r="D717" s="644" t="s">
        <v>4269</v>
      </c>
      <c r="E717" s="736">
        <v>4200</v>
      </c>
      <c r="F717" s="737" t="s">
        <v>4270</v>
      </c>
      <c r="G717" s="738" t="s">
        <v>4271</v>
      </c>
      <c r="H717" s="644" t="s">
        <v>2863</v>
      </c>
      <c r="I717" s="636" t="s">
        <v>4272</v>
      </c>
      <c r="J717" s="644" t="s">
        <v>4272</v>
      </c>
      <c r="K717" s="739"/>
      <c r="L717" s="735">
        <v>12</v>
      </c>
      <c r="M717" s="736">
        <v>52247.400000000009</v>
      </c>
      <c r="N717" s="735"/>
      <c r="O717" s="735">
        <v>6</v>
      </c>
      <c r="P717" s="736">
        <v>26207.79</v>
      </c>
      <c r="Q717" s="214"/>
    </row>
    <row r="718" spans="1:17" ht="12" customHeight="1" x14ac:dyDescent="0.2">
      <c r="A718" s="735" t="s">
        <v>2169</v>
      </c>
      <c r="B718" s="735" t="s">
        <v>2170</v>
      </c>
      <c r="C718" s="735" t="s">
        <v>451</v>
      </c>
      <c r="D718" s="644" t="s">
        <v>3290</v>
      </c>
      <c r="E718" s="736">
        <v>3000</v>
      </c>
      <c r="F718" s="737" t="s">
        <v>4273</v>
      </c>
      <c r="G718" s="738" t="s">
        <v>4274</v>
      </c>
      <c r="H718" s="644" t="s">
        <v>2184</v>
      </c>
      <c r="I718" s="636" t="s">
        <v>2180</v>
      </c>
      <c r="J718" s="644" t="s">
        <v>2180</v>
      </c>
      <c r="K718" s="739"/>
      <c r="L718" s="735">
        <v>12</v>
      </c>
      <c r="M718" s="736">
        <v>37847.400000000009</v>
      </c>
      <c r="N718" s="735"/>
      <c r="O718" s="735">
        <v>6</v>
      </c>
      <c r="P718" s="736">
        <v>18408.010000000002</v>
      </c>
      <c r="Q718" s="214"/>
    </row>
    <row r="719" spans="1:17" ht="12" customHeight="1" x14ac:dyDescent="0.2">
      <c r="A719" s="735" t="s">
        <v>2169</v>
      </c>
      <c r="B719" s="735" t="s">
        <v>2170</v>
      </c>
      <c r="C719" s="735" t="s">
        <v>451</v>
      </c>
      <c r="D719" s="644" t="s">
        <v>2630</v>
      </c>
      <c r="E719" s="736">
        <v>8000</v>
      </c>
      <c r="F719" s="737" t="s">
        <v>4275</v>
      </c>
      <c r="G719" s="738" t="s">
        <v>4276</v>
      </c>
      <c r="H719" s="644" t="s">
        <v>2245</v>
      </c>
      <c r="I719" s="636" t="s">
        <v>2250</v>
      </c>
      <c r="J719" s="644" t="s">
        <v>2250</v>
      </c>
      <c r="K719" s="739"/>
      <c r="L719" s="735">
        <v>3</v>
      </c>
      <c r="M719" s="736">
        <v>24333.67</v>
      </c>
      <c r="N719" s="735"/>
      <c r="O719" s="735"/>
      <c r="P719" s="736"/>
      <c r="Q719" s="214"/>
    </row>
    <row r="720" spans="1:17" ht="12" customHeight="1" x14ac:dyDescent="0.2">
      <c r="A720" s="735" t="s">
        <v>2169</v>
      </c>
      <c r="B720" s="735" t="s">
        <v>2170</v>
      </c>
      <c r="C720" s="735" t="s">
        <v>451</v>
      </c>
      <c r="D720" s="644" t="s">
        <v>4277</v>
      </c>
      <c r="E720" s="736">
        <v>7000</v>
      </c>
      <c r="F720" s="737" t="s">
        <v>4278</v>
      </c>
      <c r="G720" s="738" t="s">
        <v>4279</v>
      </c>
      <c r="H720" s="644" t="s">
        <v>2189</v>
      </c>
      <c r="I720" s="636" t="s">
        <v>2180</v>
      </c>
      <c r="J720" s="644" t="s">
        <v>2180</v>
      </c>
      <c r="K720" s="739"/>
      <c r="L720" s="735">
        <v>12</v>
      </c>
      <c r="M720" s="736">
        <v>81294.12999999999</v>
      </c>
      <c r="N720" s="735"/>
      <c r="O720" s="735"/>
      <c r="P720" s="736"/>
      <c r="Q720" s="214"/>
    </row>
    <row r="721" spans="1:17" ht="12" customHeight="1" x14ac:dyDescent="0.2">
      <c r="A721" s="735" t="s">
        <v>2169</v>
      </c>
      <c r="B721" s="735" t="s">
        <v>2170</v>
      </c>
      <c r="C721" s="735" t="s">
        <v>451</v>
      </c>
      <c r="D721" s="644" t="s">
        <v>2261</v>
      </c>
      <c r="E721" s="736">
        <v>4500</v>
      </c>
      <c r="F721" s="737" t="s">
        <v>4280</v>
      </c>
      <c r="G721" s="738" t="s">
        <v>4281</v>
      </c>
      <c r="H721" s="644">
        <v>0</v>
      </c>
      <c r="I721" s="636">
        <v>0</v>
      </c>
      <c r="J721" s="644">
        <v>0</v>
      </c>
      <c r="K721" s="739"/>
      <c r="L721" s="735">
        <v>3</v>
      </c>
      <c r="M721" s="736">
        <v>13833.67</v>
      </c>
      <c r="N721" s="735"/>
      <c r="O721" s="735"/>
      <c r="P721" s="736"/>
      <c r="Q721" s="214"/>
    </row>
    <row r="722" spans="1:17" ht="12" customHeight="1" x14ac:dyDescent="0.2">
      <c r="A722" s="735" t="s">
        <v>2169</v>
      </c>
      <c r="B722" s="735" t="s">
        <v>2170</v>
      </c>
      <c r="C722" s="735" t="s">
        <v>451</v>
      </c>
      <c r="D722" s="644" t="s">
        <v>4282</v>
      </c>
      <c r="E722" s="736">
        <v>9000</v>
      </c>
      <c r="F722" s="737" t="s">
        <v>4283</v>
      </c>
      <c r="G722" s="738" t="s">
        <v>4284</v>
      </c>
      <c r="H722" s="644" t="s">
        <v>2208</v>
      </c>
      <c r="I722" s="636" t="s">
        <v>2250</v>
      </c>
      <c r="J722" s="644" t="s">
        <v>2250</v>
      </c>
      <c r="K722" s="739"/>
      <c r="L722" s="735">
        <v>7</v>
      </c>
      <c r="M722" s="736">
        <v>63774.210000000006</v>
      </c>
      <c r="N722" s="735"/>
      <c r="O722" s="735"/>
      <c r="P722" s="736"/>
      <c r="Q722" s="214"/>
    </row>
    <row r="723" spans="1:17" ht="12" customHeight="1" x14ac:dyDescent="0.2">
      <c r="A723" s="735" t="s">
        <v>2169</v>
      </c>
      <c r="B723" s="735" t="s">
        <v>2170</v>
      </c>
      <c r="C723" s="735" t="s">
        <v>451</v>
      </c>
      <c r="D723" s="644" t="s">
        <v>4285</v>
      </c>
      <c r="E723" s="736">
        <v>4500</v>
      </c>
      <c r="F723" s="737" t="s">
        <v>4286</v>
      </c>
      <c r="G723" s="738" t="s">
        <v>4287</v>
      </c>
      <c r="H723" s="644" t="s">
        <v>2201</v>
      </c>
      <c r="I723" s="636"/>
      <c r="J723" s="644"/>
      <c r="K723" s="739"/>
      <c r="L723" s="735">
        <v>12</v>
      </c>
      <c r="M723" s="736">
        <v>51796.580000000009</v>
      </c>
      <c r="N723" s="735"/>
      <c r="O723" s="735">
        <v>3</v>
      </c>
      <c r="P723" s="736">
        <v>18255.78</v>
      </c>
      <c r="Q723" s="214"/>
    </row>
    <row r="724" spans="1:17" ht="12" customHeight="1" x14ac:dyDescent="0.2">
      <c r="A724" s="735" t="s">
        <v>2169</v>
      </c>
      <c r="B724" s="735" t="s">
        <v>2170</v>
      </c>
      <c r="C724" s="735" t="s">
        <v>451</v>
      </c>
      <c r="D724" s="644" t="s">
        <v>2737</v>
      </c>
      <c r="E724" s="736">
        <v>3000</v>
      </c>
      <c r="F724" s="737" t="s">
        <v>4288</v>
      </c>
      <c r="G724" s="738" t="s">
        <v>4289</v>
      </c>
      <c r="H724" s="644" t="s">
        <v>2184</v>
      </c>
      <c r="I724" s="636" t="s">
        <v>2254</v>
      </c>
      <c r="J724" s="644" t="s">
        <v>2254</v>
      </c>
      <c r="K724" s="739"/>
      <c r="L724" s="735">
        <v>12</v>
      </c>
      <c r="M724" s="736">
        <v>38260.80000000001</v>
      </c>
      <c r="N724" s="735"/>
      <c r="O724" s="735">
        <v>6</v>
      </c>
      <c r="P724" s="736">
        <v>19044.900000000001</v>
      </c>
      <c r="Q724" s="214"/>
    </row>
    <row r="725" spans="1:17" ht="12" customHeight="1" x14ac:dyDescent="0.2">
      <c r="A725" s="735" t="s">
        <v>2169</v>
      </c>
      <c r="B725" s="735" t="s">
        <v>2170</v>
      </c>
      <c r="C725" s="735" t="s">
        <v>451</v>
      </c>
      <c r="D725" s="644" t="s">
        <v>2446</v>
      </c>
      <c r="E725" s="736">
        <v>2500</v>
      </c>
      <c r="F725" s="737" t="s">
        <v>4290</v>
      </c>
      <c r="G725" s="738" t="s">
        <v>4291</v>
      </c>
      <c r="H725" s="644" t="s">
        <v>2253</v>
      </c>
      <c r="I725" s="636" t="s">
        <v>2254</v>
      </c>
      <c r="J725" s="644" t="s">
        <v>2254</v>
      </c>
      <c r="K725" s="739"/>
      <c r="L725" s="735">
        <v>12</v>
      </c>
      <c r="M725" s="736">
        <v>31847.400000000005</v>
      </c>
      <c r="N725" s="735"/>
      <c r="O725" s="735">
        <v>6</v>
      </c>
      <c r="P725" s="736">
        <v>16044.9</v>
      </c>
      <c r="Q725" s="214"/>
    </row>
    <row r="726" spans="1:17" ht="12" customHeight="1" x14ac:dyDescent="0.2">
      <c r="A726" s="735" t="s">
        <v>2169</v>
      </c>
      <c r="B726" s="735" t="s">
        <v>2170</v>
      </c>
      <c r="C726" s="735" t="s">
        <v>451</v>
      </c>
      <c r="D726" s="644" t="s">
        <v>4292</v>
      </c>
      <c r="E726" s="736">
        <v>5000</v>
      </c>
      <c r="F726" s="737" t="s">
        <v>4293</v>
      </c>
      <c r="G726" s="738" t="s">
        <v>4294</v>
      </c>
      <c r="H726" s="644" t="s">
        <v>2201</v>
      </c>
      <c r="I726" s="636"/>
      <c r="J726" s="644"/>
      <c r="K726" s="739"/>
      <c r="L726" s="735">
        <v>12</v>
      </c>
      <c r="M726" s="736">
        <v>62277.040000000008</v>
      </c>
      <c r="N726" s="735"/>
      <c r="O726" s="735">
        <v>6</v>
      </c>
      <c r="P726" s="736">
        <v>31044.9</v>
      </c>
      <c r="Q726" s="214"/>
    </row>
    <row r="727" spans="1:17" ht="12" customHeight="1" x14ac:dyDescent="0.2">
      <c r="A727" s="735" t="s">
        <v>2169</v>
      </c>
      <c r="B727" s="735" t="s">
        <v>2170</v>
      </c>
      <c r="C727" s="735" t="s">
        <v>451</v>
      </c>
      <c r="D727" s="644" t="s">
        <v>4295</v>
      </c>
      <c r="E727" s="736">
        <v>8000</v>
      </c>
      <c r="F727" s="737" t="s">
        <v>4296</v>
      </c>
      <c r="G727" s="738" t="s">
        <v>4297</v>
      </c>
      <c r="H727" s="644" t="s">
        <v>2275</v>
      </c>
      <c r="I727" s="636" t="s">
        <v>2250</v>
      </c>
      <c r="J727" s="644" t="s">
        <v>2250</v>
      </c>
      <c r="K727" s="739"/>
      <c r="L727" s="735">
        <v>12</v>
      </c>
      <c r="M727" s="736">
        <v>97847.4</v>
      </c>
      <c r="N727" s="735"/>
      <c r="O727" s="735">
        <v>6</v>
      </c>
      <c r="P727" s="736">
        <v>49578.23</v>
      </c>
      <c r="Q727" s="214"/>
    </row>
    <row r="728" spans="1:17" ht="12" customHeight="1" x14ac:dyDescent="0.2">
      <c r="A728" s="735" t="s">
        <v>2169</v>
      </c>
      <c r="B728" s="735" t="s">
        <v>2170</v>
      </c>
      <c r="C728" s="735" t="s">
        <v>451</v>
      </c>
      <c r="D728" s="644" t="s">
        <v>4298</v>
      </c>
      <c r="E728" s="736">
        <v>10000</v>
      </c>
      <c r="F728" s="737" t="s">
        <v>4299</v>
      </c>
      <c r="G728" s="738" t="s">
        <v>4300</v>
      </c>
      <c r="H728" s="644" t="s">
        <v>2985</v>
      </c>
      <c r="I728" s="636" t="s">
        <v>2250</v>
      </c>
      <c r="J728" s="644" t="s">
        <v>2250</v>
      </c>
      <c r="K728" s="739"/>
      <c r="L728" s="735">
        <v>12</v>
      </c>
      <c r="M728" s="736">
        <v>121906.37999999998</v>
      </c>
      <c r="N728" s="735"/>
      <c r="O728" s="735">
        <v>6</v>
      </c>
      <c r="P728" s="736">
        <v>61010.41</v>
      </c>
      <c r="Q728" s="214"/>
    </row>
    <row r="729" spans="1:17" ht="12" customHeight="1" x14ac:dyDescent="0.2">
      <c r="A729" s="735" t="s">
        <v>2169</v>
      </c>
      <c r="B729" s="735" t="s">
        <v>2170</v>
      </c>
      <c r="C729" s="735" t="s">
        <v>451</v>
      </c>
      <c r="D729" s="644" t="s">
        <v>4301</v>
      </c>
      <c r="E729" s="736">
        <v>12000</v>
      </c>
      <c r="F729" s="737" t="s">
        <v>4302</v>
      </c>
      <c r="G729" s="738" t="s">
        <v>4303</v>
      </c>
      <c r="H729" s="644" t="s">
        <v>2189</v>
      </c>
      <c r="I729" s="636" t="s">
        <v>2180</v>
      </c>
      <c r="J729" s="644" t="s">
        <v>2180</v>
      </c>
      <c r="K729" s="739"/>
      <c r="L729" s="735">
        <v>12</v>
      </c>
      <c r="M729" s="736">
        <v>145945.55999999997</v>
      </c>
      <c r="N729" s="735"/>
      <c r="O729" s="735">
        <v>6</v>
      </c>
      <c r="P729" s="736">
        <v>72997.489999999991</v>
      </c>
      <c r="Q729" s="214"/>
    </row>
    <row r="730" spans="1:17" ht="12" customHeight="1" x14ac:dyDescent="0.2">
      <c r="A730" s="735" t="s">
        <v>2169</v>
      </c>
      <c r="B730" s="735" t="s">
        <v>2232</v>
      </c>
      <c r="C730" s="735" t="s">
        <v>451</v>
      </c>
      <c r="D730" s="644" t="s">
        <v>2272</v>
      </c>
      <c r="E730" s="736">
        <v>9500</v>
      </c>
      <c r="F730" s="737" t="s">
        <v>4304</v>
      </c>
      <c r="G730" s="738" t="s">
        <v>4305</v>
      </c>
      <c r="H730" s="644" t="s">
        <v>2317</v>
      </c>
      <c r="I730" s="636" t="s">
        <v>2250</v>
      </c>
      <c r="J730" s="644" t="s">
        <v>2250</v>
      </c>
      <c r="K730" s="739"/>
      <c r="L730" s="735">
        <v>11</v>
      </c>
      <c r="M730" s="736">
        <v>106047.39999999998</v>
      </c>
      <c r="N730" s="735"/>
      <c r="O730" s="735">
        <v>5</v>
      </c>
      <c r="P730" s="736">
        <v>48370.75</v>
      </c>
      <c r="Q730" s="214"/>
    </row>
    <row r="731" spans="1:17" ht="12" customHeight="1" x14ac:dyDescent="0.2">
      <c r="A731" s="735" t="s">
        <v>2169</v>
      </c>
      <c r="B731" s="735" t="s">
        <v>2170</v>
      </c>
      <c r="C731" s="735" t="s">
        <v>451</v>
      </c>
      <c r="D731" s="644" t="s">
        <v>3724</v>
      </c>
      <c r="E731" s="736">
        <v>10000</v>
      </c>
      <c r="F731" s="737" t="s">
        <v>4306</v>
      </c>
      <c r="G731" s="738" t="s">
        <v>4307</v>
      </c>
      <c r="H731" s="644" t="s">
        <v>2236</v>
      </c>
      <c r="I731" s="636" t="s">
        <v>2175</v>
      </c>
      <c r="J731" s="644" t="s">
        <v>2236</v>
      </c>
      <c r="K731" s="739"/>
      <c r="L731" s="735">
        <v>12</v>
      </c>
      <c r="M731" s="736">
        <v>121786.62999999998</v>
      </c>
      <c r="N731" s="735"/>
      <c r="O731" s="735">
        <v>6</v>
      </c>
      <c r="P731" s="736">
        <v>60945.05</v>
      </c>
      <c r="Q731" s="214"/>
    </row>
    <row r="732" spans="1:17" ht="12" customHeight="1" x14ac:dyDescent="0.2">
      <c r="A732" s="735" t="s">
        <v>2169</v>
      </c>
      <c r="B732" s="735" t="s">
        <v>2170</v>
      </c>
      <c r="C732" s="735" t="s">
        <v>451</v>
      </c>
      <c r="D732" s="644" t="s">
        <v>4308</v>
      </c>
      <c r="E732" s="736">
        <v>15600</v>
      </c>
      <c r="F732" s="737" t="s">
        <v>4309</v>
      </c>
      <c r="G732" s="738" t="s">
        <v>4310</v>
      </c>
      <c r="H732" s="644" t="s">
        <v>2201</v>
      </c>
      <c r="I732" s="636" t="s">
        <v>2201</v>
      </c>
      <c r="J732" s="644"/>
      <c r="K732" s="739"/>
      <c r="L732" s="735">
        <v>2</v>
      </c>
      <c r="M732" s="736">
        <v>31526.799999999999</v>
      </c>
      <c r="N732" s="735"/>
      <c r="O732" s="735">
        <v>3</v>
      </c>
      <c r="P732" s="736">
        <v>27345.78</v>
      </c>
      <c r="Q732" s="214"/>
    </row>
    <row r="733" spans="1:17" ht="12" customHeight="1" x14ac:dyDescent="0.2">
      <c r="A733" s="735" t="s">
        <v>2169</v>
      </c>
      <c r="B733" s="735" t="s">
        <v>2170</v>
      </c>
      <c r="C733" s="735" t="s">
        <v>451</v>
      </c>
      <c r="D733" s="644" t="s">
        <v>4311</v>
      </c>
      <c r="E733" s="736">
        <v>4600</v>
      </c>
      <c r="F733" s="737" t="s">
        <v>4312</v>
      </c>
      <c r="G733" s="738" t="s">
        <v>4313</v>
      </c>
      <c r="H733" s="644" t="s">
        <v>4314</v>
      </c>
      <c r="I733" s="636" t="s">
        <v>2385</v>
      </c>
      <c r="J733" s="644" t="s">
        <v>2385</v>
      </c>
      <c r="K733" s="739"/>
      <c r="L733" s="735">
        <v>12</v>
      </c>
      <c r="M733" s="736">
        <v>58002.600000000013</v>
      </c>
      <c r="N733" s="735"/>
      <c r="O733" s="735">
        <v>3</v>
      </c>
      <c r="P733" s="736">
        <v>22806.89</v>
      </c>
      <c r="Q733" s="214"/>
    </row>
    <row r="734" spans="1:17" ht="12" customHeight="1" x14ac:dyDescent="0.2">
      <c r="A734" s="735" t="s">
        <v>2169</v>
      </c>
      <c r="B734" s="735" t="s">
        <v>2170</v>
      </c>
      <c r="C734" s="735" t="s">
        <v>451</v>
      </c>
      <c r="D734" s="644" t="s">
        <v>4315</v>
      </c>
      <c r="E734" s="736">
        <v>9500</v>
      </c>
      <c r="F734" s="737" t="s">
        <v>4316</v>
      </c>
      <c r="G734" s="738" t="s">
        <v>4317</v>
      </c>
      <c r="H734" s="644" t="s">
        <v>2201</v>
      </c>
      <c r="I734" s="636" t="s">
        <v>2201</v>
      </c>
      <c r="J734" s="644"/>
      <c r="K734" s="739"/>
      <c r="L734" s="735">
        <v>5</v>
      </c>
      <c r="M734" s="736">
        <v>41920.269999999997</v>
      </c>
      <c r="N734" s="735"/>
      <c r="O734" s="735">
        <v>3</v>
      </c>
      <c r="P734" s="736">
        <v>21287.090000000004</v>
      </c>
      <c r="Q734" s="214"/>
    </row>
    <row r="735" spans="1:17" ht="12" customHeight="1" x14ac:dyDescent="0.2">
      <c r="A735" s="735" t="s">
        <v>2169</v>
      </c>
      <c r="B735" s="735" t="s">
        <v>2170</v>
      </c>
      <c r="C735" s="735" t="s">
        <v>451</v>
      </c>
      <c r="D735" s="644" t="s">
        <v>4318</v>
      </c>
      <c r="E735" s="736">
        <v>9500</v>
      </c>
      <c r="F735" s="737" t="s">
        <v>4319</v>
      </c>
      <c r="G735" s="738" t="s">
        <v>4320</v>
      </c>
      <c r="H735" s="644" t="s">
        <v>2323</v>
      </c>
      <c r="I735" s="636" t="s">
        <v>2180</v>
      </c>
      <c r="J735" s="644" t="s">
        <v>2180</v>
      </c>
      <c r="K735" s="739"/>
      <c r="L735" s="735">
        <v>12</v>
      </c>
      <c r="M735" s="736">
        <v>115960.79999999997</v>
      </c>
      <c r="N735" s="735"/>
      <c r="O735" s="735">
        <v>6</v>
      </c>
      <c r="P735" s="736">
        <v>58024.43</v>
      </c>
      <c r="Q735" s="214"/>
    </row>
    <row r="736" spans="1:17" ht="12" customHeight="1" x14ac:dyDescent="0.2">
      <c r="A736" s="735" t="s">
        <v>2169</v>
      </c>
      <c r="B736" s="735" t="s">
        <v>2170</v>
      </c>
      <c r="C736" s="735" t="s">
        <v>451</v>
      </c>
      <c r="D736" s="644" t="s">
        <v>4321</v>
      </c>
      <c r="E736" s="736">
        <v>8000</v>
      </c>
      <c r="F736" s="737" t="s">
        <v>4322</v>
      </c>
      <c r="G736" s="738" t="s">
        <v>4323</v>
      </c>
      <c r="H736" s="644" t="s">
        <v>2201</v>
      </c>
      <c r="I736" s="636"/>
      <c r="J736" s="644"/>
      <c r="K736" s="739"/>
      <c r="L736" s="735">
        <v>12</v>
      </c>
      <c r="M736" s="736">
        <v>98841.599999999977</v>
      </c>
      <c r="N736" s="735"/>
      <c r="O736" s="735">
        <v>6</v>
      </c>
      <c r="P736" s="736">
        <v>49044.33</v>
      </c>
      <c r="Q736" s="214"/>
    </row>
    <row r="737" spans="1:17" ht="12" customHeight="1" x14ac:dyDescent="0.2">
      <c r="A737" s="735" t="s">
        <v>2169</v>
      </c>
      <c r="B737" s="735" t="s">
        <v>2170</v>
      </c>
      <c r="C737" s="735" t="s">
        <v>451</v>
      </c>
      <c r="D737" s="644" t="s">
        <v>2202</v>
      </c>
      <c r="E737" s="736">
        <v>2700</v>
      </c>
      <c r="F737" s="737" t="s">
        <v>4324</v>
      </c>
      <c r="G737" s="738" t="s">
        <v>4325</v>
      </c>
      <c r="H737" s="644" t="s">
        <v>2184</v>
      </c>
      <c r="I737" s="636" t="s">
        <v>2180</v>
      </c>
      <c r="J737" s="644" t="s">
        <v>2180</v>
      </c>
      <c r="K737" s="739"/>
      <c r="L737" s="735">
        <v>12</v>
      </c>
      <c r="M737" s="736">
        <v>34630.80000000001</v>
      </c>
      <c r="N737" s="735"/>
      <c r="O737" s="735">
        <v>6</v>
      </c>
      <c r="P737" s="736">
        <v>17241.41</v>
      </c>
      <c r="Q737" s="214"/>
    </row>
    <row r="738" spans="1:17" ht="12" customHeight="1" x14ac:dyDescent="0.2">
      <c r="A738" s="735" t="s">
        <v>2169</v>
      </c>
      <c r="B738" s="735" t="s">
        <v>2170</v>
      </c>
      <c r="C738" s="735" t="s">
        <v>451</v>
      </c>
      <c r="D738" s="644" t="s">
        <v>4326</v>
      </c>
      <c r="E738" s="736">
        <v>8000</v>
      </c>
      <c r="F738" s="737" t="s">
        <v>4327</v>
      </c>
      <c r="G738" s="738" t="s">
        <v>4328</v>
      </c>
      <c r="H738" s="644" t="s">
        <v>2189</v>
      </c>
      <c r="I738" s="636" t="s">
        <v>2180</v>
      </c>
      <c r="J738" s="644" t="s">
        <v>2180</v>
      </c>
      <c r="K738" s="739"/>
      <c r="L738" s="735">
        <v>12</v>
      </c>
      <c r="M738" s="736">
        <v>98454.879999999976</v>
      </c>
      <c r="N738" s="735"/>
      <c r="O738" s="735">
        <v>6</v>
      </c>
      <c r="P738" s="736">
        <v>49044.9</v>
      </c>
      <c r="Q738" s="214"/>
    </row>
    <row r="739" spans="1:17" ht="12" customHeight="1" x14ac:dyDescent="0.2">
      <c r="A739" s="735" t="s">
        <v>2169</v>
      </c>
      <c r="B739" s="735" t="s">
        <v>2170</v>
      </c>
      <c r="C739" s="735" t="s">
        <v>451</v>
      </c>
      <c r="D739" s="644" t="s">
        <v>4329</v>
      </c>
      <c r="E739" s="736">
        <v>4000</v>
      </c>
      <c r="F739" s="737" t="s">
        <v>4330</v>
      </c>
      <c r="G739" s="738" t="s">
        <v>4331</v>
      </c>
      <c r="H739" s="644" t="s">
        <v>2201</v>
      </c>
      <c r="I739" s="636"/>
      <c r="J739" s="644"/>
      <c r="K739" s="739"/>
      <c r="L739" s="735">
        <v>12</v>
      </c>
      <c r="M739" s="736">
        <v>50119.810000000005</v>
      </c>
      <c r="N739" s="735"/>
      <c r="O739" s="735">
        <v>6</v>
      </c>
      <c r="P739" s="736">
        <v>24896.910000000003</v>
      </c>
      <c r="Q739" s="214"/>
    </row>
    <row r="740" spans="1:17" ht="12" customHeight="1" x14ac:dyDescent="0.2">
      <c r="A740" s="735" t="s">
        <v>2169</v>
      </c>
      <c r="B740" s="735" t="s">
        <v>2170</v>
      </c>
      <c r="C740" s="735" t="s">
        <v>451</v>
      </c>
      <c r="D740" s="644" t="s">
        <v>4332</v>
      </c>
      <c r="E740" s="736">
        <v>15600</v>
      </c>
      <c r="F740" s="737" t="s">
        <v>4333</v>
      </c>
      <c r="G740" s="738" t="s">
        <v>4334</v>
      </c>
      <c r="H740" s="644" t="s">
        <v>2179</v>
      </c>
      <c r="I740" s="636" t="s">
        <v>2175</v>
      </c>
      <c r="J740" s="644"/>
      <c r="K740" s="739"/>
      <c r="L740" s="735">
        <v>3</v>
      </c>
      <c r="M740" s="736">
        <v>42560.2</v>
      </c>
      <c r="N740" s="735"/>
      <c r="O740" s="735">
        <v>7</v>
      </c>
      <c r="P740" s="736">
        <v>99368.229999999981</v>
      </c>
      <c r="Q740" s="214"/>
    </row>
    <row r="741" spans="1:17" ht="12" customHeight="1" x14ac:dyDescent="0.2">
      <c r="A741" s="735" t="s">
        <v>2169</v>
      </c>
      <c r="B741" s="735" t="s">
        <v>2170</v>
      </c>
      <c r="C741" s="735" t="s">
        <v>451</v>
      </c>
      <c r="D741" s="644" t="s">
        <v>2261</v>
      </c>
      <c r="E741" s="736">
        <v>5000</v>
      </c>
      <c r="F741" s="737" t="s">
        <v>4335</v>
      </c>
      <c r="G741" s="738" t="s">
        <v>4336</v>
      </c>
      <c r="H741" s="644" t="s">
        <v>2184</v>
      </c>
      <c r="I741" s="636" t="s">
        <v>2385</v>
      </c>
      <c r="J741" s="644" t="s">
        <v>2385</v>
      </c>
      <c r="K741" s="739"/>
      <c r="L741" s="735">
        <v>12</v>
      </c>
      <c r="M741" s="736">
        <v>61916.350000000006</v>
      </c>
      <c r="N741" s="735"/>
      <c r="O741" s="735">
        <v>6</v>
      </c>
      <c r="P741" s="736">
        <v>31042.03</v>
      </c>
      <c r="Q741" s="214"/>
    </row>
    <row r="742" spans="1:17" ht="12" customHeight="1" x14ac:dyDescent="0.2">
      <c r="A742" s="735" t="s">
        <v>2169</v>
      </c>
      <c r="B742" s="735" t="s">
        <v>2232</v>
      </c>
      <c r="C742" s="735" t="s">
        <v>451</v>
      </c>
      <c r="D742" s="644" t="s">
        <v>4337</v>
      </c>
      <c r="E742" s="736">
        <v>8000</v>
      </c>
      <c r="F742" s="737" t="s">
        <v>4338</v>
      </c>
      <c r="G742" s="738" t="s">
        <v>4339</v>
      </c>
      <c r="H742" s="644" t="s">
        <v>2924</v>
      </c>
      <c r="I742" s="636" t="s">
        <v>2250</v>
      </c>
      <c r="J742" s="644" t="s">
        <v>2250</v>
      </c>
      <c r="K742" s="739"/>
      <c r="L742" s="735">
        <v>11</v>
      </c>
      <c r="M742" s="736">
        <v>89814.069999999992</v>
      </c>
      <c r="N742" s="735"/>
      <c r="O742" s="735">
        <v>5</v>
      </c>
      <c r="P742" s="736">
        <v>40870.75</v>
      </c>
      <c r="Q742" s="214"/>
    </row>
    <row r="743" spans="1:17" ht="12" customHeight="1" x14ac:dyDescent="0.2">
      <c r="A743" s="735" t="s">
        <v>2169</v>
      </c>
      <c r="B743" s="735" t="s">
        <v>2170</v>
      </c>
      <c r="C743" s="735" t="s">
        <v>451</v>
      </c>
      <c r="D743" s="644" t="s">
        <v>4340</v>
      </c>
      <c r="E743" s="736">
        <v>14000</v>
      </c>
      <c r="F743" s="737" t="s">
        <v>4341</v>
      </c>
      <c r="G743" s="738" t="s">
        <v>4342</v>
      </c>
      <c r="H743" s="644" t="s">
        <v>2201</v>
      </c>
      <c r="I743" s="636" t="s">
        <v>2201</v>
      </c>
      <c r="J743" s="644"/>
      <c r="K743" s="739"/>
      <c r="L743" s="735">
        <v>4</v>
      </c>
      <c r="M743" s="736">
        <v>55253.599999999999</v>
      </c>
      <c r="N743" s="735"/>
      <c r="O743" s="735">
        <v>6</v>
      </c>
      <c r="P743" s="736">
        <v>71570.75</v>
      </c>
      <c r="Q743" s="214"/>
    </row>
    <row r="744" spans="1:17" ht="12" customHeight="1" x14ac:dyDescent="0.2">
      <c r="A744" s="735" t="s">
        <v>2169</v>
      </c>
      <c r="B744" s="735" t="s">
        <v>2170</v>
      </c>
      <c r="C744" s="735" t="s">
        <v>451</v>
      </c>
      <c r="D744" s="644" t="s">
        <v>4343</v>
      </c>
      <c r="E744" s="736">
        <v>8000</v>
      </c>
      <c r="F744" s="737" t="s">
        <v>4344</v>
      </c>
      <c r="G744" s="738" t="s">
        <v>4345</v>
      </c>
      <c r="H744" s="644" t="s">
        <v>2201</v>
      </c>
      <c r="I744" s="636"/>
      <c r="J744" s="644"/>
      <c r="K744" s="739"/>
      <c r="L744" s="735">
        <v>4</v>
      </c>
      <c r="M744" s="736">
        <v>32447.800000000003</v>
      </c>
      <c r="N744" s="735"/>
      <c r="O744" s="735"/>
      <c r="P744" s="736"/>
      <c r="Q744" s="214"/>
    </row>
    <row r="745" spans="1:17" ht="12" customHeight="1" x14ac:dyDescent="0.2">
      <c r="A745" s="735" t="s">
        <v>2169</v>
      </c>
      <c r="B745" s="735" t="s">
        <v>2170</v>
      </c>
      <c r="C745" s="735" t="s">
        <v>451</v>
      </c>
      <c r="D745" s="644" t="s">
        <v>4346</v>
      </c>
      <c r="E745" s="736">
        <v>8500</v>
      </c>
      <c r="F745" s="737" t="s">
        <v>4347</v>
      </c>
      <c r="G745" s="738" t="s">
        <v>4348</v>
      </c>
      <c r="H745" s="644" t="s">
        <v>2189</v>
      </c>
      <c r="I745" s="636" t="s">
        <v>2228</v>
      </c>
      <c r="J745" s="644" t="s">
        <v>2189</v>
      </c>
      <c r="K745" s="739"/>
      <c r="L745" s="735">
        <v>12</v>
      </c>
      <c r="M745" s="736">
        <v>103847.39999999998</v>
      </c>
      <c r="N745" s="735"/>
      <c r="O745" s="735">
        <v>6</v>
      </c>
      <c r="P745" s="736">
        <v>52022.92</v>
      </c>
      <c r="Q745" s="214"/>
    </row>
    <row r="746" spans="1:17" ht="12" customHeight="1" x14ac:dyDescent="0.2">
      <c r="A746" s="735" t="s">
        <v>2169</v>
      </c>
      <c r="B746" s="735" t="s">
        <v>2170</v>
      </c>
      <c r="C746" s="735" t="s">
        <v>451</v>
      </c>
      <c r="D746" s="644" t="s">
        <v>4349</v>
      </c>
      <c r="E746" s="736">
        <v>5500</v>
      </c>
      <c r="F746" s="737" t="s">
        <v>4350</v>
      </c>
      <c r="G746" s="738" t="s">
        <v>4351</v>
      </c>
      <c r="H746" s="644" t="s">
        <v>2174</v>
      </c>
      <c r="I746" s="636" t="s">
        <v>2250</v>
      </c>
      <c r="J746" s="644" t="s">
        <v>2250</v>
      </c>
      <c r="K746" s="739"/>
      <c r="L746" s="735">
        <v>12</v>
      </c>
      <c r="M746" s="736">
        <v>67960.800000000003</v>
      </c>
      <c r="N746" s="735"/>
      <c r="O746" s="735">
        <v>6</v>
      </c>
      <c r="P746" s="736">
        <v>34038.97</v>
      </c>
      <c r="Q746" s="214"/>
    </row>
    <row r="747" spans="1:17" ht="12" customHeight="1" x14ac:dyDescent="0.2">
      <c r="A747" s="735" t="s">
        <v>2169</v>
      </c>
      <c r="B747" s="735" t="s">
        <v>2170</v>
      </c>
      <c r="C747" s="735" t="s">
        <v>451</v>
      </c>
      <c r="D747" s="644" t="s">
        <v>4352</v>
      </c>
      <c r="E747" s="736">
        <v>3500</v>
      </c>
      <c r="F747" s="737" t="s">
        <v>4353</v>
      </c>
      <c r="G747" s="738" t="s">
        <v>4354</v>
      </c>
      <c r="H747" s="644" t="s">
        <v>2253</v>
      </c>
      <c r="I747" s="636" t="s">
        <v>2385</v>
      </c>
      <c r="J747" s="644" t="s">
        <v>2385</v>
      </c>
      <c r="K747" s="739"/>
      <c r="L747" s="735">
        <v>12</v>
      </c>
      <c r="M747" s="736">
        <v>43960.80000000001</v>
      </c>
      <c r="N747" s="735"/>
      <c r="O747" s="735">
        <v>6</v>
      </c>
      <c r="P747" s="736">
        <v>22044.400000000001</v>
      </c>
      <c r="Q747" s="214"/>
    </row>
    <row r="748" spans="1:17" ht="12" customHeight="1" x14ac:dyDescent="0.2">
      <c r="A748" s="735" t="s">
        <v>2169</v>
      </c>
      <c r="B748" s="735" t="s">
        <v>2232</v>
      </c>
      <c r="C748" s="735" t="s">
        <v>451</v>
      </c>
      <c r="D748" s="644" t="s">
        <v>4355</v>
      </c>
      <c r="E748" s="736">
        <v>7000</v>
      </c>
      <c r="F748" s="737" t="s">
        <v>4356</v>
      </c>
      <c r="G748" s="738" t="s">
        <v>4357</v>
      </c>
      <c r="H748" s="644" t="s">
        <v>2268</v>
      </c>
      <c r="I748" s="636" t="s">
        <v>2175</v>
      </c>
      <c r="J748" s="644" t="s">
        <v>2268</v>
      </c>
      <c r="K748" s="739"/>
      <c r="L748" s="735">
        <v>11</v>
      </c>
      <c r="M748" s="736">
        <v>78506.77</v>
      </c>
      <c r="N748" s="735"/>
      <c r="O748" s="735">
        <v>5</v>
      </c>
      <c r="P748" s="736">
        <v>35851.64</v>
      </c>
      <c r="Q748" s="214"/>
    </row>
    <row r="749" spans="1:17" ht="12" customHeight="1" x14ac:dyDescent="0.2">
      <c r="A749" s="735" t="s">
        <v>2169</v>
      </c>
      <c r="B749" s="735" t="s">
        <v>2170</v>
      </c>
      <c r="C749" s="735" t="s">
        <v>451</v>
      </c>
      <c r="D749" s="644" t="s">
        <v>4358</v>
      </c>
      <c r="E749" s="736">
        <v>15600</v>
      </c>
      <c r="F749" s="737" t="s">
        <v>4359</v>
      </c>
      <c r="G749" s="738" t="s">
        <v>4360</v>
      </c>
      <c r="H749" s="644" t="s">
        <v>2208</v>
      </c>
      <c r="I749" s="636" t="s">
        <v>2180</v>
      </c>
      <c r="J749" s="644" t="s">
        <v>2180</v>
      </c>
      <c r="K749" s="739"/>
      <c r="L749" s="735">
        <v>3</v>
      </c>
      <c r="M749" s="736">
        <v>41420.199999999997</v>
      </c>
      <c r="N749" s="735"/>
      <c r="O749" s="735"/>
      <c r="P749" s="736"/>
      <c r="Q749" s="214"/>
    </row>
    <row r="750" spans="1:17" ht="12" customHeight="1" x14ac:dyDescent="0.2">
      <c r="A750" s="735" t="s">
        <v>2169</v>
      </c>
      <c r="B750" s="735" t="s">
        <v>2170</v>
      </c>
      <c r="C750" s="735" t="s">
        <v>451</v>
      </c>
      <c r="D750" s="644" t="s">
        <v>2446</v>
      </c>
      <c r="E750" s="736">
        <v>2500</v>
      </c>
      <c r="F750" s="737" t="s">
        <v>4361</v>
      </c>
      <c r="G750" s="738" t="s">
        <v>4362</v>
      </c>
      <c r="H750" s="644" t="s">
        <v>4363</v>
      </c>
      <c r="I750" s="636" t="s">
        <v>2254</v>
      </c>
      <c r="J750" s="644" t="s">
        <v>2254</v>
      </c>
      <c r="K750" s="739"/>
      <c r="L750" s="735">
        <v>12</v>
      </c>
      <c r="M750" s="736">
        <v>31960.800000000007</v>
      </c>
      <c r="N750" s="735"/>
      <c r="O750" s="735">
        <v>6</v>
      </c>
      <c r="P750" s="736">
        <v>16044.9</v>
      </c>
      <c r="Q750" s="214"/>
    </row>
    <row r="751" spans="1:17" ht="12" customHeight="1" x14ac:dyDescent="0.2">
      <c r="A751" s="735" t="s">
        <v>2169</v>
      </c>
      <c r="B751" s="735" t="s">
        <v>2170</v>
      </c>
      <c r="C751" s="735" t="s">
        <v>451</v>
      </c>
      <c r="D751" s="644" t="s">
        <v>4364</v>
      </c>
      <c r="E751" s="736">
        <v>8000</v>
      </c>
      <c r="F751" s="737" t="s">
        <v>4365</v>
      </c>
      <c r="G751" s="738" t="s">
        <v>4366</v>
      </c>
      <c r="H751" s="644" t="s">
        <v>2317</v>
      </c>
      <c r="I751" s="636" t="s">
        <v>2175</v>
      </c>
      <c r="J751" s="644" t="s">
        <v>2317</v>
      </c>
      <c r="K751" s="739"/>
      <c r="L751" s="735">
        <v>12</v>
      </c>
      <c r="M751" s="736">
        <v>100224.79999999999</v>
      </c>
      <c r="N751" s="735"/>
      <c r="O751" s="735">
        <v>6</v>
      </c>
      <c r="P751" s="736">
        <v>49044.9</v>
      </c>
      <c r="Q751" s="214"/>
    </row>
    <row r="752" spans="1:17" ht="12" customHeight="1" x14ac:dyDescent="0.2">
      <c r="A752" s="735" t="s">
        <v>2169</v>
      </c>
      <c r="B752" s="735" t="s">
        <v>2170</v>
      </c>
      <c r="C752" s="735" t="s">
        <v>451</v>
      </c>
      <c r="D752" s="644" t="s">
        <v>4367</v>
      </c>
      <c r="E752" s="736">
        <v>10000</v>
      </c>
      <c r="F752" s="737" t="s">
        <v>4368</v>
      </c>
      <c r="G752" s="738" t="s">
        <v>4369</v>
      </c>
      <c r="H752" s="644" t="s">
        <v>2420</v>
      </c>
      <c r="I752" s="636" t="s">
        <v>2175</v>
      </c>
      <c r="J752" s="644"/>
      <c r="K752" s="739"/>
      <c r="L752" s="735">
        <v>7</v>
      </c>
      <c r="M752" s="736">
        <v>69760.47</v>
      </c>
      <c r="N752" s="735"/>
      <c r="O752" s="735">
        <v>6</v>
      </c>
      <c r="P752" s="736">
        <v>60378.23</v>
      </c>
      <c r="Q752" s="214"/>
    </row>
    <row r="753" spans="1:17" ht="12" customHeight="1" x14ac:dyDescent="0.2">
      <c r="A753" s="735" t="s">
        <v>2169</v>
      </c>
      <c r="B753" s="735" t="s">
        <v>2170</v>
      </c>
      <c r="C753" s="735" t="s">
        <v>451</v>
      </c>
      <c r="D753" s="644" t="s">
        <v>3988</v>
      </c>
      <c r="E753" s="736">
        <v>8000</v>
      </c>
      <c r="F753" s="737" t="s">
        <v>4370</v>
      </c>
      <c r="G753" s="738" t="s">
        <v>4371</v>
      </c>
      <c r="H753" s="644" t="s">
        <v>2236</v>
      </c>
      <c r="I753" s="636" t="s">
        <v>2175</v>
      </c>
      <c r="J753" s="644" t="s">
        <v>2236</v>
      </c>
      <c r="K753" s="739"/>
      <c r="L753" s="735">
        <v>8</v>
      </c>
      <c r="M753" s="736">
        <v>65133.91</v>
      </c>
      <c r="N753" s="735"/>
      <c r="O753" s="735"/>
      <c r="P753" s="736"/>
      <c r="Q753" s="214"/>
    </row>
    <row r="754" spans="1:17" ht="12" customHeight="1" x14ac:dyDescent="0.2">
      <c r="A754" s="735" t="s">
        <v>2169</v>
      </c>
      <c r="B754" s="735" t="s">
        <v>2170</v>
      </c>
      <c r="C754" s="735" t="s">
        <v>451</v>
      </c>
      <c r="D754" s="644" t="s">
        <v>4372</v>
      </c>
      <c r="E754" s="736">
        <v>9000</v>
      </c>
      <c r="F754" s="737" t="s">
        <v>4373</v>
      </c>
      <c r="G754" s="738" t="s">
        <v>4374</v>
      </c>
      <c r="H754" s="644" t="s">
        <v>2179</v>
      </c>
      <c r="I754" s="636" t="s">
        <v>2180</v>
      </c>
      <c r="J754" s="644" t="s">
        <v>2180</v>
      </c>
      <c r="K754" s="739"/>
      <c r="L754" s="735">
        <v>1</v>
      </c>
      <c r="M754" s="736">
        <v>9080.75</v>
      </c>
      <c r="N754" s="735"/>
      <c r="O754" s="735"/>
      <c r="P754" s="736"/>
      <c r="Q754" s="214"/>
    </row>
    <row r="755" spans="1:17" ht="12" customHeight="1" x14ac:dyDescent="0.2">
      <c r="A755" s="735" t="s">
        <v>2169</v>
      </c>
      <c r="B755" s="735" t="s">
        <v>2170</v>
      </c>
      <c r="C755" s="735" t="s">
        <v>451</v>
      </c>
      <c r="D755" s="644" t="s">
        <v>4375</v>
      </c>
      <c r="E755" s="736">
        <v>15600</v>
      </c>
      <c r="F755" s="737" t="s">
        <v>4376</v>
      </c>
      <c r="G755" s="738" t="s">
        <v>4377</v>
      </c>
      <c r="H755" s="644" t="s">
        <v>2179</v>
      </c>
      <c r="I755" s="636" t="s">
        <v>2175</v>
      </c>
      <c r="J755" s="644"/>
      <c r="K755" s="739"/>
      <c r="L755" s="735">
        <v>3</v>
      </c>
      <c r="M755" s="736">
        <v>15420.199999999999</v>
      </c>
      <c r="N755" s="735"/>
      <c r="O755" s="735"/>
      <c r="P755" s="736"/>
      <c r="Q755" s="214"/>
    </row>
    <row r="756" spans="1:17" ht="12" customHeight="1" x14ac:dyDescent="0.2">
      <c r="A756" s="735" t="s">
        <v>2169</v>
      </c>
      <c r="B756" s="735" t="s">
        <v>2170</v>
      </c>
      <c r="C756" s="735" t="s">
        <v>451</v>
      </c>
      <c r="D756" s="644" t="s">
        <v>3022</v>
      </c>
      <c r="E756" s="736">
        <v>8000</v>
      </c>
      <c r="F756" s="737" t="s">
        <v>4378</v>
      </c>
      <c r="G756" s="738" t="s">
        <v>4379</v>
      </c>
      <c r="H756" s="644" t="s">
        <v>2678</v>
      </c>
      <c r="I756" s="636" t="s">
        <v>2403</v>
      </c>
      <c r="J756" s="644" t="s">
        <v>2403</v>
      </c>
      <c r="K756" s="739"/>
      <c r="L756" s="735">
        <v>12</v>
      </c>
      <c r="M756" s="736">
        <v>97842.319999999992</v>
      </c>
      <c r="N756" s="735"/>
      <c r="O756" s="735">
        <v>6</v>
      </c>
      <c r="P756" s="736">
        <v>49031.1</v>
      </c>
      <c r="Q756" s="214"/>
    </row>
    <row r="757" spans="1:17" ht="12" customHeight="1" x14ac:dyDescent="0.2">
      <c r="A757" s="735" t="s">
        <v>2169</v>
      </c>
      <c r="B757" s="735" t="s">
        <v>2170</v>
      </c>
      <c r="C757" s="735" t="s">
        <v>451</v>
      </c>
      <c r="D757" s="644" t="s">
        <v>2202</v>
      </c>
      <c r="E757" s="736">
        <v>2700</v>
      </c>
      <c r="F757" s="737" t="s">
        <v>4380</v>
      </c>
      <c r="G757" s="738" t="s">
        <v>4381</v>
      </c>
      <c r="H757" s="644" t="s">
        <v>2201</v>
      </c>
      <c r="I757" s="636"/>
      <c r="J757" s="644"/>
      <c r="K757" s="739"/>
      <c r="L757" s="735">
        <v>12</v>
      </c>
      <c r="M757" s="736">
        <v>34360.80000000001</v>
      </c>
      <c r="N757" s="735"/>
      <c r="O757" s="735">
        <v>6</v>
      </c>
      <c r="P757" s="736">
        <v>17244.900000000001</v>
      </c>
      <c r="Q757" s="214"/>
    </row>
    <row r="758" spans="1:17" ht="12" customHeight="1" x14ac:dyDescent="0.2">
      <c r="A758" s="735" t="s">
        <v>2169</v>
      </c>
      <c r="B758" s="735" t="s">
        <v>2170</v>
      </c>
      <c r="C758" s="735" t="s">
        <v>451</v>
      </c>
      <c r="D758" s="644" t="s">
        <v>2737</v>
      </c>
      <c r="E758" s="736">
        <v>3500</v>
      </c>
      <c r="F758" s="737" t="s">
        <v>4382</v>
      </c>
      <c r="G758" s="738" t="s">
        <v>4383</v>
      </c>
      <c r="H758" s="644" t="s">
        <v>2253</v>
      </c>
      <c r="I758" s="636" t="s">
        <v>2254</v>
      </c>
      <c r="J758" s="644" t="s">
        <v>2254</v>
      </c>
      <c r="K758" s="739"/>
      <c r="L758" s="735">
        <v>12</v>
      </c>
      <c r="M758" s="736">
        <v>43959.850000000006</v>
      </c>
      <c r="N758" s="735"/>
      <c r="O758" s="735">
        <v>6</v>
      </c>
      <c r="P758" s="736">
        <v>22044.65</v>
      </c>
      <c r="Q758" s="214"/>
    </row>
    <row r="759" spans="1:17" ht="12" customHeight="1" x14ac:dyDescent="0.2">
      <c r="A759" s="735" t="s">
        <v>2169</v>
      </c>
      <c r="B759" s="735" t="s">
        <v>2170</v>
      </c>
      <c r="C759" s="735" t="s">
        <v>451</v>
      </c>
      <c r="D759" s="644" t="s">
        <v>4384</v>
      </c>
      <c r="E759" s="736">
        <v>10000</v>
      </c>
      <c r="F759" s="737" t="s">
        <v>4385</v>
      </c>
      <c r="G759" s="738" t="s">
        <v>4386</v>
      </c>
      <c r="H759" s="644" t="s">
        <v>2208</v>
      </c>
      <c r="I759" s="636" t="s">
        <v>2246</v>
      </c>
      <c r="J759" s="644" t="s">
        <v>2208</v>
      </c>
      <c r="K759" s="739"/>
      <c r="L759" s="735">
        <v>12</v>
      </c>
      <c r="M759" s="736">
        <v>121960.79999999997</v>
      </c>
      <c r="N759" s="735"/>
      <c r="O759" s="735">
        <v>6</v>
      </c>
      <c r="P759" s="736">
        <v>60788.430000000008</v>
      </c>
      <c r="Q759" s="214"/>
    </row>
    <row r="760" spans="1:17" ht="12" customHeight="1" x14ac:dyDescent="0.2">
      <c r="A760" s="735" t="s">
        <v>2169</v>
      </c>
      <c r="B760" s="735" t="s">
        <v>2170</v>
      </c>
      <c r="C760" s="735" t="s">
        <v>451</v>
      </c>
      <c r="D760" s="644" t="s">
        <v>2261</v>
      </c>
      <c r="E760" s="736">
        <v>5500</v>
      </c>
      <c r="F760" s="737" t="s">
        <v>4387</v>
      </c>
      <c r="G760" s="738" t="s">
        <v>4388</v>
      </c>
      <c r="H760" s="644" t="s">
        <v>4389</v>
      </c>
      <c r="I760" s="636" t="s">
        <v>2284</v>
      </c>
      <c r="J760" s="644" t="s">
        <v>2284</v>
      </c>
      <c r="K760" s="739"/>
      <c r="L760" s="735">
        <v>11</v>
      </c>
      <c r="M760" s="736">
        <v>62047.400000000009</v>
      </c>
      <c r="N760" s="735"/>
      <c r="O760" s="735"/>
      <c r="P760" s="736"/>
      <c r="Q760" s="214"/>
    </row>
    <row r="761" spans="1:17" ht="12" customHeight="1" x14ac:dyDescent="0.2">
      <c r="A761" s="735" t="s">
        <v>2169</v>
      </c>
      <c r="B761" s="735" t="s">
        <v>2170</v>
      </c>
      <c r="C761" s="735" t="s">
        <v>451</v>
      </c>
      <c r="D761" s="644" t="s">
        <v>4390</v>
      </c>
      <c r="E761" s="736">
        <v>11000</v>
      </c>
      <c r="F761" s="737" t="s">
        <v>4391</v>
      </c>
      <c r="G761" s="738" t="s">
        <v>4392</v>
      </c>
      <c r="H761" s="644" t="s">
        <v>2420</v>
      </c>
      <c r="I761" s="636" t="s">
        <v>2175</v>
      </c>
      <c r="J761" s="644"/>
      <c r="K761" s="739"/>
      <c r="L761" s="735">
        <v>9</v>
      </c>
      <c r="M761" s="736">
        <v>100620.59999999998</v>
      </c>
      <c r="N761" s="735"/>
      <c r="O761" s="735">
        <v>6</v>
      </c>
      <c r="P761" s="736">
        <v>67044.899999999994</v>
      </c>
      <c r="Q761" s="214"/>
    </row>
    <row r="762" spans="1:17" ht="12" customHeight="1" x14ac:dyDescent="0.2">
      <c r="A762" s="735" t="s">
        <v>2169</v>
      </c>
      <c r="B762" s="735" t="s">
        <v>2170</v>
      </c>
      <c r="C762" s="735" t="s">
        <v>451</v>
      </c>
      <c r="D762" s="644" t="s">
        <v>4393</v>
      </c>
      <c r="E762" s="736">
        <v>7000</v>
      </c>
      <c r="F762" s="737" t="s">
        <v>4394</v>
      </c>
      <c r="G762" s="738" t="s">
        <v>4395</v>
      </c>
      <c r="H762" s="644" t="s">
        <v>2268</v>
      </c>
      <c r="I762" s="636" t="s">
        <v>2228</v>
      </c>
      <c r="J762" s="644" t="s">
        <v>2268</v>
      </c>
      <c r="K762" s="739"/>
      <c r="L762" s="735">
        <v>12</v>
      </c>
      <c r="M762" s="736">
        <v>85960.799999999988</v>
      </c>
      <c r="N762" s="735"/>
      <c r="O762" s="735">
        <v>6</v>
      </c>
      <c r="P762" s="736">
        <v>43044.9</v>
      </c>
      <c r="Q762" s="214"/>
    </row>
    <row r="763" spans="1:17" ht="12" customHeight="1" x14ac:dyDescent="0.2">
      <c r="A763" s="735" t="s">
        <v>2169</v>
      </c>
      <c r="B763" s="735" t="s">
        <v>2170</v>
      </c>
      <c r="C763" s="735" t="s">
        <v>451</v>
      </c>
      <c r="D763" s="644" t="s">
        <v>4396</v>
      </c>
      <c r="E763" s="736">
        <v>9000</v>
      </c>
      <c r="F763" s="737" t="s">
        <v>4397</v>
      </c>
      <c r="G763" s="738" t="s">
        <v>4398</v>
      </c>
      <c r="H763" s="644" t="s">
        <v>2201</v>
      </c>
      <c r="I763" s="636"/>
      <c r="J763" s="644"/>
      <c r="K763" s="739"/>
      <c r="L763" s="735">
        <v>12</v>
      </c>
      <c r="M763" s="736">
        <v>113860.60999999999</v>
      </c>
      <c r="N763" s="735"/>
      <c r="O763" s="735">
        <v>2</v>
      </c>
      <c r="P763" s="736">
        <v>14023.3</v>
      </c>
      <c r="Q763" s="214"/>
    </row>
    <row r="764" spans="1:17" ht="12" customHeight="1" x14ac:dyDescent="0.2">
      <c r="A764" s="735" t="s">
        <v>2169</v>
      </c>
      <c r="B764" s="735" t="s">
        <v>2170</v>
      </c>
      <c r="C764" s="735" t="s">
        <v>451</v>
      </c>
      <c r="D764" s="644" t="s">
        <v>4399</v>
      </c>
      <c r="E764" s="736">
        <v>6000</v>
      </c>
      <c r="F764" s="737" t="s">
        <v>4400</v>
      </c>
      <c r="G764" s="738" t="s">
        <v>4401</v>
      </c>
      <c r="H764" s="644" t="s">
        <v>4402</v>
      </c>
      <c r="I764" s="636" t="s">
        <v>2228</v>
      </c>
      <c r="J764" s="644" t="s">
        <v>4402</v>
      </c>
      <c r="K764" s="739"/>
      <c r="L764" s="735">
        <v>12</v>
      </c>
      <c r="M764" s="736">
        <v>73847.400000000009</v>
      </c>
      <c r="N764" s="735"/>
      <c r="O764" s="735">
        <v>2</v>
      </c>
      <c r="P764" s="736">
        <v>12633.939999999999</v>
      </c>
      <c r="Q764" s="214"/>
    </row>
    <row r="765" spans="1:17" ht="12" customHeight="1" x14ac:dyDescent="0.2">
      <c r="A765" s="735" t="s">
        <v>2169</v>
      </c>
      <c r="B765" s="735" t="s">
        <v>2170</v>
      </c>
      <c r="C765" s="735" t="s">
        <v>451</v>
      </c>
      <c r="D765" s="644" t="s">
        <v>2242</v>
      </c>
      <c r="E765" s="736">
        <v>8000</v>
      </c>
      <c r="F765" s="737" t="s">
        <v>4403</v>
      </c>
      <c r="G765" s="738" t="s">
        <v>4404</v>
      </c>
      <c r="H765" s="644" t="s">
        <v>2201</v>
      </c>
      <c r="I765" s="636"/>
      <c r="J765" s="644"/>
      <c r="K765" s="739"/>
      <c r="L765" s="735">
        <v>12</v>
      </c>
      <c r="M765" s="736">
        <v>97960.799999999988</v>
      </c>
      <c r="N765" s="735"/>
      <c r="O765" s="735">
        <v>6</v>
      </c>
      <c r="P765" s="736">
        <v>49044.9</v>
      </c>
      <c r="Q765" s="214"/>
    </row>
    <row r="766" spans="1:17" ht="12" customHeight="1" x14ac:dyDescent="0.2">
      <c r="A766" s="735" t="s">
        <v>2169</v>
      </c>
      <c r="B766" s="735" t="s">
        <v>2170</v>
      </c>
      <c r="C766" s="735" t="s">
        <v>451</v>
      </c>
      <c r="D766" s="644" t="s">
        <v>4405</v>
      </c>
      <c r="E766" s="736">
        <v>10000</v>
      </c>
      <c r="F766" s="737" t="s">
        <v>4406</v>
      </c>
      <c r="G766" s="738" t="s">
        <v>4407</v>
      </c>
      <c r="H766" s="644" t="s">
        <v>2189</v>
      </c>
      <c r="I766" s="636" t="s">
        <v>2180</v>
      </c>
      <c r="J766" s="644" t="s">
        <v>2180</v>
      </c>
      <c r="K766" s="739"/>
      <c r="L766" s="735">
        <v>4</v>
      </c>
      <c r="M766" s="736">
        <v>40453.599999999999</v>
      </c>
      <c r="N766" s="735"/>
      <c r="O766" s="735"/>
      <c r="P766" s="736"/>
      <c r="Q766" s="214"/>
    </row>
    <row r="767" spans="1:17" ht="12" customHeight="1" x14ac:dyDescent="0.2">
      <c r="A767" s="735" t="s">
        <v>2169</v>
      </c>
      <c r="B767" s="735" t="s">
        <v>2170</v>
      </c>
      <c r="C767" s="735" t="s">
        <v>451</v>
      </c>
      <c r="D767" s="644" t="s">
        <v>4408</v>
      </c>
      <c r="E767" s="736">
        <v>8000</v>
      </c>
      <c r="F767" s="737" t="s">
        <v>4409</v>
      </c>
      <c r="G767" s="738" t="s">
        <v>4410</v>
      </c>
      <c r="H767" s="644" t="s">
        <v>4411</v>
      </c>
      <c r="I767" s="636" t="s">
        <v>2175</v>
      </c>
      <c r="J767" s="644"/>
      <c r="K767" s="739"/>
      <c r="L767" s="735">
        <v>2</v>
      </c>
      <c r="M767" s="736">
        <v>16860.129999999997</v>
      </c>
      <c r="N767" s="735"/>
      <c r="O767" s="735">
        <v>6</v>
      </c>
      <c r="P767" s="736">
        <v>49044.9</v>
      </c>
      <c r="Q767" s="214"/>
    </row>
    <row r="768" spans="1:17" ht="12" customHeight="1" x14ac:dyDescent="0.2">
      <c r="A768" s="735" t="s">
        <v>2169</v>
      </c>
      <c r="B768" s="735" t="s">
        <v>2170</v>
      </c>
      <c r="C768" s="735" t="s">
        <v>451</v>
      </c>
      <c r="D768" s="644" t="s">
        <v>2630</v>
      </c>
      <c r="E768" s="736">
        <v>8000</v>
      </c>
      <c r="F768" s="737" t="s">
        <v>4412</v>
      </c>
      <c r="G768" s="738" t="s">
        <v>4413</v>
      </c>
      <c r="H768" s="644" t="s">
        <v>2420</v>
      </c>
      <c r="I768" s="636" t="s">
        <v>2175</v>
      </c>
      <c r="J768" s="644"/>
      <c r="K768" s="739"/>
      <c r="L768" s="735">
        <v>2</v>
      </c>
      <c r="M768" s="736">
        <v>17926.8</v>
      </c>
      <c r="N768" s="735"/>
      <c r="O768" s="735">
        <v>6</v>
      </c>
      <c r="P768" s="736">
        <v>49032.83</v>
      </c>
      <c r="Q768" s="214"/>
    </row>
    <row r="769" spans="1:17" ht="12" customHeight="1" x14ac:dyDescent="0.2">
      <c r="A769" s="735" t="s">
        <v>2169</v>
      </c>
      <c r="B769" s="735" t="s">
        <v>2170</v>
      </c>
      <c r="C769" s="735" t="s">
        <v>451</v>
      </c>
      <c r="D769" s="644" t="s">
        <v>4414</v>
      </c>
      <c r="E769" s="736">
        <v>3000</v>
      </c>
      <c r="F769" s="737" t="s">
        <v>4415</v>
      </c>
      <c r="G769" s="738" t="s">
        <v>4416</v>
      </c>
      <c r="H769" s="644" t="s">
        <v>2174</v>
      </c>
      <c r="I769" s="636" t="s">
        <v>2180</v>
      </c>
      <c r="J769" s="644" t="s">
        <v>2180</v>
      </c>
      <c r="K769" s="739"/>
      <c r="L769" s="735">
        <v>12</v>
      </c>
      <c r="M769" s="736">
        <v>37960.80000000001</v>
      </c>
      <c r="N769" s="735"/>
      <c r="O769" s="735">
        <v>6</v>
      </c>
      <c r="P769" s="736">
        <v>19041.02</v>
      </c>
      <c r="Q769" s="214"/>
    </row>
    <row r="770" spans="1:17" ht="12" customHeight="1" x14ac:dyDescent="0.2">
      <c r="A770" s="735" t="s">
        <v>2169</v>
      </c>
      <c r="B770" s="735" t="s">
        <v>2170</v>
      </c>
      <c r="C770" s="735" t="s">
        <v>451</v>
      </c>
      <c r="D770" s="644" t="s">
        <v>2202</v>
      </c>
      <c r="E770" s="736">
        <v>3000</v>
      </c>
      <c r="F770" s="737" t="s">
        <v>4417</v>
      </c>
      <c r="G770" s="738" t="s">
        <v>4418</v>
      </c>
      <c r="H770" s="644" t="s">
        <v>2253</v>
      </c>
      <c r="I770" s="636" t="s">
        <v>2254</v>
      </c>
      <c r="J770" s="644" t="s">
        <v>2254</v>
      </c>
      <c r="K770" s="739"/>
      <c r="L770" s="735">
        <v>12</v>
      </c>
      <c r="M770" s="736">
        <v>37960.80000000001</v>
      </c>
      <c r="N770" s="735"/>
      <c r="O770" s="735">
        <v>6</v>
      </c>
      <c r="P770" s="736">
        <v>19044.900000000001</v>
      </c>
      <c r="Q770" s="214"/>
    </row>
    <row r="771" spans="1:17" ht="12" customHeight="1" x14ac:dyDescent="0.2">
      <c r="A771" s="735" t="s">
        <v>2169</v>
      </c>
      <c r="B771" s="735" t="s">
        <v>2170</v>
      </c>
      <c r="C771" s="735" t="s">
        <v>451</v>
      </c>
      <c r="D771" s="644" t="s">
        <v>4419</v>
      </c>
      <c r="E771" s="736">
        <v>7500</v>
      </c>
      <c r="F771" s="737" t="s">
        <v>4420</v>
      </c>
      <c r="G771" s="738" t="s">
        <v>4421</v>
      </c>
      <c r="H771" s="644" t="s">
        <v>2201</v>
      </c>
      <c r="I771" s="636"/>
      <c r="J771" s="644"/>
      <c r="K771" s="739"/>
      <c r="L771" s="735">
        <v>12</v>
      </c>
      <c r="M771" s="736">
        <v>91960.799999999988</v>
      </c>
      <c r="N771" s="735"/>
      <c r="O771" s="735">
        <v>6</v>
      </c>
      <c r="P771" s="736">
        <v>46044.9</v>
      </c>
      <c r="Q771" s="214"/>
    </row>
    <row r="772" spans="1:17" ht="12" customHeight="1" x14ac:dyDescent="0.2">
      <c r="A772" s="735" t="s">
        <v>2169</v>
      </c>
      <c r="B772" s="735" t="s">
        <v>2170</v>
      </c>
      <c r="C772" s="735" t="s">
        <v>451</v>
      </c>
      <c r="D772" s="644" t="s">
        <v>2225</v>
      </c>
      <c r="E772" s="736">
        <v>9500</v>
      </c>
      <c r="F772" s="737" t="s">
        <v>4422</v>
      </c>
      <c r="G772" s="738" t="s">
        <v>4423</v>
      </c>
      <c r="H772" s="644" t="s">
        <v>2236</v>
      </c>
      <c r="I772" s="636" t="s">
        <v>2180</v>
      </c>
      <c r="J772" s="644" t="s">
        <v>2180</v>
      </c>
      <c r="K772" s="739"/>
      <c r="L772" s="735">
        <v>4</v>
      </c>
      <c r="M772" s="736">
        <v>32117.68</v>
      </c>
      <c r="N772" s="735"/>
      <c r="O772" s="735"/>
      <c r="P772" s="736"/>
      <c r="Q772" s="214"/>
    </row>
    <row r="773" spans="1:17" ht="12" customHeight="1" x14ac:dyDescent="0.2">
      <c r="A773" s="735" t="s">
        <v>2169</v>
      </c>
      <c r="B773" s="735" t="s">
        <v>2232</v>
      </c>
      <c r="C773" s="735" t="s">
        <v>451</v>
      </c>
      <c r="D773" s="644" t="s">
        <v>2272</v>
      </c>
      <c r="E773" s="736">
        <v>9500</v>
      </c>
      <c r="F773" s="737" t="s">
        <v>4424</v>
      </c>
      <c r="G773" s="738" t="s">
        <v>4425</v>
      </c>
      <c r="H773" s="644" t="s">
        <v>2420</v>
      </c>
      <c r="I773" s="636" t="s">
        <v>2246</v>
      </c>
      <c r="J773" s="644" t="s">
        <v>2420</v>
      </c>
      <c r="K773" s="739"/>
      <c r="L773" s="735">
        <v>11</v>
      </c>
      <c r="M773" s="736">
        <v>106893.99999999999</v>
      </c>
      <c r="N773" s="735"/>
      <c r="O773" s="735">
        <v>5</v>
      </c>
      <c r="P773" s="736">
        <v>48333.21</v>
      </c>
      <c r="Q773" s="214"/>
    </row>
    <row r="774" spans="1:17" ht="12" customHeight="1" x14ac:dyDescent="0.2">
      <c r="A774" s="735" t="s">
        <v>2169</v>
      </c>
      <c r="B774" s="735" t="s">
        <v>2170</v>
      </c>
      <c r="C774" s="735" t="s">
        <v>451</v>
      </c>
      <c r="D774" s="644" t="s">
        <v>2560</v>
      </c>
      <c r="E774" s="736">
        <v>3500</v>
      </c>
      <c r="F774" s="737" t="s">
        <v>4426</v>
      </c>
      <c r="G774" s="738" t="s">
        <v>4427</v>
      </c>
      <c r="H774" s="644" t="s">
        <v>2184</v>
      </c>
      <c r="I774" s="636" t="s">
        <v>2284</v>
      </c>
      <c r="J774" s="644" t="s">
        <v>2284</v>
      </c>
      <c r="K774" s="739"/>
      <c r="L774" s="735">
        <v>12</v>
      </c>
      <c r="M774" s="736">
        <v>43847.400000000009</v>
      </c>
      <c r="N774" s="735"/>
      <c r="O774" s="735">
        <v>6</v>
      </c>
      <c r="P774" s="736">
        <v>22044.9</v>
      </c>
      <c r="Q774" s="214"/>
    </row>
    <row r="775" spans="1:17" ht="12" customHeight="1" x14ac:dyDescent="0.2">
      <c r="A775" s="735" t="s">
        <v>2169</v>
      </c>
      <c r="B775" s="735" t="s">
        <v>2170</v>
      </c>
      <c r="C775" s="735" t="s">
        <v>451</v>
      </c>
      <c r="D775" s="644" t="s">
        <v>4428</v>
      </c>
      <c r="E775" s="736">
        <v>5500</v>
      </c>
      <c r="F775" s="737" t="s">
        <v>4429</v>
      </c>
      <c r="G775" s="738" t="s">
        <v>4430</v>
      </c>
      <c r="H775" s="644" t="s">
        <v>2836</v>
      </c>
      <c r="I775" s="636" t="s">
        <v>2393</v>
      </c>
      <c r="J775" s="644" t="s">
        <v>2393</v>
      </c>
      <c r="K775" s="739"/>
      <c r="L775" s="735">
        <v>12</v>
      </c>
      <c r="M775" s="736">
        <v>67930.87000000001</v>
      </c>
      <c r="N775" s="735"/>
      <c r="O775" s="735">
        <v>6</v>
      </c>
      <c r="P775" s="736">
        <v>33156.32</v>
      </c>
      <c r="Q775" s="214"/>
    </row>
    <row r="776" spans="1:17" ht="12" customHeight="1" x14ac:dyDescent="0.2">
      <c r="A776" s="735" t="s">
        <v>2169</v>
      </c>
      <c r="B776" s="735" t="s">
        <v>2170</v>
      </c>
      <c r="C776" s="735" t="s">
        <v>451</v>
      </c>
      <c r="D776" s="644" t="s">
        <v>4431</v>
      </c>
      <c r="E776" s="736">
        <v>10000</v>
      </c>
      <c r="F776" s="737" t="s">
        <v>4432</v>
      </c>
      <c r="G776" s="738" t="s">
        <v>4433</v>
      </c>
      <c r="H776" s="644" t="s">
        <v>2796</v>
      </c>
      <c r="I776" s="636" t="s">
        <v>2246</v>
      </c>
      <c r="J776" s="644" t="s">
        <v>2796</v>
      </c>
      <c r="K776" s="739"/>
      <c r="L776" s="735">
        <v>12</v>
      </c>
      <c r="M776" s="736">
        <v>121960.79999999997</v>
      </c>
      <c r="N776" s="735"/>
      <c r="O776" s="735">
        <v>6</v>
      </c>
      <c r="P776" s="736">
        <v>60569.33</v>
      </c>
      <c r="Q776" s="214"/>
    </row>
    <row r="777" spans="1:17" ht="12" customHeight="1" x14ac:dyDescent="0.2">
      <c r="A777" s="735" t="s">
        <v>2169</v>
      </c>
      <c r="B777" s="735" t="s">
        <v>2170</v>
      </c>
      <c r="C777" s="735" t="s">
        <v>451</v>
      </c>
      <c r="D777" s="644" t="s">
        <v>4434</v>
      </c>
      <c r="E777" s="736">
        <v>4600</v>
      </c>
      <c r="F777" s="737" t="s">
        <v>4435</v>
      </c>
      <c r="G777" s="738" t="s">
        <v>4436</v>
      </c>
      <c r="H777" s="644" t="s">
        <v>2253</v>
      </c>
      <c r="I777" s="636" t="s">
        <v>2254</v>
      </c>
      <c r="J777" s="644" t="s">
        <v>2254</v>
      </c>
      <c r="K777" s="739"/>
      <c r="L777" s="735">
        <v>2</v>
      </c>
      <c r="M777" s="736">
        <v>4287.3899999999994</v>
      </c>
      <c r="N777" s="735"/>
      <c r="O777" s="735"/>
      <c r="P777" s="736"/>
      <c r="Q777" s="214"/>
    </row>
    <row r="778" spans="1:17" ht="12" customHeight="1" x14ac:dyDescent="0.2">
      <c r="A778" s="735" t="s">
        <v>2169</v>
      </c>
      <c r="B778" s="735" t="s">
        <v>2170</v>
      </c>
      <c r="C778" s="735" t="s">
        <v>451</v>
      </c>
      <c r="D778" s="644" t="s">
        <v>4437</v>
      </c>
      <c r="E778" s="736">
        <v>7000</v>
      </c>
      <c r="F778" s="737" t="s">
        <v>4438</v>
      </c>
      <c r="G778" s="738" t="s">
        <v>4439</v>
      </c>
      <c r="H778" s="644" t="s">
        <v>2208</v>
      </c>
      <c r="I778" s="636" t="s">
        <v>2180</v>
      </c>
      <c r="J778" s="644" t="s">
        <v>2180</v>
      </c>
      <c r="K778" s="739"/>
      <c r="L778" s="735">
        <v>12</v>
      </c>
      <c r="M778" s="736">
        <v>85847.4</v>
      </c>
      <c r="N778" s="735"/>
      <c r="O778" s="735">
        <v>6</v>
      </c>
      <c r="P778" s="736">
        <v>43044.9</v>
      </c>
      <c r="Q778" s="214"/>
    </row>
    <row r="779" spans="1:17" ht="12" customHeight="1" x14ac:dyDescent="0.2">
      <c r="A779" s="735" t="s">
        <v>2169</v>
      </c>
      <c r="B779" s="735" t="s">
        <v>2232</v>
      </c>
      <c r="C779" s="735" t="s">
        <v>451</v>
      </c>
      <c r="D779" s="644" t="s">
        <v>2272</v>
      </c>
      <c r="E779" s="736">
        <v>9500</v>
      </c>
      <c r="F779" s="737" t="s">
        <v>4440</v>
      </c>
      <c r="G779" s="738" t="s">
        <v>4441</v>
      </c>
      <c r="H779" s="644" t="s">
        <v>2420</v>
      </c>
      <c r="I779" s="636" t="s">
        <v>2246</v>
      </c>
      <c r="J779" s="644" t="s">
        <v>2420</v>
      </c>
      <c r="K779" s="739"/>
      <c r="L779" s="735">
        <v>11</v>
      </c>
      <c r="M779" s="736">
        <v>106044.80999999998</v>
      </c>
      <c r="N779" s="735"/>
      <c r="O779" s="735">
        <v>5</v>
      </c>
      <c r="P779" s="736">
        <v>48355.05</v>
      </c>
      <c r="Q779" s="214"/>
    </row>
    <row r="780" spans="1:17" ht="12" customHeight="1" x14ac:dyDescent="0.2">
      <c r="A780" s="735" t="s">
        <v>2169</v>
      </c>
      <c r="B780" s="735" t="s">
        <v>2170</v>
      </c>
      <c r="C780" s="735" t="s">
        <v>451</v>
      </c>
      <c r="D780" s="644" t="s">
        <v>4285</v>
      </c>
      <c r="E780" s="736">
        <v>7500</v>
      </c>
      <c r="F780" s="737" t="s">
        <v>4442</v>
      </c>
      <c r="G780" s="738" t="s">
        <v>4443</v>
      </c>
      <c r="H780" s="644" t="s">
        <v>2863</v>
      </c>
      <c r="I780" s="636" t="s">
        <v>2393</v>
      </c>
      <c r="J780" s="644" t="s">
        <v>2393</v>
      </c>
      <c r="K780" s="739"/>
      <c r="L780" s="735">
        <v>12</v>
      </c>
      <c r="M780" s="736">
        <v>91822.909999999989</v>
      </c>
      <c r="N780" s="735"/>
      <c r="O780" s="735">
        <v>6</v>
      </c>
      <c r="P780" s="736">
        <v>45760.959999999999</v>
      </c>
      <c r="Q780" s="214"/>
    </row>
    <row r="781" spans="1:17" ht="12" customHeight="1" x14ac:dyDescent="0.2">
      <c r="A781" s="735" t="s">
        <v>2169</v>
      </c>
      <c r="B781" s="735" t="s">
        <v>2170</v>
      </c>
      <c r="C781" s="735" t="s">
        <v>451</v>
      </c>
      <c r="D781" s="644" t="s">
        <v>4285</v>
      </c>
      <c r="E781" s="736">
        <v>6000</v>
      </c>
      <c r="F781" s="737" t="s">
        <v>4444</v>
      </c>
      <c r="G781" s="738" t="s">
        <v>4445</v>
      </c>
      <c r="H781" s="644" t="s">
        <v>3542</v>
      </c>
      <c r="I781" s="636" t="s">
        <v>2175</v>
      </c>
      <c r="J781" s="644"/>
      <c r="K781" s="739"/>
      <c r="L781" s="735">
        <v>4</v>
      </c>
      <c r="M781" s="736">
        <v>25553.599999999999</v>
      </c>
      <c r="N781" s="735"/>
      <c r="O781" s="735">
        <v>6</v>
      </c>
      <c r="P781" s="736">
        <v>36941.46</v>
      </c>
      <c r="Q781" s="214"/>
    </row>
    <row r="782" spans="1:17" ht="12" customHeight="1" x14ac:dyDescent="0.2">
      <c r="A782" s="735" t="s">
        <v>2169</v>
      </c>
      <c r="B782" s="735" t="s">
        <v>2170</v>
      </c>
      <c r="C782" s="735" t="s">
        <v>451</v>
      </c>
      <c r="D782" s="644" t="s">
        <v>4446</v>
      </c>
      <c r="E782" s="736">
        <v>7000</v>
      </c>
      <c r="F782" s="737" t="s">
        <v>4447</v>
      </c>
      <c r="G782" s="738" t="s">
        <v>4448</v>
      </c>
      <c r="H782" s="644" t="s">
        <v>2174</v>
      </c>
      <c r="I782" s="636" t="s">
        <v>2180</v>
      </c>
      <c r="J782" s="644" t="s">
        <v>2180</v>
      </c>
      <c r="K782" s="739"/>
      <c r="L782" s="735">
        <v>12</v>
      </c>
      <c r="M782" s="736">
        <v>85960.799999999988</v>
      </c>
      <c r="N782" s="735"/>
      <c r="O782" s="735">
        <v>6</v>
      </c>
      <c r="P782" s="736">
        <v>43044.9</v>
      </c>
      <c r="Q782" s="214"/>
    </row>
    <row r="783" spans="1:17" ht="12" customHeight="1" x14ac:dyDescent="0.2">
      <c r="A783" s="735" t="s">
        <v>2169</v>
      </c>
      <c r="B783" s="735" t="s">
        <v>2170</v>
      </c>
      <c r="C783" s="735" t="s">
        <v>451</v>
      </c>
      <c r="D783" s="644" t="s">
        <v>4449</v>
      </c>
      <c r="E783" s="736">
        <v>8000</v>
      </c>
      <c r="F783" s="737" t="s">
        <v>4450</v>
      </c>
      <c r="G783" s="738" t="s">
        <v>4451</v>
      </c>
      <c r="H783" s="644" t="s">
        <v>3178</v>
      </c>
      <c r="I783" s="636" t="s">
        <v>2284</v>
      </c>
      <c r="J783" s="644" t="s">
        <v>2284</v>
      </c>
      <c r="K783" s="739"/>
      <c r="L783" s="735">
        <v>12</v>
      </c>
      <c r="M783" s="736">
        <v>97694.12999999999</v>
      </c>
      <c r="N783" s="735"/>
      <c r="O783" s="735">
        <v>6</v>
      </c>
      <c r="P783" s="736">
        <v>48778.23</v>
      </c>
      <c r="Q783" s="214"/>
    </row>
    <row r="784" spans="1:17" ht="12" customHeight="1" x14ac:dyDescent="0.2">
      <c r="A784" s="735" t="s">
        <v>2169</v>
      </c>
      <c r="B784" s="735" t="s">
        <v>2170</v>
      </c>
      <c r="C784" s="735" t="s">
        <v>451</v>
      </c>
      <c r="D784" s="644" t="s">
        <v>3309</v>
      </c>
      <c r="E784" s="736">
        <v>8000</v>
      </c>
      <c r="F784" s="737" t="s">
        <v>4452</v>
      </c>
      <c r="G784" s="738" t="s">
        <v>4453</v>
      </c>
      <c r="H784" s="644" t="s">
        <v>2201</v>
      </c>
      <c r="I784" s="636"/>
      <c r="J784" s="644"/>
      <c r="K784" s="739"/>
      <c r="L784" s="735">
        <v>12</v>
      </c>
      <c r="M784" s="736">
        <v>97960.799999999988</v>
      </c>
      <c r="N784" s="735"/>
      <c r="O784" s="735">
        <v>6</v>
      </c>
      <c r="P784" s="736">
        <v>49044.9</v>
      </c>
      <c r="Q784" s="214"/>
    </row>
    <row r="785" spans="1:17" ht="12" customHeight="1" x14ac:dyDescent="0.2">
      <c r="A785" s="735" t="s">
        <v>2169</v>
      </c>
      <c r="B785" s="735" t="s">
        <v>2232</v>
      </c>
      <c r="C785" s="735" t="s">
        <v>451</v>
      </c>
      <c r="D785" s="644" t="s">
        <v>4454</v>
      </c>
      <c r="E785" s="736">
        <v>8500</v>
      </c>
      <c r="F785" s="737" t="s">
        <v>4455</v>
      </c>
      <c r="G785" s="738" t="s">
        <v>4456</v>
      </c>
      <c r="H785" s="644" t="s">
        <v>3247</v>
      </c>
      <c r="I785" s="636" t="s">
        <v>2250</v>
      </c>
      <c r="J785" s="644" t="s">
        <v>2250</v>
      </c>
      <c r="K785" s="739"/>
      <c r="L785" s="735">
        <v>9</v>
      </c>
      <c r="M785" s="736">
        <v>78103.929999999993</v>
      </c>
      <c r="N785" s="735"/>
      <c r="O785" s="735">
        <v>5</v>
      </c>
      <c r="P785" s="736">
        <v>43654.080000000002</v>
      </c>
      <c r="Q785" s="214"/>
    </row>
    <row r="786" spans="1:17" ht="12" customHeight="1" x14ac:dyDescent="0.2">
      <c r="A786" s="735" t="s">
        <v>2169</v>
      </c>
      <c r="B786" s="735" t="s">
        <v>2170</v>
      </c>
      <c r="C786" s="735" t="s">
        <v>451</v>
      </c>
      <c r="D786" s="644" t="s">
        <v>2446</v>
      </c>
      <c r="E786" s="736">
        <v>2500</v>
      </c>
      <c r="F786" s="737" t="s">
        <v>4457</v>
      </c>
      <c r="G786" s="738" t="s">
        <v>4458</v>
      </c>
      <c r="H786" s="644" t="s">
        <v>2212</v>
      </c>
      <c r="I786" s="636" t="s">
        <v>2213</v>
      </c>
      <c r="J786" s="644" t="s">
        <v>2213</v>
      </c>
      <c r="K786" s="739"/>
      <c r="L786" s="735">
        <v>12</v>
      </c>
      <c r="M786" s="736">
        <v>31960.800000000007</v>
      </c>
      <c r="N786" s="735"/>
      <c r="O786" s="735">
        <v>6</v>
      </c>
      <c r="P786" s="736">
        <v>16044.9</v>
      </c>
      <c r="Q786" s="214"/>
    </row>
    <row r="787" spans="1:17" ht="12" customHeight="1" x14ac:dyDescent="0.2">
      <c r="A787" s="735" t="s">
        <v>2169</v>
      </c>
      <c r="B787" s="735" t="s">
        <v>2170</v>
      </c>
      <c r="C787" s="735" t="s">
        <v>451</v>
      </c>
      <c r="D787" s="644" t="s">
        <v>2585</v>
      </c>
      <c r="E787" s="736">
        <v>4600</v>
      </c>
      <c r="F787" s="737" t="s">
        <v>4459</v>
      </c>
      <c r="G787" s="738" t="s">
        <v>4460</v>
      </c>
      <c r="H787" s="644" t="s">
        <v>2201</v>
      </c>
      <c r="I787" s="636"/>
      <c r="J787" s="644"/>
      <c r="K787" s="739"/>
      <c r="L787" s="735">
        <v>12</v>
      </c>
      <c r="M787" s="736">
        <v>58462.600000000013</v>
      </c>
      <c r="N787" s="735"/>
      <c r="O787" s="735">
        <v>6</v>
      </c>
      <c r="P787" s="736">
        <v>28644.9</v>
      </c>
      <c r="Q787" s="214"/>
    </row>
    <row r="788" spans="1:17" ht="12" customHeight="1" x14ac:dyDescent="0.2">
      <c r="A788" s="735" t="s">
        <v>2169</v>
      </c>
      <c r="B788" s="735" t="s">
        <v>2170</v>
      </c>
      <c r="C788" s="735" t="s">
        <v>451</v>
      </c>
      <c r="D788" s="644" t="s">
        <v>4461</v>
      </c>
      <c r="E788" s="736">
        <v>3500</v>
      </c>
      <c r="F788" s="737" t="s">
        <v>4462</v>
      </c>
      <c r="G788" s="738" t="s">
        <v>4463</v>
      </c>
      <c r="H788" s="644" t="s">
        <v>4464</v>
      </c>
      <c r="I788" s="636" t="s">
        <v>2228</v>
      </c>
      <c r="J788" s="644" t="s">
        <v>4464</v>
      </c>
      <c r="K788" s="739"/>
      <c r="L788" s="735">
        <v>12</v>
      </c>
      <c r="M788" s="736">
        <v>43960.80000000001</v>
      </c>
      <c r="N788" s="735"/>
      <c r="O788" s="735">
        <v>6</v>
      </c>
      <c r="P788" s="736">
        <v>21924.210000000003</v>
      </c>
      <c r="Q788" s="214"/>
    </row>
    <row r="789" spans="1:17" ht="12" customHeight="1" x14ac:dyDescent="0.2">
      <c r="A789" s="735" t="s">
        <v>2169</v>
      </c>
      <c r="B789" s="735" t="s">
        <v>2170</v>
      </c>
      <c r="C789" s="735" t="s">
        <v>451</v>
      </c>
      <c r="D789" s="644" t="s">
        <v>3211</v>
      </c>
      <c r="E789" s="736">
        <v>9500</v>
      </c>
      <c r="F789" s="737" t="s">
        <v>4465</v>
      </c>
      <c r="G789" s="738" t="s">
        <v>4466</v>
      </c>
      <c r="H789" s="644" t="s">
        <v>2179</v>
      </c>
      <c r="I789" s="636" t="s">
        <v>2403</v>
      </c>
      <c r="J789" s="644" t="s">
        <v>2403</v>
      </c>
      <c r="K789" s="739"/>
      <c r="L789" s="735">
        <v>11</v>
      </c>
      <c r="M789" s="736">
        <v>94177.599999999991</v>
      </c>
      <c r="N789" s="735"/>
      <c r="O789" s="735"/>
      <c r="P789" s="736"/>
      <c r="Q789" s="214"/>
    </row>
    <row r="790" spans="1:17" ht="12" customHeight="1" x14ac:dyDescent="0.2">
      <c r="A790" s="735" t="s">
        <v>2169</v>
      </c>
      <c r="B790" s="735" t="s">
        <v>2170</v>
      </c>
      <c r="C790" s="735" t="s">
        <v>451</v>
      </c>
      <c r="D790" s="644" t="s">
        <v>4467</v>
      </c>
      <c r="E790" s="736">
        <v>3500</v>
      </c>
      <c r="F790" s="737" t="s">
        <v>4468</v>
      </c>
      <c r="G790" s="738" t="s">
        <v>4469</v>
      </c>
      <c r="H790" s="644" t="s">
        <v>4470</v>
      </c>
      <c r="I790" s="636" t="s">
        <v>2241</v>
      </c>
      <c r="J790" s="644" t="s">
        <v>2241</v>
      </c>
      <c r="K790" s="739"/>
      <c r="L790" s="735">
        <v>12</v>
      </c>
      <c r="M790" s="736">
        <v>43930.640000000007</v>
      </c>
      <c r="N790" s="735"/>
      <c r="O790" s="735">
        <v>6</v>
      </c>
      <c r="P790" s="736">
        <v>21982.04</v>
      </c>
      <c r="Q790" s="214"/>
    </row>
    <row r="791" spans="1:17" ht="12" customHeight="1" x14ac:dyDescent="0.2">
      <c r="A791" s="735" t="s">
        <v>2169</v>
      </c>
      <c r="B791" s="735" t="s">
        <v>2170</v>
      </c>
      <c r="C791" s="735" t="s">
        <v>451</v>
      </c>
      <c r="D791" s="644" t="s">
        <v>2202</v>
      </c>
      <c r="E791" s="736">
        <v>3000</v>
      </c>
      <c r="F791" s="737" t="s">
        <v>4471</v>
      </c>
      <c r="G791" s="738" t="s">
        <v>4472</v>
      </c>
      <c r="H791" s="644" t="s">
        <v>2253</v>
      </c>
      <c r="I791" s="636" t="s">
        <v>2254</v>
      </c>
      <c r="J791" s="644" t="s">
        <v>2254</v>
      </c>
      <c r="K791" s="739"/>
      <c r="L791" s="735">
        <v>12</v>
      </c>
      <c r="M791" s="736">
        <v>37960.80000000001</v>
      </c>
      <c r="N791" s="735"/>
      <c r="O791" s="735">
        <v>6</v>
      </c>
      <c r="P791" s="736">
        <v>19044.900000000001</v>
      </c>
      <c r="Q791" s="214"/>
    </row>
    <row r="792" spans="1:17" ht="12" customHeight="1" x14ac:dyDescent="0.2">
      <c r="A792" s="735" t="s">
        <v>2169</v>
      </c>
      <c r="B792" s="735" t="s">
        <v>2170</v>
      </c>
      <c r="C792" s="735" t="s">
        <v>451</v>
      </c>
      <c r="D792" s="644" t="s">
        <v>4473</v>
      </c>
      <c r="E792" s="736">
        <v>6000</v>
      </c>
      <c r="F792" s="737" t="s">
        <v>4474</v>
      </c>
      <c r="G792" s="738" t="s">
        <v>4475</v>
      </c>
      <c r="H792" s="644" t="s">
        <v>4476</v>
      </c>
      <c r="I792" s="636" t="s">
        <v>2228</v>
      </c>
      <c r="J792" s="644" t="s">
        <v>4476</v>
      </c>
      <c r="K792" s="739"/>
      <c r="L792" s="735">
        <v>12</v>
      </c>
      <c r="M792" s="736">
        <v>74522.7</v>
      </c>
      <c r="N792" s="735"/>
      <c r="O792" s="735">
        <v>6</v>
      </c>
      <c r="P792" s="736">
        <v>34897.82</v>
      </c>
      <c r="Q792" s="214"/>
    </row>
    <row r="793" spans="1:17" ht="12" customHeight="1" x14ac:dyDescent="0.2">
      <c r="A793" s="735" t="s">
        <v>2169</v>
      </c>
      <c r="B793" s="735" t="s">
        <v>2170</v>
      </c>
      <c r="C793" s="735" t="s">
        <v>451</v>
      </c>
      <c r="D793" s="644" t="s">
        <v>3594</v>
      </c>
      <c r="E793" s="736">
        <v>4600</v>
      </c>
      <c r="F793" s="737" t="s">
        <v>4477</v>
      </c>
      <c r="G793" s="738" t="s">
        <v>4478</v>
      </c>
      <c r="H793" s="644" t="s">
        <v>2253</v>
      </c>
      <c r="I793" s="636" t="s">
        <v>2254</v>
      </c>
      <c r="J793" s="644" t="s">
        <v>2254</v>
      </c>
      <c r="K793" s="739"/>
      <c r="L793" s="735">
        <v>12</v>
      </c>
      <c r="M793" s="736">
        <v>58462.600000000013</v>
      </c>
      <c r="N793" s="735"/>
      <c r="O793" s="735">
        <v>6</v>
      </c>
      <c r="P793" s="736">
        <v>28644.9</v>
      </c>
      <c r="Q793" s="214"/>
    </row>
    <row r="794" spans="1:17" ht="12" customHeight="1" x14ac:dyDescent="0.2">
      <c r="A794" s="735" t="s">
        <v>2169</v>
      </c>
      <c r="B794" s="735" t="s">
        <v>2170</v>
      </c>
      <c r="C794" s="735" t="s">
        <v>451</v>
      </c>
      <c r="D794" s="644" t="s">
        <v>4479</v>
      </c>
      <c r="E794" s="736">
        <v>8000</v>
      </c>
      <c r="F794" s="737" t="s">
        <v>4480</v>
      </c>
      <c r="G794" s="738" t="s">
        <v>4481</v>
      </c>
      <c r="H794" s="644" t="s">
        <v>2208</v>
      </c>
      <c r="I794" s="636" t="s">
        <v>2180</v>
      </c>
      <c r="J794" s="644" t="s">
        <v>2180</v>
      </c>
      <c r="K794" s="739"/>
      <c r="L794" s="735">
        <v>12</v>
      </c>
      <c r="M794" s="736">
        <v>97847.39999999998</v>
      </c>
      <c r="N794" s="735"/>
      <c r="O794" s="735">
        <v>6</v>
      </c>
      <c r="P794" s="736">
        <v>49044.9</v>
      </c>
      <c r="Q794" s="214"/>
    </row>
    <row r="795" spans="1:17" ht="12" customHeight="1" x14ac:dyDescent="0.2">
      <c r="A795" s="735" t="s">
        <v>2169</v>
      </c>
      <c r="B795" s="735" t="s">
        <v>2170</v>
      </c>
      <c r="C795" s="735" t="s">
        <v>451</v>
      </c>
      <c r="D795" s="644" t="s">
        <v>4482</v>
      </c>
      <c r="E795" s="736">
        <v>10000</v>
      </c>
      <c r="F795" s="737" t="s">
        <v>4483</v>
      </c>
      <c r="G795" s="738" t="s">
        <v>4484</v>
      </c>
      <c r="H795" s="644" t="s">
        <v>2201</v>
      </c>
      <c r="I795" s="636"/>
      <c r="J795" s="644"/>
      <c r="K795" s="739"/>
      <c r="L795" s="735">
        <v>12</v>
      </c>
      <c r="M795" s="736">
        <v>121847.39999999998</v>
      </c>
      <c r="N795" s="735"/>
      <c r="O795" s="735">
        <v>6</v>
      </c>
      <c r="P795" s="736">
        <v>61077.23</v>
      </c>
      <c r="Q795" s="214"/>
    </row>
    <row r="796" spans="1:17" ht="12" customHeight="1" x14ac:dyDescent="0.2">
      <c r="A796" s="735" t="s">
        <v>2169</v>
      </c>
      <c r="B796" s="735" t="s">
        <v>2170</v>
      </c>
      <c r="C796" s="735" t="s">
        <v>451</v>
      </c>
      <c r="D796" s="644" t="s">
        <v>4485</v>
      </c>
      <c r="E796" s="736">
        <v>5000</v>
      </c>
      <c r="F796" s="737" t="s">
        <v>4486</v>
      </c>
      <c r="G796" s="738" t="s">
        <v>4487</v>
      </c>
      <c r="H796" s="644" t="s">
        <v>2268</v>
      </c>
      <c r="I796" s="636" t="s">
        <v>2228</v>
      </c>
      <c r="J796" s="644"/>
      <c r="K796" s="739"/>
      <c r="L796" s="735">
        <v>1</v>
      </c>
      <c r="M796" s="736">
        <v>6113.4</v>
      </c>
      <c r="N796" s="735"/>
      <c r="O796" s="735">
        <v>6</v>
      </c>
      <c r="P796" s="736">
        <v>31020.47</v>
      </c>
      <c r="Q796" s="214"/>
    </row>
    <row r="797" spans="1:17" ht="12" customHeight="1" x14ac:dyDescent="0.2">
      <c r="A797" s="735" t="s">
        <v>2169</v>
      </c>
      <c r="B797" s="735" t="s">
        <v>2170</v>
      </c>
      <c r="C797" s="735" t="s">
        <v>451</v>
      </c>
      <c r="D797" s="644" t="s">
        <v>4488</v>
      </c>
      <c r="E797" s="736">
        <v>3500</v>
      </c>
      <c r="F797" s="737" t="s">
        <v>4489</v>
      </c>
      <c r="G797" s="738" t="s">
        <v>4490</v>
      </c>
      <c r="H797" s="644" t="s">
        <v>3162</v>
      </c>
      <c r="I797" s="636" t="s">
        <v>2241</v>
      </c>
      <c r="J797" s="644" t="s">
        <v>2241</v>
      </c>
      <c r="K797" s="739"/>
      <c r="L797" s="735">
        <v>3</v>
      </c>
      <c r="M797" s="736">
        <v>10840.2</v>
      </c>
      <c r="N797" s="735"/>
      <c r="O797" s="735"/>
      <c r="P797" s="736"/>
      <c r="Q797" s="214"/>
    </row>
    <row r="798" spans="1:17" ht="12" customHeight="1" x14ac:dyDescent="0.2">
      <c r="A798" s="735" t="s">
        <v>2169</v>
      </c>
      <c r="B798" s="735" t="s">
        <v>2232</v>
      </c>
      <c r="C798" s="735" t="s">
        <v>451</v>
      </c>
      <c r="D798" s="644" t="s">
        <v>2272</v>
      </c>
      <c r="E798" s="736">
        <v>9500</v>
      </c>
      <c r="F798" s="737" t="s">
        <v>4491</v>
      </c>
      <c r="G798" s="738" t="s">
        <v>4492</v>
      </c>
      <c r="H798" s="644">
        <v>0</v>
      </c>
      <c r="I798" s="636">
        <v>0</v>
      </c>
      <c r="J798" s="644">
        <v>0</v>
      </c>
      <c r="K798" s="739"/>
      <c r="L798" s="735">
        <v>3</v>
      </c>
      <c r="M798" s="736">
        <v>24180.07</v>
      </c>
      <c r="N798" s="735"/>
      <c r="O798" s="735"/>
      <c r="P798" s="736"/>
      <c r="Q798" s="214"/>
    </row>
    <row r="799" spans="1:17" ht="12" customHeight="1" x14ac:dyDescent="0.2">
      <c r="A799" s="735" t="s">
        <v>2169</v>
      </c>
      <c r="B799" s="735" t="s">
        <v>2170</v>
      </c>
      <c r="C799" s="735" t="s">
        <v>451</v>
      </c>
      <c r="D799" s="644" t="s">
        <v>4493</v>
      </c>
      <c r="E799" s="736">
        <v>8000</v>
      </c>
      <c r="F799" s="737" t="s">
        <v>4494</v>
      </c>
      <c r="G799" s="738" t="s">
        <v>4495</v>
      </c>
      <c r="H799" s="644" t="s">
        <v>2208</v>
      </c>
      <c r="I799" s="636" t="s">
        <v>2250</v>
      </c>
      <c r="J799" s="644" t="s">
        <v>2250</v>
      </c>
      <c r="K799" s="739"/>
      <c r="L799" s="735">
        <v>12</v>
      </c>
      <c r="M799" s="736">
        <v>98114.069999999992</v>
      </c>
      <c r="N799" s="735"/>
      <c r="O799" s="735">
        <v>6</v>
      </c>
      <c r="P799" s="736">
        <v>48778.23</v>
      </c>
      <c r="Q799" s="214"/>
    </row>
    <row r="800" spans="1:17" ht="12" customHeight="1" x14ac:dyDescent="0.2">
      <c r="A800" s="735" t="s">
        <v>2169</v>
      </c>
      <c r="B800" s="735" t="s">
        <v>2170</v>
      </c>
      <c r="C800" s="735" t="s">
        <v>451</v>
      </c>
      <c r="D800" s="644" t="s">
        <v>4496</v>
      </c>
      <c r="E800" s="736">
        <v>4600</v>
      </c>
      <c r="F800" s="737" t="s">
        <v>4497</v>
      </c>
      <c r="G800" s="738" t="s">
        <v>4498</v>
      </c>
      <c r="H800" s="644" t="s">
        <v>2253</v>
      </c>
      <c r="I800" s="636" t="s">
        <v>2254</v>
      </c>
      <c r="J800" s="644" t="s">
        <v>2254</v>
      </c>
      <c r="K800" s="739"/>
      <c r="L800" s="735">
        <v>4</v>
      </c>
      <c r="M800" s="736">
        <v>19190.32</v>
      </c>
      <c r="N800" s="735"/>
      <c r="O800" s="735"/>
      <c r="P800" s="736"/>
      <c r="Q800" s="214"/>
    </row>
    <row r="801" spans="1:17" ht="12" customHeight="1" x14ac:dyDescent="0.2">
      <c r="A801" s="735" t="s">
        <v>2169</v>
      </c>
      <c r="B801" s="735" t="s">
        <v>2170</v>
      </c>
      <c r="C801" s="735" t="s">
        <v>451</v>
      </c>
      <c r="D801" s="644" t="s">
        <v>2469</v>
      </c>
      <c r="E801" s="736">
        <v>2500</v>
      </c>
      <c r="F801" s="737" t="s">
        <v>4499</v>
      </c>
      <c r="G801" s="738" t="s">
        <v>4500</v>
      </c>
      <c r="H801" s="644" t="s">
        <v>2201</v>
      </c>
      <c r="I801" s="636"/>
      <c r="J801" s="644"/>
      <c r="K801" s="739"/>
      <c r="L801" s="735">
        <v>7</v>
      </c>
      <c r="M801" s="736">
        <v>18470.560000000001</v>
      </c>
      <c r="N801" s="735"/>
      <c r="O801" s="735"/>
      <c r="P801" s="736"/>
      <c r="Q801" s="214"/>
    </row>
    <row r="802" spans="1:17" ht="12" customHeight="1" x14ac:dyDescent="0.2">
      <c r="A802" s="735" t="s">
        <v>2169</v>
      </c>
      <c r="B802" s="735" t="s">
        <v>2170</v>
      </c>
      <c r="C802" s="735" t="s">
        <v>451</v>
      </c>
      <c r="D802" s="644" t="s">
        <v>4501</v>
      </c>
      <c r="E802" s="736">
        <v>6500</v>
      </c>
      <c r="F802" s="737" t="s">
        <v>4502</v>
      </c>
      <c r="G802" s="738" t="s">
        <v>4503</v>
      </c>
      <c r="H802" s="644">
        <v>0</v>
      </c>
      <c r="I802" s="636">
        <v>0</v>
      </c>
      <c r="J802" s="644">
        <v>0</v>
      </c>
      <c r="K802" s="739"/>
      <c r="L802" s="735">
        <v>3</v>
      </c>
      <c r="M802" s="736">
        <v>19623.53</v>
      </c>
      <c r="N802" s="735"/>
      <c r="O802" s="735"/>
      <c r="P802" s="736"/>
      <c r="Q802" s="214"/>
    </row>
    <row r="803" spans="1:17" ht="12" customHeight="1" x14ac:dyDescent="0.2">
      <c r="A803" s="735" t="s">
        <v>2169</v>
      </c>
      <c r="B803" s="735" t="s">
        <v>2170</v>
      </c>
      <c r="C803" s="735" t="s">
        <v>451</v>
      </c>
      <c r="D803" s="644" t="s">
        <v>4315</v>
      </c>
      <c r="E803" s="736">
        <v>9500</v>
      </c>
      <c r="F803" s="737" t="s">
        <v>4504</v>
      </c>
      <c r="G803" s="738" t="s">
        <v>4505</v>
      </c>
      <c r="H803" s="644" t="s">
        <v>2179</v>
      </c>
      <c r="I803" s="636" t="s">
        <v>2180</v>
      </c>
      <c r="J803" s="644" t="s">
        <v>2180</v>
      </c>
      <c r="K803" s="739"/>
      <c r="L803" s="735">
        <v>4</v>
      </c>
      <c r="M803" s="736">
        <v>38346.6</v>
      </c>
      <c r="N803" s="735"/>
      <c r="O803" s="735"/>
      <c r="P803" s="736"/>
      <c r="Q803" s="214"/>
    </row>
    <row r="804" spans="1:17" ht="12" customHeight="1" x14ac:dyDescent="0.2">
      <c r="A804" s="735" t="s">
        <v>2169</v>
      </c>
      <c r="B804" s="735" t="s">
        <v>2170</v>
      </c>
      <c r="C804" s="735" t="s">
        <v>451</v>
      </c>
      <c r="D804" s="644" t="s">
        <v>4506</v>
      </c>
      <c r="E804" s="736">
        <v>6500</v>
      </c>
      <c r="F804" s="737" t="s">
        <v>4507</v>
      </c>
      <c r="G804" s="738" t="s">
        <v>4508</v>
      </c>
      <c r="H804" s="644" t="s">
        <v>2201</v>
      </c>
      <c r="I804" s="636"/>
      <c r="J804" s="644"/>
      <c r="K804" s="739"/>
      <c r="L804" s="735">
        <v>12</v>
      </c>
      <c r="M804" s="736">
        <v>79960.799999999988</v>
      </c>
      <c r="N804" s="735"/>
      <c r="O804" s="735">
        <v>6</v>
      </c>
      <c r="P804" s="736">
        <v>39963.65</v>
      </c>
      <c r="Q804" s="214"/>
    </row>
    <row r="805" spans="1:17" ht="12" customHeight="1" x14ac:dyDescent="0.2">
      <c r="A805" s="735" t="s">
        <v>2169</v>
      </c>
      <c r="B805" s="735" t="s">
        <v>2170</v>
      </c>
      <c r="C805" s="735" t="s">
        <v>451</v>
      </c>
      <c r="D805" s="644" t="s">
        <v>3211</v>
      </c>
      <c r="E805" s="736">
        <v>7000</v>
      </c>
      <c r="F805" s="737" t="s">
        <v>4509</v>
      </c>
      <c r="G805" s="738" t="s">
        <v>4510</v>
      </c>
      <c r="H805" s="644" t="s">
        <v>2268</v>
      </c>
      <c r="I805" s="636" t="s">
        <v>2180</v>
      </c>
      <c r="J805" s="644" t="s">
        <v>2180</v>
      </c>
      <c r="K805" s="739"/>
      <c r="L805" s="735">
        <v>4</v>
      </c>
      <c r="M805" s="736">
        <v>28453.599999999999</v>
      </c>
      <c r="N805" s="735"/>
      <c r="O805" s="735"/>
      <c r="P805" s="736"/>
      <c r="Q805" s="214"/>
    </row>
    <row r="806" spans="1:17" ht="12" customHeight="1" x14ac:dyDescent="0.2">
      <c r="A806" s="735" t="s">
        <v>2169</v>
      </c>
      <c r="B806" s="735" t="s">
        <v>2170</v>
      </c>
      <c r="C806" s="735" t="s">
        <v>451</v>
      </c>
      <c r="D806" s="644" t="s">
        <v>2435</v>
      </c>
      <c r="E806" s="736">
        <v>5000</v>
      </c>
      <c r="F806" s="737" t="s">
        <v>4511</v>
      </c>
      <c r="G806" s="738" t="s">
        <v>4512</v>
      </c>
      <c r="H806" s="644" t="s">
        <v>2555</v>
      </c>
      <c r="I806" s="636" t="s">
        <v>2180</v>
      </c>
      <c r="J806" s="644" t="s">
        <v>2180</v>
      </c>
      <c r="K806" s="739"/>
      <c r="L806" s="735">
        <v>12</v>
      </c>
      <c r="M806" s="736">
        <v>61960.80000000001</v>
      </c>
      <c r="N806" s="735"/>
      <c r="O806" s="735">
        <v>6</v>
      </c>
      <c r="P806" s="736">
        <v>31083.340000000004</v>
      </c>
      <c r="Q806" s="214"/>
    </row>
    <row r="807" spans="1:17" ht="12" customHeight="1" x14ac:dyDescent="0.2">
      <c r="A807" s="735" t="s">
        <v>2169</v>
      </c>
      <c r="B807" s="735" t="s">
        <v>2170</v>
      </c>
      <c r="C807" s="735" t="s">
        <v>451</v>
      </c>
      <c r="D807" s="644" t="s">
        <v>3744</v>
      </c>
      <c r="E807" s="736">
        <v>7500</v>
      </c>
      <c r="F807" s="737" t="s">
        <v>4513</v>
      </c>
      <c r="G807" s="738" t="s">
        <v>4514</v>
      </c>
      <c r="H807" s="644" t="s">
        <v>2245</v>
      </c>
      <c r="I807" s="636" t="s">
        <v>2228</v>
      </c>
      <c r="J807" s="644" t="s">
        <v>2245</v>
      </c>
      <c r="K807" s="739"/>
      <c r="L807" s="735">
        <v>12</v>
      </c>
      <c r="M807" s="736">
        <v>89327.4</v>
      </c>
      <c r="N807" s="735"/>
      <c r="O807" s="735">
        <v>6</v>
      </c>
      <c r="P807" s="736">
        <v>45792.9</v>
      </c>
      <c r="Q807" s="214"/>
    </row>
    <row r="808" spans="1:17" ht="12" customHeight="1" x14ac:dyDescent="0.2">
      <c r="A808" s="735" t="s">
        <v>2169</v>
      </c>
      <c r="B808" s="735" t="s">
        <v>2232</v>
      </c>
      <c r="C808" s="735" t="s">
        <v>451</v>
      </c>
      <c r="D808" s="644" t="s">
        <v>2272</v>
      </c>
      <c r="E808" s="736">
        <v>9500</v>
      </c>
      <c r="F808" s="737" t="s">
        <v>4515</v>
      </c>
      <c r="G808" s="738" t="s">
        <v>4516</v>
      </c>
      <c r="H808" s="644" t="s">
        <v>2245</v>
      </c>
      <c r="I808" s="636" t="s">
        <v>2250</v>
      </c>
      <c r="J808" s="644" t="s">
        <v>2250</v>
      </c>
      <c r="K808" s="739"/>
      <c r="L808" s="735">
        <v>11</v>
      </c>
      <c r="M808" s="736">
        <v>106047.39999999998</v>
      </c>
      <c r="N808" s="735"/>
      <c r="O808" s="735">
        <v>5</v>
      </c>
      <c r="P808" s="736">
        <v>48367.340000000004</v>
      </c>
      <c r="Q808" s="214"/>
    </row>
    <row r="809" spans="1:17" ht="12" customHeight="1" x14ac:dyDescent="0.2">
      <c r="A809" s="735" t="s">
        <v>2169</v>
      </c>
      <c r="B809" s="735" t="s">
        <v>2170</v>
      </c>
      <c r="C809" s="735" t="s">
        <v>451</v>
      </c>
      <c r="D809" s="644" t="s">
        <v>3988</v>
      </c>
      <c r="E809" s="736">
        <v>10000</v>
      </c>
      <c r="F809" s="737" t="s">
        <v>4517</v>
      </c>
      <c r="G809" s="738" t="s">
        <v>4518</v>
      </c>
      <c r="H809" s="644" t="s">
        <v>2201</v>
      </c>
      <c r="I809" s="636"/>
      <c r="J809" s="644"/>
      <c r="K809" s="739"/>
      <c r="L809" s="735">
        <v>12</v>
      </c>
      <c r="M809" s="736">
        <v>122294.12999999998</v>
      </c>
      <c r="N809" s="735"/>
      <c r="O809" s="735">
        <v>6</v>
      </c>
      <c r="P809" s="736">
        <v>61034.840000000004</v>
      </c>
      <c r="Q809" s="214"/>
    </row>
    <row r="810" spans="1:17" ht="12" customHeight="1" x14ac:dyDescent="0.2">
      <c r="A810" s="735" t="s">
        <v>2169</v>
      </c>
      <c r="B810" s="735" t="s">
        <v>2170</v>
      </c>
      <c r="C810" s="735" t="s">
        <v>451</v>
      </c>
      <c r="D810" s="644" t="s">
        <v>3800</v>
      </c>
      <c r="E810" s="736">
        <v>3200</v>
      </c>
      <c r="F810" s="737" t="s">
        <v>4519</v>
      </c>
      <c r="G810" s="738" t="s">
        <v>4520</v>
      </c>
      <c r="H810" s="644" t="s">
        <v>2201</v>
      </c>
      <c r="I810" s="636"/>
      <c r="J810" s="644"/>
      <c r="K810" s="739"/>
      <c r="L810" s="735">
        <v>12</v>
      </c>
      <c r="M810" s="736">
        <v>40348.910000000003</v>
      </c>
      <c r="N810" s="735"/>
      <c r="O810" s="735">
        <v>6</v>
      </c>
      <c r="P810" s="736">
        <v>20235.010000000002</v>
      </c>
      <c r="Q810" s="214"/>
    </row>
    <row r="811" spans="1:17" ht="12" customHeight="1" x14ac:dyDescent="0.2">
      <c r="A811" s="735" t="s">
        <v>2169</v>
      </c>
      <c r="B811" s="735" t="s">
        <v>2170</v>
      </c>
      <c r="C811" s="735" t="s">
        <v>451</v>
      </c>
      <c r="D811" s="644" t="s">
        <v>2421</v>
      </c>
      <c r="E811" s="736">
        <v>4600</v>
      </c>
      <c r="F811" s="737" t="s">
        <v>4521</v>
      </c>
      <c r="G811" s="738" t="s">
        <v>4522</v>
      </c>
      <c r="H811" s="644" t="s">
        <v>2201</v>
      </c>
      <c r="I811" s="636"/>
      <c r="J811" s="644"/>
      <c r="K811" s="739"/>
      <c r="L811" s="735">
        <v>12</v>
      </c>
      <c r="M811" s="736">
        <v>58462.600000000013</v>
      </c>
      <c r="N811" s="735"/>
      <c r="O811" s="735">
        <v>3</v>
      </c>
      <c r="P811" s="736">
        <v>16724.669999999998</v>
      </c>
      <c r="Q811" s="214"/>
    </row>
    <row r="812" spans="1:17" ht="12" customHeight="1" x14ac:dyDescent="0.2">
      <c r="A812" s="735" t="s">
        <v>2169</v>
      </c>
      <c r="B812" s="735" t="s">
        <v>2170</v>
      </c>
      <c r="C812" s="735" t="s">
        <v>451</v>
      </c>
      <c r="D812" s="644" t="s">
        <v>4523</v>
      </c>
      <c r="E812" s="736">
        <v>3000</v>
      </c>
      <c r="F812" s="737" t="s">
        <v>4524</v>
      </c>
      <c r="G812" s="738" t="s">
        <v>4525</v>
      </c>
      <c r="H812" s="644" t="s">
        <v>2268</v>
      </c>
      <c r="I812" s="636" t="s">
        <v>2175</v>
      </c>
      <c r="J812" s="644"/>
      <c r="K812" s="739"/>
      <c r="L812" s="735">
        <v>1</v>
      </c>
      <c r="M812" s="736">
        <v>2613.4</v>
      </c>
      <c r="N812" s="735"/>
      <c r="O812" s="735">
        <v>6</v>
      </c>
      <c r="P812" s="736">
        <v>18939.09</v>
      </c>
      <c r="Q812" s="214"/>
    </row>
    <row r="813" spans="1:17" ht="12" customHeight="1" x14ac:dyDescent="0.2">
      <c r="A813" s="735" t="s">
        <v>2169</v>
      </c>
      <c r="B813" s="735" t="s">
        <v>2170</v>
      </c>
      <c r="C813" s="735" t="s">
        <v>451</v>
      </c>
      <c r="D813" s="644" t="s">
        <v>4526</v>
      </c>
      <c r="E813" s="736">
        <v>7000</v>
      </c>
      <c r="F813" s="737" t="s">
        <v>4527</v>
      </c>
      <c r="G813" s="738" t="s">
        <v>4528</v>
      </c>
      <c r="H813" s="644" t="s">
        <v>2806</v>
      </c>
      <c r="I813" s="636" t="s">
        <v>2250</v>
      </c>
      <c r="J813" s="644" t="s">
        <v>2250</v>
      </c>
      <c r="K813" s="739"/>
      <c r="L813" s="735">
        <v>12</v>
      </c>
      <c r="M813" s="736">
        <v>87941.799999999988</v>
      </c>
      <c r="N813" s="735"/>
      <c r="O813" s="735">
        <v>6</v>
      </c>
      <c r="P813" s="736">
        <v>43044.9</v>
      </c>
      <c r="Q813" s="214"/>
    </row>
    <row r="814" spans="1:17" ht="12" customHeight="1" x14ac:dyDescent="0.2">
      <c r="A814" s="735" t="s">
        <v>2169</v>
      </c>
      <c r="B814" s="735" t="s">
        <v>2232</v>
      </c>
      <c r="C814" s="735" t="s">
        <v>451</v>
      </c>
      <c r="D814" s="644" t="s">
        <v>4529</v>
      </c>
      <c r="E814" s="736">
        <v>9000</v>
      </c>
      <c r="F814" s="737" t="s">
        <v>4530</v>
      </c>
      <c r="G814" s="738" t="s">
        <v>4531</v>
      </c>
      <c r="H814" s="644" t="s">
        <v>2478</v>
      </c>
      <c r="I814" s="636" t="s">
        <v>2250</v>
      </c>
      <c r="J814" s="644" t="s">
        <v>2250</v>
      </c>
      <c r="K814" s="739"/>
      <c r="L814" s="735">
        <v>11</v>
      </c>
      <c r="M814" s="736">
        <v>100530.25999999998</v>
      </c>
      <c r="N814" s="735"/>
      <c r="O814" s="735">
        <v>5</v>
      </c>
      <c r="P814" s="736">
        <v>45864.93</v>
      </c>
      <c r="Q814" s="214"/>
    </row>
    <row r="815" spans="1:17" ht="12" customHeight="1" x14ac:dyDescent="0.2">
      <c r="A815" s="735" t="s">
        <v>2169</v>
      </c>
      <c r="B815" s="735" t="s">
        <v>2170</v>
      </c>
      <c r="C815" s="735" t="s">
        <v>451</v>
      </c>
      <c r="D815" s="644" t="s">
        <v>2548</v>
      </c>
      <c r="E815" s="736">
        <v>3000</v>
      </c>
      <c r="F815" s="737" t="s">
        <v>4532</v>
      </c>
      <c r="G815" s="738" t="s">
        <v>4533</v>
      </c>
      <c r="H815" s="644" t="s">
        <v>2201</v>
      </c>
      <c r="I815" s="636"/>
      <c r="J815" s="644"/>
      <c r="K815" s="739"/>
      <c r="L815" s="735">
        <v>12</v>
      </c>
      <c r="M815" s="736">
        <v>37847.400000000009</v>
      </c>
      <c r="N815" s="735"/>
      <c r="O815" s="735">
        <v>7</v>
      </c>
      <c r="P815" s="736">
        <v>37804.61</v>
      </c>
      <c r="Q815" s="214"/>
    </row>
    <row r="816" spans="1:17" ht="12" customHeight="1" x14ac:dyDescent="0.2">
      <c r="A816" s="735" t="s">
        <v>2169</v>
      </c>
      <c r="B816" s="735" t="s">
        <v>2170</v>
      </c>
      <c r="C816" s="735" t="s">
        <v>451</v>
      </c>
      <c r="D816" s="644" t="s">
        <v>2261</v>
      </c>
      <c r="E816" s="736">
        <v>3500</v>
      </c>
      <c r="F816" s="737" t="s">
        <v>4534</v>
      </c>
      <c r="G816" s="738" t="s">
        <v>4535</v>
      </c>
      <c r="H816" s="644" t="s">
        <v>2372</v>
      </c>
      <c r="I816" s="636" t="s">
        <v>2284</v>
      </c>
      <c r="J816" s="644" t="s">
        <v>2284</v>
      </c>
      <c r="K816" s="739"/>
      <c r="L816" s="735">
        <v>3</v>
      </c>
      <c r="M816" s="736">
        <v>10834.49</v>
      </c>
      <c r="N816" s="735"/>
      <c r="O816" s="735"/>
      <c r="P816" s="736"/>
      <c r="Q816" s="214"/>
    </row>
    <row r="817" spans="1:17" ht="12" customHeight="1" x14ac:dyDescent="0.2">
      <c r="A817" s="735" t="s">
        <v>2169</v>
      </c>
      <c r="B817" s="735" t="s">
        <v>2170</v>
      </c>
      <c r="C817" s="735" t="s">
        <v>451</v>
      </c>
      <c r="D817" s="644" t="s">
        <v>4536</v>
      </c>
      <c r="E817" s="736">
        <v>3000</v>
      </c>
      <c r="F817" s="737" t="s">
        <v>4537</v>
      </c>
      <c r="G817" s="738" t="s">
        <v>4538</v>
      </c>
      <c r="H817" s="644" t="s">
        <v>2201</v>
      </c>
      <c r="I817" s="636"/>
      <c r="J817" s="644"/>
      <c r="K817" s="739"/>
      <c r="L817" s="735">
        <v>12</v>
      </c>
      <c r="M817" s="736">
        <v>37960.80000000001</v>
      </c>
      <c r="N817" s="735"/>
      <c r="O817" s="735">
        <v>6</v>
      </c>
      <c r="P817" s="736">
        <v>19044.900000000001</v>
      </c>
      <c r="Q817" s="214"/>
    </row>
    <row r="818" spans="1:17" ht="12" customHeight="1" x14ac:dyDescent="0.2">
      <c r="A818" s="735" t="s">
        <v>2169</v>
      </c>
      <c r="B818" s="735" t="s">
        <v>2170</v>
      </c>
      <c r="C818" s="735" t="s">
        <v>451</v>
      </c>
      <c r="D818" s="644" t="s">
        <v>3037</v>
      </c>
      <c r="E818" s="736">
        <v>8000</v>
      </c>
      <c r="F818" s="737" t="s">
        <v>4539</v>
      </c>
      <c r="G818" s="738" t="s">
        <v>4540</v>
      </c>
      <c r="H818" s="644" t="s">
        <v>2420</v>
      </c>
      <c r="I818" s="636" t="s">
        <v>2228</v>
      </c>
      <c r="J818" s="644"/>
      <c r="K818" s="739"/>
      <c r="L818" s="735">
        <v>2</v>
      </c>
      <c r="M818" s="736">
        <v>17926.8</v>
      </c>
      <c r="N818" s="735"/>
      <c r="O818" s="735">
        <v>6</v>
      </c>
      <c r="P818" s="736">
        <v>49044.9</v>
      </c>
      <c r="Q818" s="214"/>
    </row>
    <row r="819" spans="1:17" ht="12" customHeight="1" x14ac:dyDescent="0.2">
      <c r="A819" s="735" t="s">
        <v>2169</v>
      </c>
      <c r="B819" s="735" t="s">
        <v>2170</v>
      </c>
      <c r="C819" s="735" t="s">
        <v>451</v>
      </c>
      <c r="D819" s="644" t="s">
        <v>3022</v>
      </c>
      <c r="E819" s="736">
        <v>6000</v>
      </c>
      <c r="F819" s="737" t="s">
        <v>4541</v>
      </c>
      <c r="G819" s="738" t="s">
        <v>4542</v>
      </c>
      <c r="H819" s="644" t="s">
        <v>2201</v>
      </c>
      <c r="I819" s="636" t="s">
        <v>2201</v>
      </c>
      <c r="J819" s="644"/>
      <c r="K819" s="739"/>
      <c r="L819" s="735">
        <v>4</v>
      </c>
      <c r="M819" s="736">
        <v>24253.599999999999</v>
      </c>
      <c r="N819" s="735"/>
      <c r="O819" s="735">
        <v>1</v>
      </c>
      <c r="P819" s="736">
        <v>2140.8200000000002</v>
      </c>
      <c r="Q819" s="214"/>
    </row>
    <row r="820" spans="1:17" ht="12" customHeight="1" x14ac:dyDescent="0.2">
      <c r="A820" s="735" t="s">
        <v>2169</v>
      </c>
      <c r="B820" s="735" t="s">
        <v>2170</v>
      </c>
      <c r="C820" s="735" t="s">
        <v>451</v>
      </c>
      <c r="D820" s="644" t="s">
        <v>4543</v>
      </c>
      <c r="E820" s="736">
        <v>3000</v>
      </c>
      <c r="F820" s="737" t="s">
        <v>4544</v>
      </c>
      <c r="G820" s="738" t="s">
        <v>4545</v>
      </c>
      <c r="H820" s="644" t="s">
        <v>2268</v>
      </c>
      <c r="I820" s="636" t="s">
        <v>2180</v>
      </c>
      <c r="J820" s="644" t="s">
        <v>2180</v>
      </c>
      <c r="K820" s="739"/>
      <c r="L820" s="735">
        <v>12</v>
      </c>
      <c r="M820" s="736">
        <v>37960.80000000001</v>
      </c>
      <c r="N820" s="735"/>
      <c r="O820" s="735">
        <v>6</v>
      </c>
      <c r="P820" s="736">
        <v>19044.900000000001</v>
      </c>
      <c r="Q820" s="214"/>
    </row>
    <row r="821" spans="1:17" ht="12" customHeight="1" x14ac:dyDescent="0.2">
      <c r="A821" s="735" t="s">
        <v>2169</v>
      </c>
      <c r="B821" s="735" t="s">
        <v>2170</v>
      </c>
      <c r="C821" s="735" t="s">
        <v>451</v>
      </c>
      <c r="D821" s="644" t="s">
        <v>4546</v>
      </c>
      <c r="E821" s="736">
        <v>7000</v>
      </c>
      <c r="F821" s="737" t="s">
        <v>4547</v>
      </c>
      <c r="G821" s="738" t="s">
        <v>4548</v>
      </c>
      <c r="H821" s="644">
        <v>0</v>
      </c>
      <c r="I821" s="636">
        <v>0</v>
      </c>
      <c r="J821" s="644">
        <v>0</v>
      </c>
      <c r="K821" s="739"/>
      <c r="L821" s="735">
        <v>3</v>
      </c>
      <c r="M821" s="736">
        <v>20838.61</v>
      </c>
      <c r="N821" s="735"/>
      <c r="O821" s="735"/>
      <c r="P821" s="736"/>
      <c r="Q821" s="214"/>
    </row>
    <row r="822" spans="1:17" ht="12" customHeight="1" x14ac:dyDescent="0.2">
      <c r="A822" s="735" t="s">
        <v>2169</v>
      </c>
      <c r="B822" s="735" t="s">
        <v>2170</v>
      </c>
      <c r="C822" s="735" t="s">
        <v>451</v>
      </c>
      <c r="D822" s="644" t="s">
        <v>4549</v>
      </c>
      <c r="E822" s="736">
        <v>4000</v>
      </c>
      <c r="F822" s="737" t="s">
        <v>4550</v>
      </c>
      <c r="G822" s="738" t="s">
        <v>4551</v>
      </c>
      <c r="H822" s="644" t="s">
        <v>4552</v>
      </c>
      <c r="I822" s="636" t="s">
        <v>2284</v>
      </c>
      <c r="J822" s="644" t="s">
        <v>2284</v>
      </c>
      <c r="K822" s="739"/>
      <c r="L822" s="735">
        <v>12</v>
      </c>
      <c r="M822" s="736">
        <v>49960.44000000001</v>
      </c>
      <c r="N822" s="735"/>
      <c r="O822" s="735">
        <v>6</v>
      </c>
      <c r="P822" s="736">
        <v>25035.989999999998</v>
      </c>
      <c r="Q822" s="214"/>
    </row>
    <row r="823" spans="1:17" ht="12" customHeight="1" x14ac:dyDescent="0.2">
      <c r="A823" s="735" t="s">
        <v>2169</v>
      </c>
      <c r="B823" s="735" t="s">
        <v>2170</v>
      </c>
      <c r="C823" s="735" t="s">
        <v>451</v>
      </c>
      <c r="D823" s="644" t="s">
        <v>2446</v>
      </c>
      <c r="E823" s="736">
        <v>2500</v>
      </c>
      <c r="F823" s="737" t="s">
        <v>4553</v>
      </c>
      <c r="G823" s="738" t="s">
        <v>4554</v>
      </c>
      <c r="H823" s="644" t="s">
        <v>2253</v>
      </c>
      <c r="I823" s="636" t="s">
        <v>2741</v>
      </c>
      <c r="J823" s="644" t="s">
        <v>2741</v>
      </c>
      <c r="K823" s="739"/>
      <c r="L823" s="735">
        <v>12</v>
      </c>
      <c r="M823" s="736">
        <v>32127.470000000005</v>
      </c>
      <c r="N823" s="735"/>
      <c r="O823" s="735">
        <v>6</v>
      </c>
      <c r="P823" s="736">
        <v>16042.739999999998</v>
      </c>
      <c r="Q823" s="214"/>
    </row>
    <row r="824" spans="1:17" ht="12" customHeight="1" x14ac:dyDescent="0.2">
      <c r="A824" s="735" t="s">
        <v>2169</v>
      </c>
      <c r="B824" s="735" t="s">
        <v>2170</v>
      </c>
      <c r="C824" s="735" t="s">
        <v>451</v>
      </c>
      <c r="D824" s="644" t="s">
        <v>2225</v>
      </c>
      <c r="E824" s="736">
        <v>12000</v>
      </c>
      <c r="F824" s="737" t="s">
        <v>4555</v>
      </c>
      <c r="G824" s="738" t="s">
        <v>4556</v>
      </c>
      <c r="H824" s="644" t="s">
        <v>2236</v>
      </c>
      <c r="I824" s="636" t="s">
        <v>2175</v>
      </c>
      <c r="J824" s="644"/>
      <c r="K824" s="739"/>
      <c r="L824" s="735">
        <v>9</v>
      </c>
      <c r="M824" s="736">
        <v>109507.19999999998</v>
      </c>
      <c r="N824" s="735"/>
      <c r="O824" s="735">
        <v>6</v>
      </c>
      <c r="P824" s="736">
        <v>72726.789999999994</v>
      </c>
      <c r="Q824" s="214"/>
    </row>
    <row r="825" spans="1:17" ht="12" customHeight="1" x14ac:dyDescent="0.2">
      <c r="A825" s="735" t="s">
        <v>2169</v>
      </c>
      <c r="B825" s="735" t="s">
        <v>2170</v>
      </c>
      <c r="C825" s="735" t="s">
        <v>451</v>
      </c>
      <c r="D825" s="644" t="s">
        <v>2737</v>
      </c>
      <c r="E825" s="736">
        <v>3500</v>
      </c>
      <c r="F825" s="737" t="s">
        <v>4557</v>
      </c>
      <c r="G825" s="738" t="s">
        <v>4558</v>
      </c>
      <c r="H825" s="644" t="s">
        <v>4559</v>
      </c>
      <c r="I825" s="636" t="s">
        <v>2284</v>
      </c>
      <c r="J825" s="644" t="s">
        <v>2284</v>
      </c>
      <c r="K825" s="739"/>
      <c r="L825" s="735">
        <v>12</v>
      </c>
      <c r="M825" s="736">
        <v>43949.05000000001</v>
      </c>
      <c r="N825" s="735"/>
      <c r="O825" s="735">
        <v>6</v>
      </c>
      <c r="P825" s="736">
        <v>22025.54</v>
      </c>
      <c r="Q825" s="214"/>
    </row>
    <row r="826" spans="1:17" ht="12" customHeight="1" x14ac:dyDescent="0.2">
      <c r="A826" s="735" t="s">
        <v>2169</v>
      </c>
      <c r="B826" s="735" t="s">
        <v>2170</v>
      </c>
      <c r="C826" s="735" t="s">
        <v>451</v>
      </c>
      <c r="D826" s="644" t="s">
        <v>4560</v>
      </c>
      <c r="E826" s="736">
        <v>6000</v>
      </c>
      <c r="F826" s="737" t="s">
        <v>4561</v>
      </c>
      <c r="G826" s="738" t="s">
        <v>4562</v>
      </c>
      <c r="H826" s="644" t="s">
        <v>2189</v>
      </c>
      <c r="I826" s="636" t="s">
        <v>2180</v>
      </c>
      <c r="J826" s="644" t="s">
        <v>2180</v>
      </c>
      <c r="K826" s="739"/>
      <c r="L826" s="735">
        <v>12</v>
      </c>
      <c r="M826" s="736">
        <v>73867.740000000005</v>
      </c>
      <c r="N826" s="735"/>
      <c r="O826" s="735">
        <v>6</v>
      </c>
      <c r="P826" s="736">
        <v>36881.11</v>
      </c>
      <c r="Q826" s="214"/>
    </row>
    <row r="827" spans="1:17" ht="12" customHeight="1" x14ac:dyDescent="0.2">
      <c r="A827" s="735" t="s">
        <v>2169</v>
      </c>
      <c r="B827" s="735" t="s">
        <v>2232</v>
      </c>
      <c r="C827" s="735" t="s">
        <v>451</v>
      </c>
      <c r="D827" s="644" t="s">
        <v>2272</v>
      </c>
      <c r="E827" s="736">
        <v>9500</v>
      </c>
      <c r="F827" s="737" t="s">
        <v>4563</v>
      </c>
      <c r="G827" s="738" t="s">
        <v>4564</v>
      </c>
      <c r="H827" s="644" t="s">
        <v>2420</v>
      </c>
      <c r="I827" s="636" t="s">
        <v>2228</v>
      </c>
      <c r="J827" s="644" t="s">
        <v>2420</v>
      </c>
      <c r="K827" s="739"/>
      <c r="L827" s="735">
        <v>11</v>
      </c>
      <c r="M827" s="736">
        <v>106047.39999999998</v>
      </c>
      <c r="N827" s="735"/>
      <c r="O827" s="735">
        <v>1</v>
      </c>
      <c r="P827" s="736">
        <v>3167.92</v>
      </c>
      <c r="Q827" s="214"/>
    </row>
    <row r="828" spans="1:17" ht="12" customHeight="1" x14ac:dyDescent="0.2">
      <c r="A828" s="735" t="s">
        <v>2169</v>
      </c>
      <c r="B828" s="735" t="s">
        <v>2170</v>
      </c>
      <c r="C828" s="735" t="s">
        <v>451</v>
      </c>
      <c r="D828" s="644" t="s">
        <v>3299</v>
      </c>
      <c r="E828" s="736">
        <v>12000</v>
      </c>
      <c r="F828" s="737" t="s">
        <v>4565</v>
      </c>
      <c r="G828" s="738" t="s">
        <v>4566</v>
      </c>
      <c r="H828" s="644" t="s">
        <v>2197</v>
      </c>
      <c r="I828" s="636" t="s">
        <v>2246</v>
      </c>
      <c r="J828" s="644" t="s">
        <v>2197</v>
      </c>
      <c r="K828" s="739"/>
      <c r="L828" s="735">
        <v>12</v>
      </c>
      <c r="M828" s="736">
        <v>145958.61999999997</v>
      </c>
      <c r="N828" s="735"/>
      <c r="O828" s="735">
        <v>2</v>
      </c>
      <c r="P828" s="736">
        <v>25692.559999999998</v>
      </c>
      <c r="Q828" s="214"/>
    </row>
    <row r="829" spans="1:17" ht="12" customHeight="1" x14ac:dyDescent="0.2">
      <c r="A829" s="735" t="s">
        <v>2169</v>
      </c>
      <c r="B829" s="735" t="s">
        <v>2170</v>
      </c>
      <c r="C829" s="735" t="s">
        <v>451</v>
      </c>
      <c r="D829" s="644" t="s">
        <v>2179</v>
      </c>
      <c r="E829" s="736">
        <v>8000</v>
      </c>
      <c r="F829" s="737" t="s">
        <v>4567</v>
      </c>
      <c r="G829" s="738" t="s">
        <v>4568</v>
      </c>
      <c r="H829" s="644" t="s">
        <v>2201</v>
      </c>
      <c r="I829" s="636"/>
      <c r="J829" s="644"/>
      <c r="K829" s="739"/>
      <c r="L829" s="735">
        <v>12</v>
      </c>
      <c r="M829" s="736">
        <v>97649.869999999981</v>
      </c>
      <c r="N829" s="735"/>
      <c r="O829" s="735">
        <v>6</v>
      </c>
      <c r="P829" s="736">
        <v>48648.35</v>
      </c>
      <c r="Q829" s="214"/>
    </row>
    <row r="830" spans="1:17" ht="12" customHeight="1" x14ac:dyDescent="0.2">
      <c r="A830" s="735" t="s">
        <v>2169</v>
      </c>
      <c r="B830" s="735" t="s">
        <v>2170</v>
      </c>
      <c r="C830" s="735" t="s">
        <v>451</v>
      </c>
      <c r="D830" s="644" t="s">
        <v>4569</v>
      </c>
      <c r="E830" s="736">
        <v>10000</v>
      </c>
      <c r="F830" s="737" t="s">
        <v>4570</v>
      </c>
      <c r="G830" s="738" t="s">
        <v>4571</v>
      </c>
      <c r="H830" s="644" t="s">
        <v>2201</v>
      </c>
      <c r="I830" s="636"/>
      <c r="J830" s="644"/>
      <c r="K830" s="739"/>
      <c r="L830" s="735">
        <v>9</v>
      </c>
      <c r="M830" s="736">
        <v>91594.98</v>
      </c>
      <c r="N830" s="735"/>
      <c r="O830" s="735"/>
      <c r="P830" s="736"/>
      <c r="Q830" s="214"/>
    </row>
    <row r="831" spans="1:17" ht="12" customHeight="1" x14ac:dyDescent="0.2">
      <c r="A831" s="735" t="s">
        <v>2169</v>
      </c>
      <c r="B831" s="735" t="s">
        <v>2170</v>
      </c>
      <c r="C831" s="735" t="s">
        <v>451</v>
      </c>
      <c r="D831" s="644" t="s">
        <v>3438</v>
      </c>
      <c r="E831" s="736">
        <v>8000</v>
      </c>
      <c r="F831" s="737" t="s">
        <v>4572</v>
      </c>
      <c r="G831" s="738" t="s">
        <v>4573</v>
      </c>
      <c r="H831" s="644" t="s">
        <v>2543</v>
      </c>
      <c r="I831" s="636" t="s">
        <v>2393</v>
      </c>
      <c r="J831" s="644" t="s">
        <v>2393</v>
      </c>
      <c r="K831" s="739"/>
      <c r="L831" s="735">
        <v>12</v>
      </c>
      <c r="M831" s="736">
        <v>97925.969999999987</v>
      </c>
      <c r="N831" s="735"/>
      <c r="O831" s="735">
        <v>6</v>
      </c>
      <c r="P831" s="736">
        <v>49017.89</v>
      </c>
      <c r="Q831" s="214"/>
    </row>
    <row r="832" spans="1:17" ht="12" customHeight="1" x14ac:dyDescent="0.2">
      <c r="A832" s="735" t="s">
        <v>2169</v>
      </c>
      <c r="B832" s="735" t="s">
        <v>2170</v>
      </c>
      <c r="C832" s="735" t="s">
        <v>451</v>
      </c>
      <c r="D832" s="644" t="s">
        <v>4574</v>
      </c>
      <c r="E832" s="736">
        <v>13000</v>
      </c>
      <c r="F832" s="737" t="s">
        <v>4575</v>
      </c>
      <c r="G832" s="738" t="s">
        <v>4576</v>
      </c>
      <c r="H832" s="644" t="s">
        <v>2752</v>
      </c>
      <c r="I832" s="636" t="s">
        <v>2175</v>
      </c>
      <c r="J832" s="644" t="s">
        <v>2752</v>
      </c>
      <c r="K832" s="739"/>
      <c r="L832" s="735">
        <v>12</v>
      </c>
      <c r="M832" s="736">
        <v>157960.79999999996</v>
      </c>
      <c r="N832" s="735"/>
      <c r="O832" s="735">
        <v>6</v>
      </c>
      <c r="P832" s="736">
        <v>79042.099999999991</v>
      </c>
      <c r="Q832" s="214"/>
    </row>
    <row r="833" spans="1:17" ht="12" customHeight="1" x14ac:dyDescent="0.2">
      <c r="A833" s="735" t="s">
        <v>2169</v>
      </c>
      <c r="B833" s="735" t="s">
        <v>2170</v>
      </c>
      <c r="C833" s="735" t="s">
        <v>451</v>
      </c>
      <c r="D833" s="644" t="s">
        <v>4577</v>
      </c>
      <c r="E833" s="736">
        <v>7200</v>
      </c>
      <c r="F833" s="737" t="s">
        <v>4578</v>
      </c>
      <c r="G833" s="738" t="s">
        <v>4579</v>
      </c>
      <c r="H833" s="644" t="s">
        <v>2629</v>
      </c>
      <c r="I833" s="636" t="s">
        <v>2250</v>
      </c>
      <c r="J833" s="644" t="s">
        <v>2250</v>
      </c>
      <c r="K833" s="739"/>
      <c r="L833" s="735">
        <v>12</v>
      </c>
      <c r="M833" s="736">
        <v>86538</v>
      </c>
      <c r="N833" s="735"/>
      <c r="O833" s="735">
        <v>6</v>
      </c>
      <c r="P833" s="736">
        <v>44020.41</v>
      </c>
      <c r="Q833" s="214"/>
    </row>
    <row r="834" spans="1:17" ht="12" customHeight="1" x14ac:dyDescent="0.2">
      <c r="A834" s="735" t="s">
        <v>2169</v>
      </c>
      <c r="B834" s="735" t="s">
        <v>2170</v>
      </c>
      <c r="C834" s="735" t="s">
        <v>451</v>
      </c>
      <c r="D834" s="644" t="s">
        <v>4580</v>
      </c>
      <c r="E834" s="736">
        <v>12000</v>
      </c>
      <c r="F834" s="737" t="s">
        <v>4581</v>
      </c>
      <c r="G834" s="738" t="s">
        <v>4582</v>
      </c>
      <c r="H834" s="644" t="s">
        <v>3629</v>
      </c>
      <c r="I834" s="636" t="s">
        <v>2180</v>
      </c>
      <c r="J834" s="644" t="s">
        <v>2180</v>
      </c>
      <c r="K834" s="739"/>
      <c r="L834" s="735">
        <v>1</v>
      </c>
      <c r="M834" s="736">
        <v>12113.4</v>
      </c>
      <c r="N834" s="735"/>
      <c r="O834" s="735"/>
      <c r="P834" s="736"/>
      <c r="Q834" s="214"/>
    </row>
    <row r="835" spans="1:17" ht="12" customHeight="1" x14ac:dyDescent="0.2">
      <c r="A835" s="735" t="s">
        <v>2169</v>
      </c>
      <c r="B835" s="735" t="s">
        <v>2170</v>
      </c>
      <c r="C835" s="735" t="s">
        <v>451</v>
      </c>
      <c r="D835" s="644" t="s">
        <v>4583</v>
      </c>
      <c r="E835" s="736">
        <v>8000</v>
      </c>
      <c r="F835" s="737" t="s">
        <v>4584</v>
      </c>
      <c r="G835" s="738" t="s">
        <v>4585</v>
      </c>
      <c r="H835" s="644" t="s">
        <v>2201</v>
      </c>
      <c r="I835" s="636"/>
      <c r="J835" s="644"/>
      <c r="K835" s="739"/>
      <c r="L835" s="735">
        <v>12</v>
      </c>
      <c r="M835" s="736">
        <v>97927.419999999984</v>
      </c>
      <c r="N835" s="735"/>
      <c r="O835" s="735">
        <v>6</v>
      </c>
      <c r="P835" s="736">
        <v>49029.39</v>
      </c>
      <c r="Q835" s="214"/>
    </row>
    <row r="836" spans="1:17" ht="12" customHeight="1" x14ac:dyDescent="0.2">
      <c r="A836" s="735" t="s">
        <v>2169</v>
      </c>
      <c r="B836" s="735" t="s">
        <v>2170</v>
      </c>
      <c r="C836" s="735" t="s">
        <v>451</v>
      </c>
      <c r="D836" s="644" t="s">
        <v>3290</v>
      </c>
      <c r="E836" s="736">
        <v>3000</v>
      </c>
      <c r="F836" s="737" t="s">
        <v>4586</v>
      </c>
      <c r="G836" s="738" t="s">
        <v>4587</v>
      </c>
      <c r="H836" s="644" t="s">
        <v>2201</v>
      </c>
      <c r="I836" s="636"/>
      <c r="J836" s="644"/>
      <c r="K836" s="739"/>
      <c r="L836" s="735">
        <v>12</v>
      </c>
      <c r="M836" s="736">
        <v>37947.400000000009</v>
      </c>
      <c r="N836" s="735"/>
      <c r="O836" s="735">
        <v>6</v>
      </c>
      <c r="P836" s="736">
        <v>19040.59</v>
      </c>
      <c r="Q836" s="214"/>
    </row>
    <row r="837" spans="1:17" ht="12" customHeight="1" x14ac:dyDescent="0.2">
      <c r="A837" s="735" t="s">
        <v>2169</v>
      </c>
      <c r="B837" s="735" t="s">
        <v>2170</v>
      </c>
      <c r="C837" s="735" t="s">
        <v>451</v>
      </c>
      <c r="D837" s="644" t="s">
        <v>4588</v>
      </c>
      <c r="E837" s="736">
        <v>15600</v>
      </c>
      <c r="F837" s="737" t="s">
        <v>4589</v>
      </c>
      <c r="G837" s="738" t="s">
        <v>4590</v>
      </c>
      <c r="H837" s="644" t="s">
        <v>4591</v>
      </c>
      <c r="I837" s="636" t="s">
        <v>3025</v>
      </c>
      <c r="J837" s="644"/>
      <c r="K837" s="739"/>
      <c r="L837" s="735">
        <v>7</v>
      </c>
      <c r="M837" s="736">
        <v>101453.79999999999</v>
      </c>
      <c r="N837" s="735"/>
      <c r="O837" s="735">
        <v>6</v>
      </c>
      <c r="P837" s="736">
        <v>93084.9</v>
      </c>
      <c r="Q837" s="214"/>
    </row>
    <row r="838" spans="1:17" ht="12" customHeight="1" x14ac:dyDescent="0.2">
      <c r="A838" s="735" t="s">
        <v>2169</v>
      </c>
      <c r="B838" s="735" t="s">
        <v>2170</v>
      </c>
      <c r="C838" s="735" t="s">
        <v>451</v>
      </c>
      <c r="D838" s="644" t="s">
        <v>2261</v>
      </c>
      <c r="E838" s="736">
        <v>5000</v>
      </c>
      <c r="F838" s="737" t="s">
        <v>4592</v>
      </c>
      <c r="G838" s="738" t="s">
        <v>4593</v>
      </c>
      <c r="H838" s="644" t="s">
        <v>2201</v>
      </c>
      <c r="I838" s="636"/>
      <c r="J838" s="644"/>
      <c r="K838" s="739"/>
      <c r="L838" s="735">
        <v>12</v>
      </c>
      <c r="M838" s="736">
        <v>61960.80000000001</v>
      </c>
      <c r="N838" s="735"/>
      <c r="O838" s="735">
        <v>6</v>
      </c>
      <c r="P838" s="736">
        <v>31044.9</v>
      </c>
      <c r="Q838" s="214"/>
    </row>
    <row r="839" spans="1:17" ht="12" customHeight="1" x14ac:dyDescent="0.2">
      <c r="A839" s="735" t="s">
        <v>2169</v>
      </c>
      <c r="B839" s="735" t="s">
        <v>2170</v>
      </c>
      <c r="C839" s="735" t="s">
        <v>451</v>
      </c>
      <c r="D839" s="644" t="s">
        <v>4594</v>
      </c>
      <c r="E839" s="736">
        <v>4000</v>
      </c>
      <c r="F839" s="737" t="s">
        <v>4595</v>
      </c>
      <c r="G839" s="738" t="s">
        <v>4596</v>
      </c>
      <c r="H839" s="644" t="s">
        <v>3362</v>
      </c>
      <c r="I839" s="636" t="s">
        <v>2180</v>
      </c>
      <c r="J839" s="644" t="s">
        <v>2180</v>
      </c>
      <c r="K839" s="739"/>
      <c r="L839" s="735">
        <v>12</v>
      </c>
      <c r="M839" s="736">
        <v>49955.360000000008</v>
      </c>
      <c r="N839" s="735"/>
      <c r="O839" s="735">
        <v>6</v>
      </c>
      <c r="P839" s="736">
        <v>25038.010000000002</v>
      </c>
      <c r="Q839" s="214"/>
    </row>
    <row r="840" spans="1:17" ht="12" customHeight="1" x14ac:dyDescent="0.2">
      <c r="A840" s="735" t="s">
        <v>2169</v>
      </c>
      <c r="B840" s="735" t="s">
        <v>2170</v>
      </c>
      <c r="C840" s="735" t="s">
        <v>451</v>
      </c>
      <c r="D840" s="644" t="s">
        <v>4597</v>
      </c>
      <c r="E840" s="736">
        <v>3000</v>
      </c>
      <c r="F840" s="737" t="s">
        <v>4598</v>
      </c>
      <c r="G840" s="738" t="s">
        <v>4599</v>
      </c>
      <c r="H840" s="644" t="s">
        <v>2201</v>
      </c>
      <c r="I840" s="636"/>
      <c r="J840" s="644"/>
      <c r="K840" s="739"/>
      <c r="L840" s="735">
        <v>2</v>
      </c>
      <c r="M840" s="736">
        <v>4421.3999999999996</v>
      </c>
      <c r="N840" s="735"/>
      <c r="O840" s="735"/>
      <c r="P840" s="736"/>
      <c r="Q840" s="214"/>
    </row>
    <row r="841" spans="1:17" ht="12" customHeight="1" x14ac:dyDescent="0.2">
      <c r="A841" s="735" t="s">
        <v>2169</v>
      </c>
      <c r="B841" s="735" t="s">
        <v>2170</v>
      </c>
      <c r="C841" s="735" t="s">
        <v>451</v>
      </c>
      <c r="D841" s="644" t="s">
        <v>3214</v>
      </c>
      <c r="E841" s="736">
        <v>7000</v>
      </c>
      <c r="F841" s="737" t="s">
        <v>4600</v>
      </c>
      <c r="G841" s="738" t="s">
        <v>4601</v>
      </c>
      <c r="H841" s="644" t="s">
        <v>2245</v>
      </c>
      <c r="I841" s="636" t="s">
        <v>2180</v>
      </c>
      <c r="J841" s="644" t="s">
        <v>2180</v>
      </c>
      <c r="K841" s="739"/>
      <c r="L841" s="735">
        <v>12</v>
      </c>
      <c r="M841" s="736">
        <v>85958.26</v>
      </c>
      <c r="N841" s="735"/>
      <c r="O841" s="735">
        <v>6</v>
      </c>
      <c r="P841" s="736">
        <v>43044.9</v>
      </c>
      <c r="Q841" s="214"/>
    </row>
    <row r="842" spans="1:17" ht="12" customHeight="1" x14ac:dyDescent="0.2">
      <c r="A842" s="735" t="s">
        <v>2169</v>
      </c>
      <c r="B842" s="735" t="s">
        <v>2170</v>
      </c>
      <c r="C842" s="735" t="s">
        <v>451</v>
      </c>
      <c r="D842" s="644" t="s">
        <v>2891</v>
      </c>
      <c r="E842" s="736">
        <v>12000</v>
      </c>
      <c r="F842" s="737" t="s">
        <v>4602</v>
      </c>
      <c r="G842" s="738" t="s">
        <v>4603</v>
      </c>
      <c r="H842" s="644" t="s">
        <v>2201</v>
      </c>
      <c r="I842" s="636" t="s">
        <v>2201</v>
      </c>
      <c r="J842" s="644"/>
      <c r="K842" s="739"/>
      <c r="L842" s="735">
        <v>8</v>
      </c>
      <c r="M842" s="736">
        <v>91593.799999999988</v>
      </c>
      <c r="N842" s="735"/>
      <c r="O842" s="735">
        <v>6</v>
      </c>
      <c r="P842" s="736">
        <v>73044.899999999994</v>
      </c>
      <c r="Q842" s="214"/>
    </row>
    <row r="843" spans="1:17" ht="12" customHeight="1" x14ac:dyDescent="0.2">
      <c r="A843" s="735" t="s">
        <v>2169</v>
      </c>
      <c r="B843" s="735" t="s">
        <v>2170</v>
      </c>
      <c r="C843" s="735" t="s">
        <v>451</v>
      </c>
      <c r="D843" s="644" t="s">
        <v>4604</v>
      </c>
      <c r="E843" s="736">
        <v>13000</v>
      </c>
      <c r="F843" s="737" t="s">
        <v>4605</v>
      </c>
      <c r="G843" s="738" t="s">
        <v>4606</v>
      </c>
      <c r="H843" s="644" t="s">
        <v>3963</v>
      </c>
      <c r="I843" s="636" t="s">
        <v>2544</v>
      </c>
      <c r="J843" s="644" t="s">
        <v>2544</v>
      </c>
      <c r="K843" s="739"/>
      <c r="L843" s="735">
        <v>9</v>
      </c>
      <c r="M843" s="736">
        <v>124226.97000000002</v>
      </c>
      <c r="N843" s="735"/>
      <c r="O843" s="735"/>
      <c r="P843" s="736"/>
      <c r="Q843" s="214"/>
    </row>
    <row r="844" spans="1:17" ht="12" customHeight="1" x14ac:dyDescent="0.2">
      <c r="A844" s="735" t="s">
        <v>2169</v>
      </c>
      <c r="B844" s="735" t="s">
        <v>2170</v>
      </c>
      <c r="C844" s="735" t="s">
        <v>451</v>
      </c>
      <c r="D844" s="644" t="s">
        <v>4607</v>
      </c>
      <c r="E844" s="736">
        <v>6500</v>
      </c>
      <c r="F844" s="737" t="s">
        <v>4608</v>
      </c>
      <c r="G844" s="738" t="s">
        <v>4609</v>
      </c>
      <c r="H844" s="644" t="s">
        <v>2201</v>
      </c>
      <c r="I844" s="636"/>
      <c r="J844" s="644"/>
      <c r="K844" s="739"/>
      <c r="L844" s="735">
        <v>6</v>
      </c>
      <c r="M844" s="736">
        <v>39680.400000000001</v>
      </c>
      <c r="N844" s="735"/>
      <c r="O844" s="735"/>
      <c r="P844" s="736"/>
      <c r="Q844" s="214"/>
    </row>
    <row r="845" spans="1:17" ht="12" customHeight="1" x14ac:dyDescent="0.2">
      <c r="A845" s="735" t="s">
        <v>2169</v>
      </c>
      <c r="B845" s="735" t="s">
        <v>2170</v>
      </c>
      <c r="C845" s="735" t="s">
        <v>451</v>
      </c>
      <c r="D845" s="644" t="s">
        <v>4610</v>
      </c>
      <c r="E845" s="736">
        <v>9500</v>
      </c>
      <c r="F845" s="737" t="s">
        <v>4611</v>
      </c>
      <c r="G845" s="738" t="s">
        <v>4612</v>
      </c>
      <c r="H845" s="644" t="s">
        <v>2179</v>
      </c>
      <c r="I845" s="636" t="s">
        <v>2180</v>
      </c>
      <c r="J845" s="644" t="s">
        <v>2180</v>
      </c>
      <c r="K845" s="739"/>
      <c r="L845" s="735">
        <v>12</v>
      </c>
      <c r="M845" s="736">
        <v>115960.79999999997</v>
      </c>
      <c r="N845" s="735"/>
      <c r="O845" s="735">
        <v>6</v>
      </c>
      <c r="P845" s="736">
        <v>57915.23</v>
      </c>
      <c r="Q845" s="214"/>
    </row>
    <row r="846" spans="1:17" ht="12" customHeight="1" x14ac:dyDescent="0.2">
      <c r="A846" s="735" t="s">
        <v>2169</v>
      </c>
      <c r="B846" s="735" t="s">
        <v>2170</v>
      </c>
      <c r="C846" s="735" t="s">
        <v>451</v>
      </c>
      <c r="D846" s="644" t="s">
        <v>2636</v>
      </c>
      <c r="E846" s="736">
        <v>7000</v>
      </c>
      <c r="F846" s="737" t="s">
        <v>4613</v>
      </c>
      <c r="G846" s="738" t="s">
        <v>4614</v>
      </c>
      <c r="H846" s="644" t="s">
        <v>4615</v>
      </c>
      <c r="I846" s="636" t="s">
        <v>2393</v>
      </c>
      <c r="J846" s="644" t="s">
        <v>2393</v>
      </c>
      <c r="K846" s="739"/>
      <c r="L846" s="735">
        <v>12</v>
      </c>
      <c r="M846" s="736">
        <v>87575.719999999987</v>
      </c>
      <c r="N846" s="735"/>
      <c r="O846" s="735">
        <v>6</v>
      </c>
      <c r="P846" s="736">
        <v>42251.37</v>
      </c>
      <c r="Q846" s="214"/>
    </row>
    <row r="847" spans="1:17" ht="12" customHeight="1" x14ac:dyDescent="0.2">
      <c r="A847" s="735" t="s">
        <v>2169</v>
      </c>
      <c r="B847" s="735" t="s">
        <v>2170</v>
      </c>
      <c r="C847" s="735" t="s">
        <v>451</v>
      </c>
      <c r="D847" s="644" t="s">
        <v>2781</v>
      </c>
      <c r="E847" s="736">
        <v>3000</v>
      </c>
      <c r="F847" s="737" t="s">
        <v>4616</v>
      </c>
      <c r="G847" s="738" t="s">
        <v>4617</v>
      </c>
      <c r="H847" s="644" t="s">
        <v>2184</v>
      </c>
      <c r="I847" s="636" t="s">
        <v>2185</v>
      </c>
      <c r="J847" s="644" t="s">
        <v>2184</v>
      </c>
      <c r="K847" s="739"/>
      <c r="L847" s="735">
        <v>12</v>
      </c>
      <c r="M847" s="736">
        <v>37847.400000000009</v>
      </c>
      <c r="N847" s="735"/>
      <c r="O847" s="735">
        <v>6</v>
      </c>
      <c r="P847" s="736">
        <v>19044.47</v>
      </c>
      <c r="Q847" s="214"/>
    </row>
    <row r="848" spans="1:17" ht="12" customHeight="1" x14ac:dyDescent="0.2">
      <c r="A848" s="735" t="s">
        <v>2169</v>
      </c>
      <c r="B848" s="735" t="s">
        <v>2170</v>
      </c>
      <c r="C848" s="735" t="s">
        <v>451</v>
      </c>
      <c r="D848" s="644" t="s">
        <v>4618</v>
      </c>
      <c r="E848" s="736">
        <v>3000</v>
      </c>
      <c r="F848" s="737" t="s">
        <v>4619</v>
      </c>
      <c r="G848" s="738" t="s">
        <v>4620</v>
      </c>
      <c r="H848" s="644" t="s">
        <v>4621</v>
      </c>
      <c r="I848" s="636" t="s">
        <v>2385</v>
      </c>
      <c r="J848" s="644" t="s">
        <v>2385</v>
      </c>
      <c r="K848" s="739"/>
      <c r="L848" s="735">
        <v>12</v>
      </c>
      <c r="M848" s="736">
        <v>38060.80000000001</v>
      </c>
      <c r="N848" s="735"/>
      <c r="O848" s="735">
        <v>6</v>
      </c>
      <c r="P848" s="736">
        <v>19043.18</v>
      </c>
      <c r="Q848" s="214"/>
    </row>
    <row r="849" spans="1:17" ht="12" customHeight="1" x14ac:dyDescent="0.2">
      <c r="A849" s="735" t="s">
        <v>2169</v>
      </c>
      <c r="B849" s="735" t="s">
        <v>2170</v>
      </c>
      <c r="C849" s="735" t="s">
        <v>451</v>
      </c>
      <c r="D849" s="644" t="s">
        <v>4622</v>
      </c>
      <c r="E849" s="736">
        <v>15600</v>
      </c>
      <c r="F849" s="737" t="s">
        <v>4623</v>
      </c>
      <c r="G849" s="738" t="s">
        <v>4624</v>
      </c>
      <c r="H849" s="644" t="s">
        <v>2201</v>
      </c>
      <c r="I849" s="636"/>
      <c r="J849" s="644"/>
      <c r="K849" s="739"/>
      <c r="L849" s="735">
        <v>12</v>
      </c>
      <c r="M849" s="736">
        <v>164480.79999999996</v>
      </c>
      <c r="N849" s="735"/>
      <c r="O849" s="735">
        <v>6</v>
      </c>
      <c r="P849" s="736">
        <v>93084.9</v>
      </c>
      <c r="Q849" s="214"/>
    </row>
    <row r="850" spans="1:17" ht="12" customHeight="1" x14ac:dyDescent="0.2">
      <c r="A850" s="735" t="s">
        <v>2169</v>
      </c>
      <c r="B850" s="735" t="s">
        <v>2170</v>
      </c>
      <c r="C850" s="735" t="s">
        <v>451</v>
      </c>
      <c r="D850" s="644" t="s">
        <v>4625</v>
      </c>
      <c r="E850" s="736">
        <v>8000</v>
      </c>
      <c r="F850" s="737" t="s">
        <v>4626</v>
      </c>
      <c r="G850" s="738" t="s">
        <v>4627</v>
      </c>
      <c r="H850" s="644" t="s">
        <v>2752</v>
      </c>
      <c r="I850" s="636" t="s">
        <v>3025</v>
      </c>
      <c r="J850" s="644"/>
      <c r="K850" s="739"/>
      <c r="L850" s="735">
        <v>10</v>
      </c>
      <c r="M850" s="736">
        <v>80933.999999999985</v>
      </c>
      <c r="N850" s="735"/>
      <c r="O850" s="735">
        <v>6</v>
      </c>
      <c r="P850" s="736">
        <v>49015.590000000004</v>
      </c>
      <c r="Q850" s="214"/>
    </row>
    <row r="851" spans="1:17" ht="12" customHeight="1" x14ac:dyDescent="0.2">
      <c r="A851" s="735" t="s">
        <v>2169</v>
      </c>
      <c r="B851" s="735" t="s">
        <v>2170</v>
      </c>
      <c r="C851" s="735" t="s">
        <v>451</v>
      </c>
      <c r="D851" s="644" t="s">
        <v>2446</v>
      </c>
      <c r="E851" s="736">
        <v>2500</v>
      </c>
      <c r="F851" s="737" t="s">
        <v>4628</v>
      </c>
      <c r="G851" s="738" t="s">
        <v>4629</v>
      </c>
      <c r="H851" s="644" t="s">
        <v>2253</v>
      </c>
      <c r="I851" s="636" t="s">
        <v>2254</v>
      </c>
      <c r="J851" s="644" t="s">
        <v>2254</v>
      </c>
      <c r="K851" s="739"/>
      <c r="L851" s="735">
        <v>12</v>
      </c>
      <c r="M851" s="736">
        <v>31876.100000000006</v>
      </c>
      <c r="N851" s="735"/>
      <c r="O851" s="735">
        <v>6</v>
      </c>
      <c r="P851" s="736">
        <v>15961.21</v>
      </c>
      <c r="Q851" s="214"/>
    </row>
    <row r="852" spans="1:17" ht="12" customHeight="1" x14ac:dyDescent="0.2">
      <c r="A852" s="735" t="s">
        <v>2169</v>
      </c>
      <c r="B852" s="735" t="s">
        <v>2170</v>
      </c>
      <c r="C852" s="735" t="s">
        <v>451</v>
      </c>
      <c r="D852" s="644" t="s">
        <v>4630</v>
      </c>
      <c r="E852" s="736">
        <v>15600</v>
      </c>
      <c r="F852" s="737" t="s">
        <v>4631</v>
      </c>
      <c r="G852" s="738" t="s">
        <v>4632</v>
      </c>
      <c r="H852" s="644" t="s">
        <v>2201</v>
      </c>
      <c r="I852" s="636" t="s">
        <v>2201</v>
      </c>
      <c r="J852" s="644"/>
      <c r="K852" s="739"/>
      <c r="L852" s="735">
        <v>1</v>
      </c>
      <c r="M852" s="736">
        <v>5313.4</v>
      </c>
      <c r="N852" s="735"/>
      <c r="O852" s="735"/>
      <c r="P852" s="736"/>
      <c r="Q852" s="214"/>
    </row>
    <row r="853" spans="1:17" ht="12" customHeight="1" x14ac:dyDescent="0.2">
      <c r="A853" s="735" t="s">
        <v>2169</v>
      </c>
      <c r="B853" s="735" t="s">
        <v>2170</v>
      </c>
      <c r="C853" s="735" t="s">
        <v>451</v>
      </c>
      <c r="D853" s="644" t="s">
        <v>4633</v>
      </c>
      <c r="E853" s="736">
        <v>3000</v>
      </c>
      <c r="F853" s="737" t="s">
        <v>4634</v>
      </c>
      <c r="G853" s="738" t="s">
        <v>4635</v>
      </c>
      <c r="H853" s="644" t="s">
        <v>2174</v>
      </c>
      <c r="I853" s="636" t="s">
        <v>2175</v>
      </c>
      <c r="J853" s="644" t="s">
        <v>2174</v>
      </c>
      <c r="K853" s="739"/>
      <c r="L853" s="735">
        <v>10</v>
      </c>
      <c r="M853" s="736">
        <v>31434.000000000007</v>
      </c>
      <c r="N853" s="735"/>
      <c r="O853" s="735"/>
      <c r="P853" s="736"/>
      <c r="Q853" s="214"/>
    </row>
    <row r="854" spans="1:17" ht="12" customHeight="1" x14ac:dyDescent="0.2">
      <c r="A854" s="735" t="s">
        <v>2169</v>
      </c>
      <c r="B854" s="735" t="s">
        <v>2170</v>
      </c>
      <c r="C854" s="735" t="s">
        <v>451</v>
      </c>
      <c r="D854" s="644" t="s">
        <v>2772</v>
      </c>
      <c r="E854" s="736">
        <v>4000</v>
      </c>
      <c r="F854" s="737" t="s">
        <v>4636</v>
      </c>
      <c r="G854" s="738" t="s">
        <v>4637</v>
      </c>
      <c r="H854" s="644" t="s">
        <v>3178</v>
      </c>
      <c r="I854" s="636" t="s">
        <v>2284</v>
      </c>
      <c r="J854" s="644" t="s">
        <v>2284</v>
      </c>
      <c r="K854" s="739"/>
      <c r="L854" s="735">
        <v>7</v>
      </c>
      <c r="M854" s="736">
        <v>25591.27</v>
      </c>
      <c r="N854" s="735"/>
      <c r="O854" s="735"/>
      <c r="P854" s="736"/>
      <c r="Q854" s="214"/>
    </row>
    <row r="855" spans="1:17" ht="12" customHeight="1" x14ac:dyDescent="0.2">
      <c r="A855" s="735" t="s">
        <v>2169</v>
      </c>
      <c r="B855" s="735" t="s">
        <v>2170</v>
      </c>
      <c r="C855" s="735" t="s">
        <v>451</v>
      </c>
      <c r="D855" s="644" t="s">
        <v>4638</v>
      </c>
      <c r="E855" s="736">
        <v>5000</v>
      </c>
      <c r="F855" s="737" t="s">
        <v>4639</v>
      </c>
      <c r="G855" s="738" t="s">
        <v>4640</v>
      </c>
      <c r="H855" s="644" t="s">
        <v>4641</v>
      </c>
      <c r="I855" s="636" t="s">
        <v>2175</v>
      </c>
      <c r="J855" s="644" t="s">
        <v>4641</v>
      </c>
      <c r="K855" s="739"/>
      <c r="L855" s="735">
        <v>12</v>
      </c>
      <c r="M855" s="736">
        <v>61960.80000000001</v>
      </c>
      <c r="N855" s="735"/>
      <c r="O855" s="735">
        <v>6</v>
      </c>
      <c r="P855" s="736">
        <v>31034.120000000003</v>
      </c>
      <c r="Q855" s="214"/>
    </row>
    <row r="856" spans="1:17" ht="12" customHeight="1" x14ac:dyDescent="0.2">
      <c r="A856" s="735" t="s">
        <v>2169</v>
      </c>
      <c r="B856" s="735" t="s">
        <v>2170</v>
      </c>
      <c r="C856" s="735" t="s">
        <v>451</v>
      </c>
      <c r="D856" s="644" t="s">
        <v>4642</v>
      </c>
      <c r="E856" s="736">
        <v>15600</v>
      </c>
      <c r="F856" s="737" t="s">
        <v>4643</v>
      </c>
      <c r="G856" s="738" t="s">
        <v>4644</v>
      </c>
      <c r="H856" s="644" t="s">
        <v>2201</v>
      </c>
      <c r="I856" s="636" t="s">
        <v>2201</v>
      </c>
      <c r="J856" s="644"/>
      <c r="K856" s="739"/>
      <c r="L856" s="735">
        <v>9</v>
      </c>
      <c r="M856" s="736">
        <v>131280.59999999998</v>
      </c>
      <c r="N856" s="735"/>
      <c r="O856" s="735">
        <v>6</v>
      </c>
      <c r="P856" s="736">
        <v>93084.9</v>
      </c>
      <c r="Q856" s="214"/>
    </row>
    <row r="857" spans="1:17" ht="12" customHeight="1" x14ac:dyDescent="0.2">
      <c r="A857" s="735" t="s">
        <v>2169</v>
      </c>
      <c r="B857" s="735" t="s">
        <v>2170</v>
      </c>
      <c r="C857" s="735" t="s">
        <v>451</v>
      </c>
      <c r="D857" s="644" t="s">
        <v>4645</v>
      </c>
      <c r="E857" s="736">
        <v>8000</v>
      </c>
      <c r="F857" s="737" t="s">
        <v>4646</v>
      </c>
      <c r="G857" s="738" t="s">
        <v>4647</v>
      </c>
      <c r="H857" s="644" t="s">
        <v>2310</v>
      </c>
      <c r="I857" s="636" t="s">
        <v>2180</v>
      </c>
      <c r="J857" s="644" t="s">
        <v>2180</v>
      </c>
      <c r="K857" s="739"/>
      <c r="L857" s="735">
        <v>3</v>
      </c>
      <c r="M857" s="736">
        <v>24744.999999999996</v>
      </c>
      <c r="N857" s="735"/>
      <c r="O857" s="735"/>
      <c r="P857" s="736"/>
      <c r="Q857" s="214"/>
    </row>
    <row r="858" spans="1:17" ht="12" customHeight="1" x14ac:dyDescent="0.2">
      <c r="A858" s="735" t="s">
        <v>2169</v>
      </c>
      <c r="B858" s="735" t="s">
        <v>2170</v>
      </c>
      <c r="C858" s="735" t="s">
        <v>451</v>
      </c>
      <c r="D858" s="644" t="s">
        <v>2772</v>
      </c>
      <c r="E858" s="736">
        <v>5500</v>
      </c>
      <c r="F858" s="737" t="s">
        <v>4648</v>
      </c>
      <c r="G858" s="738" t="s">
        <v>4649</v>
      </c>
      <c r="H858" s="644" t="s">
        <v>2201</v>
      </c>
      <c r="I858" s="636" t="s">
        <v>2201</v>
      </c>
      <c r="J858" s="644"/>
      <c r="K858" s="739"/>
      <c r="L858" s="735">
        <v>1</v>
      </c>
      <c r="M858" s="736">
        <v>267.03000000000003</v>
      </c>
      <c r="N858" s="735"/>
      <c r="O858" s="735"/>
      <c r="P858" s="736"/>
      <c r="Q858" s="214"/>
    </row>
    <row r="859" spans="1:17" ht="12" customHeight="1" x14ac:dyDescent="0.2">
      <c r="A859" s="735" t="s">
        <v>2169</v>
      </c>
      <c r="B859" s="735" t="s">
        <v>2170</v>
      </c>
      <c r="C859" s="735" t="s">
        <v>451</v>
      </c>
      <c r="D859" s="644" t="s">
        <v>2715</v>
      </c>
      <c r="E859" s="736">
        <v>7000</v>
      </c>
      <c r="F859" s="737" t="s">
        <v>4650</v>
      </c>
      <c r="G859" s="738" t="s">
        <v>4651</v>
      </c>
      <c r="H859" s="644" t="s">
        <v>2201</v>
      </c>
      <c r="I859" s="636"/>
      <c r="J859" s="644"/>
      <c r="K859" s="739"/>
      <c r="L859" s="735">
        <v>12</v>
      </c>
      <c r="M859" s="736">
        <v>85937.939999999988</v>
      </c>
      <c r="N859" s="735"/>
      <c r="O859" s="735">
        <v>1</v>
      </c>
      <c r="P859" s="736">
        <v>9740.82</v>
      </c>
      <c r="Q859" s="214"/>
    </row>
    <row r="860" spans="1:17" ht="12" customHeight="1" x14ac:dyDescent="0.2">
      <c r="A860" s="735" t="s">
        <v>2169</v>
      </c>
      <c r="B860" s="735" t="s">
        <v>2170</v>
      </c>
      <c r="C860" s="735" t="s">
        <v>451</v>
      </c>
      <c r="D860" s="644" t="s">
        <v>4652</v>
      </c>
      <c r="E860" s="736">
        <v>8000</v>
      </c>
      <c r="F860" s="737" t="s">
        <v>4653</v>
      </c>
      <c r="G860" s="738" t="s">
        <v>4654</v>
      </c>
      <c r="H860" s="644" t="s">
        <v>2201</v>
      </c>
      <c r="I860" s="636"/>
      <c r="J860" s="644"/>
      <c r="K860" s="739"/>
      <c r="L860" s="735">
        <v>3</v>
      </c>
      <c r="M860" s="736">
        <v>24340.199999999997</v>
      </c>
      <c r="N860" s="735"/>
      <c r="O860" s="735"/>
      <c r="P860" s="736"/>
      <c r="Q860" s="214"/>
    </row>
    <row r="861" spans="1:17" ht="12" customHeight="1" x14ac:dyDescent="0.2">
      <c r="A861" s="735" t="s">
        <v>2169</v>
      </c>
      <c r="B861" s="735" t="s">
        <v>2170</v>
      </c>
      <c r="C861" s="735" t="s">
        <v>451</v>
      </c>
      <c r="D861" s="644" t="s">
        <v>4655</v>
      </c>
      <c r="E861" s="736">
        <v>10000</v>
      </c>
      <c r="F861" s="737" t="s">
        <v>4656</v>
      </c>
      <c r="G861" s="738" t="s">
        <v>4657</v>
      </c>
      <c r="H861" s="644" t="s">
        <v>4658</v>
      </c>
      <c r="I861" s="636" t="s">
        <v>2175</v>
      </c>
      <c r="J861" s="644" t="s">
        <v>4658</v>
      </c>
      <c r="K861" s="739"/>
      <c r="L861" s="735">
        <v>12</v>
      </c>
      <c r="M861" s="736">
        <v>121960.79999999997</v>
      </c>
      <c r="N861" s="735"/>
      <c r="O861" s="735">
        <v>6</v>
      </c>
      <c r="P861" s="736">
        <v>61039.87</v>
      </c>
      <c r="Q861" s="214"/>
    </row>
    <row r="862" spans="1:17" ht="12" customHeight="1" x14ac:dyDescent="0.2">
      <c r="A862" s="735" t="s">
        <v>2169</v>
      </c>
      <c r="B862" s="735" t="s">
        <v>2170</v>
      </c>
      <c r="C862" s="735" t="s">
        <v>451</v>
      </c>
      <c r="D862" s="644" t="s">
        <v>2225</v>
      </c>
      <c r="E862" s="736">
        <v>10000</v>
      </c>
      <c r="F862" s="737" t="s">
        <v>4659</v>
      </c>
      <c r="G862" s="738" t="s">
        <v>4660</v>
      </c>
      <c r="H862" s="644" t="s">
        <v>2236</v>
      </c>
      <c r="I862" s="636" t="s">
        <v>2652</v>
      </c>
      <c r="J862" s="644"/>
      <c r="K862" s="739"/>
      <c r="L862" s="735">
        <v>2</v>
      </c>
      <c r="M862" s="736">
        <v>21326.799999999999</v>
      </c>
      <c r="N862" s="735"/>
      <c r="O862" s="735">
        <v>6</v>
      </c>
      <c r="P862" s="736">
        <v>56044.9</v>
      </c>
      <c r="Q862" s="214"/>
    </row>
    <row r="863" spans="1:17" ht="12" customHeight="1" x14ac:dyDescent="0.2">
      <c r="A863" s="735" t="s">
        <v>2169</v>
      </c>
      <c r="B863" s="735" t="s">
        <v>2170</v>
      </c>
      <c r="C863" s="735" t="s">
        <v>451</v>
      </c>
      <c r="D863" s="644" t="s">
        <v>2265</v>
      </c>
      <c r="E863" s="736">
        <v>11000</v>
      </c>
      <c r="F863" s="737" t="s">
        <v>4661</v>
      </c>
      <c r="G863" s="738" t="s">
        <v>4662</v>
      </c>
      <c r="H863" s="644" t="s">
        <v>2189</v>
      </c>
      <c r="I863" s="636" t="s">
        <v>2180</v>
      </c>
      <c r="J863" s="644" t="s">
        <v>2180</v>
      </c>
      <c r="K863" s="739"/>
      <c r="L863" s="735">
        <v>12</v>
      </c>
      <c r="M863" s="736">
        <v>135310.79999999996</v>
      </c>
      <c r="N863" s="735"/>
      <c r="O863" s="735">
        <v>6</v>
      </c>
      <c r="P863" s="736">
        <v>75939.58</v>
      </c>
      <c r="Q863" s="214"/>
    </row>
    <row r="864" spans="1:17" ht="12" customHeight="1" x14ac:dyDescent="0.2">
      <c r="A864" s="735" t="s">
        <v>2169</v>
      </c>
      <c r="B864" s="735" t="s">
        <v>2170</v>
      </c>
      <c r="C864" s="735" t="s">
        <v>451</v>
      </c>
      <c r="D864" s="644" t="s">
        <v>4663</v>
      </c>
      <c r="E864" s="736">
        <v>8000</v>
      </c>
      <c r="F864" s="737" t="s">
        <v>4664</v>
      </c>
      <c r="G864" s="738" t="s">
        <v>4665</v>
      </c>
      <c r="H864" s="644" t="s">
        <v>2201</v>
      </c>
      <c r="I864" s="636"/>
      <c r="J864" s="644"/>
      <c r="K864" s="739"/>
      <c r="L864" s="735">
        <v>12</v>
      </c>
      <c r="M864" s="736">
        <v>97960.799999999988</v>
      </c>
      <c r="N864" s="735"/>
      <c r="O864" s="735">
        <v>6</v>
      </c>
      <c r="P864" s="736">
        <v>49038.58</v>
      </c>
      <c r="Q864" s="214"/>
    </row>
    <row r="865" spans="1:17" ht="12" customHeight="1" x14ac:dyDescent="0.2">
      <c r="A865" s="735" t="s">
        <v>2169</v>
      </c>
      <c r="B865" s="735" t="s">
        <v>2170</v>
      </c>
      <c r="C865" s="735" t="s">
        <v>451</v>
      </c>
      <c r="D865" s="644" t="s">
        <v>4666</v>
      </c>
      <c r="E865" s="736">
        <v>10000</v>
      </c>
      <c r="F865" s="737" t="s">
        <v>4667</v>
      </c>
      <c r="G865" s="738" t="s">
        <v>4668</v>
      </c>
      <c r="H865" s="644" t="s">
        <v>2317</v>
      </c>
      <c r="I865" s="636" t="s">
        <v>2403</v>
      </c>
      <c r="J865" s="644" t="s">
        <v>2403</v>
      </c>
      <c r="K865" s="739"/>
      <c r="L865" s="735">
        <v>12</v>
      </c>
      <c r="M865" s="736">
        <v>121582.69999999997</v>
      </c>
      <c r="N865" s="735"/>
      <c r="O865" s="735">
        <v>6</v>
      </c>
      <c r="P865" s="736">
        <v>60626.960000000006</v>
      </c>
      <c r="Q865" s="214"/>
    </row>
    <row r="866" spans="1:17" ht="12" customHeight="1" x14ac:dyDescent="0.2">
      <c r="A866" s="735" t="s">
        <v>2169</v>
      </c>
      <c r="B866" s="735" t="s">
        <v>2170</v>
      </c>
      <c r="C866" s="735" t="s">
        <v>451</v>
      </c>
      <c r="D866" s="644" t="s">
        <v>4185</v>
      </c>
      <c r="E866" s="736">
        <v>12000</v>
      </c>
      <c r="F866" s="737" t="s">
        <v>4669</v>
      </c>
      <c r="G866" s="738" t="s">
        <v>4670</v>
      </c>
      <c r="H866" s="644" t="s">
        <v>2201</v>
      </c>
      <c r="I866" s="636" t="s">
        <v>2201</v>
      </c>
      <c r="J866" s="644"/>
      <c r="K866" s="739"/>
      <c r="L866" s="735">
        <v>7</v>
      </c>
      <c r="M866" s="736">
        <v>52480.4</v>
      </c>
      <c r="N866" s="735"/>
      <c r="O866" s="735"/>
      <c r="P866" s="736"/>
      <c r="Q866" s="214"/>
    </row>
    <row r="867" spans="1:17" ht="12" customHeight="1" x14ac:dyDescent="0.2">
      <c r="A867" s="735" t="s">
        <v>2169</v>
      </c>
      <c r="B867" s="735" t="s">
        <v>2170</v>
      </c>
      <c r="C867" s="735" t="s">
        <v>451</v>
      </c>
      <c r="D867" s="644" t="s">
        <v>3578</v>
      </c>
      <c r="E867" s="736">
        <v>4000</v>
      </c>
      <c r="F867" s="737" t="s">
        <v>4671</v>
      </c>
      <c r="G867" s="738" t="s">
        <v>4672</v>
      </c>
      <c r="H867" s="644">
        <v>0</v>
      </c>
      <c r="I867" s="636">
        <v>0</v>
      </c>
      <c r="J867" s="644">
        <v>0</v>
      </c>
      <c r="K867" s="739"/>
      <c r="L867" s="735">
        <v>4</v>
      </c>
      <c r="M867" s="736">
        <v>13781.49</v>
      </c>
      <c r="N867" s="735"/>
      <c r="O867" s="735"/>
      <c r="P867" s="736"/>
      <c r="Q867" s="214"/>
    </row>
    <row r="868" spans="1:17" ht="12" customHeight="1" x14ac:dyDescent="0.2">
      <c r="A868" s="735" t="s">
        <v>2169</v>
      </c>
      <c r="B868" s="735" t="s">
        <v>2170</v>
      </c>
      <c r="C868" s="735" t="s">
        <v>451</v>
      </c>
      <c r="D868" s="644" t="s">
        <v>3096</v>
      </c>
      <c r="E868" s="736">
        <v>8000</v>
      </c>
      <c r="F868" s="737" t="s">
        <v>4673</v>
      </c>
      <c r="G868" s="738" t="s">
        <v>4674</v>
      </c>
      <c r="H868" s="644" t="s">
        <v>2201</v>
      </c>
      <c r="I868" s="636"/>
      <c r="J868" s="644"/>
      <c r="K868" s="739"/>
      <c r="L868" s="735">
        <v>12</v>
      </c>
      <c r="M868" s="736">
        <v>99372.759999999966</v>
      </c>
      <c r="N868" s="735"/>
      <c r="O868" s="735">
        <v>6</v>
      </c>
      <c r="P868" s="736">
        <v>48972.490000000005</v>
      </c>
      <c r="Q868" s="214"/>
    </row>
    <row r="869" spans="1:17" ht="12" customHeight="1" x14ac:dyDescent="0.2">
      <c r="A869" s="735" t="s">
        <v>2169</v>
      </c>
      <c r="B869" s="735" t="s">
        <v>2170</v>
      </c>
      <c r="C869" s="735" t="s">
        <v>451</v>
      </c>
      <c r="D869" s="644" t="s">
        <v>4675</v>
      </c>
      <c r="E869" s="736">
        <v>4600</v>
      </c>
      <c r="F869" s="737" t="s">
        <v>4676</v>
      </c>
      <c r="G869" s="738" t="s">
        <v>4677</v>
      </c>
      <c r="H869" s="644" t="s">
        <v>2201</v>
      </c>
      <c r="I869" s="636"/>
      <c r="J869" s="644"/>
      <c r="K869" s="739"/>
      <c r="L869" s="735">
        <v>12</v>
      </c>
      <c r="M869" s="736">
        <v>58462.600000000013</v>
      </c>
      <c r="N869" s="735"/>
      <c r="O869" s="735">
        <v>2</v>
      </c>
      <c r="P869" s="736">
        <v>10084.969999999999</v>
      </c>
      <c r="Q869" s="214"/>
    </row>
    <row r="870" spans="1:17" ht="12" customHeight="1" x14ac:dyDescent="0.2">
      <c r="A870" s="735" t="s">
        <v>2169</v>
      </c>
      <c r="B870" s="735" t="s">
        <v>2170</v>
      </c>
      <c r="C870" s="735" t="s">
        <v>451</v>
      </c>
      <c r="D870" s="644" t="s">
        <v>4678</v>
      </c>
      <c r="E870" s="736">
        <v>6000</v>
      </c>
      <c r="F870" s="737" t="s">
        <v>4679</v>
      </c>
      <c r="G870" s="738" t="s">
        <v>4680</v>
      </c>
      <c r="H870" s="644" t="s">
        <v>4681</v>
      </c>
      <c r="I870" s="636" t="s">
        <v>2180</v>
      </c>
      <c r="J870" s="644" t="s">
        <v>2180</v>
      </c>
      <c r="K870" s="739"/>
      <c r="L870" s="735">
        <v>12</v>
      </c>
      <c r="M870" s="736">
        <v>74056.460000000006</v>
      </c>
      <c r="N870" s="735"/>
      <c r="O870" s="735">
        <v>6</v>
      </c>
      <c r="P870" s="736">
        <v>36905.25</v>
      </c>
      <c r="Q870" s="214"/>
    </row>
    <row r="871" spans="1:17" ht="12" customHeight="1" x14ac:dyDescent="0.2">
      <c r="A871" s="735" t="s">
        <v>2169</v>
      </c>
      <c r="B871" s="735" t="s">
        <v>2170</v>
      </c>
      <c r="C871" s="735" t="s">
        <v>451</v>
      </c>
      <c r="D871" s="644" t="s">
        <v>2925</v>
      </c>
      <c r="E871" s="736">
        <v>13000</v>
      </c>
      <c r="F871" s="737" t="s">
        <v>4682</v>
      </c>
      <c r="G871" s="738" t="s">
        <v>4683</v>
      </c>
      <c r="H871" s="644" t="s">
        <v>2678</v>
      </c>
      <c r="I871" s="636" t="s">
        <v>2403</v>
      </c>
      <c r="J871" s="644" t="s">
        <v>2403</v>
      </c>
      <c r="K871" s="739"/>
      <c r="L871" s="735">
        <v>8</v>
      </c>
      <c r="M871" s="736">
        <v>105207.19999999998</v>
      </c>
      <c r="N871" s="735"/>
      <c r="O871" s="735"/>
      <c r="P871" s="736"/>
      <c r="Q871" s="214"/>
    </row>
    <row r="872" spans="1:17" ht="12" customHeight="1" x14ac:dyDescent="0.2">
      <c r="A872" s="735" t="s">
        <v>2169</v>
      </c>
      <c r="B872" s="735" t="s">
        <v>2170</v>
      </c>
      <c r="C872" s="735" t="s">
        <v>451</v>
      </c>
      <c r="D872" s="644" t="s">
        <v>2261</v>
      </c>
      <c r="E872" s="736">
        <v>3000</v>
      </c>
      <c r="F872" s="737" t="s">
        <v>4684</v>
      </c>
      <c r="G872" s="738" t="s">
        <v>4685</v>
      </c>
      <c r="H872" s="644" t="s">
        <v>2184</v>
      </c>
      <c r="I872" s="636" t="s">
        <v>2228</v>
      </c>
      <c r="J872" s="644" t="s">
        <v>2184</v>
      </c>
      <c r="K872" s="739"/>
      <c r="L872" s="735">
        <v>12</v>
      </c>
      <c r="M872" s="736">
        <v>37960.80000000001</v>
      </c>
      <c r="N872" s="735"/>
      <c r="O872" s="735">
        <v>6</v>
      </c>
      <c r="P872" s="736">
        <v>19044.900000000001</v>
      </c>
      <c r="Q872" s="214"/>
    </row>
    <row r="873" spans="1:17" ht="12" customHeight="1" x14ac:dyDescent="0.2">
      <c r="A873" s="735" t="s">
        <v>2169</v>
      </c>
      <c r="B873" s="735" t="s">
        <v>2170</v>
      </c>
      <c r="C873" s="735" t="s">
        <v>451</v>
      </c>
      <c r="D873" s="644" t="s">
        <v>4686</v>
      </c>
      <c r="E873" s="736">
        <v>15600</v>
      </c>
      <c r="F873" s="737" t="s">
        <v>4687</v>
      </c>
      <c r="G873" s="738" t="s">
        <v>4688</v>
      </c>
      <c r="H873" s="644" t="s">
        <v>2201</v>
      </c>
      <c r="I873" s="636" t="s">
        <v>2201</v>
      </c>
      <c r="J873" s="644"/>
      <c r="K873" s="739"/>
      <c r="L873" s="735">
        <v>5</v>
      </c>
      <c r="M873" s="736">
        <v>75547</v>
      </c>
      <c r="N873" s="735"/>
      <c r="O873" s="735"/>
      <c r="P873" s="736"/>
      <c r="Q873" s="214"/>
    </row>
    <row r="874" spans="1:17" ht="12" customHeight="1" x14ac:dyDescent="0.2">
      <c r="A874" s="735" t="s">
        <v>2169</v>
      </c>
      <c r="B874" s="735" t="s">
        <v>2170</v>
      </c>
      <c r="C874" s="735" t="s">
        <v>451</v>
      </c>
      <c r="D874" s="644" t="s">
        <v>4689</v>
      </c>
      <c r="E874" s="736">
        <v>3000</v>
      </c>
      <c r="F874" s="737" t="s">
        <v>4690</v>
      </c>
      <c r="G874" s="738" t="s">
        <v>4691</v>
      </c>
      <c r="H874" s="644" t="s">
        <v>2174</v>
      </c>
      <c r="I874" s="636" t="s">
        <v>2175</v>
      </c>
      <c r="J874" s="644"/>
      <c r="K874" s="739"/>
      <c r="L874" s="735">
        <v>5</v>
      </c>
      <c r="M874" s="736">
        <v>15867</v>
      </c>
      <c r="N874" s="735"/>
      <c r="O874" s="735">
        <v>6</v>
      </c>
      <c r="P874" s="736">
        <v>19040.38</v>
      </c>
      <c r="Q874" s="214"/>
    </row>
    <row r="875" spans="1:17" ht="12" customHeight="1" x14ac:dyDescent="0.2">
      <c r="A875" s="735" t="s">
        <v>2169</v>
      </c>
      <c r="B875" s="735" t="s">
        <v>2170</v>
      </c>
      <c r="C875" s="735" t="s">
        <v>451</v>
      </c>
      <c r="D875" s="644" t="s">
        <v>2373</v>
      </c>
      <c r="E875" s="736">
        <v>4000</v>
      </c>
      <c r="F875" s="737" t="s">
        <v>4692</v>
      </c>
      <c r="G875" s="738" t="s">
        <v>4693</v>
      </c>
      <c r="H875" s="644" t="s">
        <v>2201</v>
      </c>
      <c r="I875" s="636"/>
      <c r="J875" s="644"/>
      <c r="K875" s="739"/>
      <c r="L875" s="735">
        <v>12</v>
      </c>
      <c r="M875" s="736">
        <v>50075.630000000012</v>
      </c>
      <c r="N875" s="735"/>
      <c r="O875" s="735">
        <v>6</v>
      </c>
      <c r="P875" s="736">
        <v>24991.160000000003</v>
      </c>
      <c r="Q875" s="214"/>
    </row>
    <row r="876" spans="1:17" ht="12" customHeight="1" x14ac:dyDescent="0.2">
      <c r="A876" s="735" t="s">
        <v>2169</v>
      </c>
      <c r="B876" s="735" t="s">
        <v>2170</v>
      </c>
      <c r="C876" s="735" t="s">
        <v>451</v>
      </c>
      <c r="D876" s="644" t="s">
        <v>4694</v>
      </c>
      <c r="E876" s="736">
        <v>9500</v>
      </c>
      <c r="F876" s="737" t="s">
        <v>4695</v>
      </c>
      <c r="G876" s="738" t="s">
        <v>4696</v>
      </c>
      <c r="H876" s="644" t="s">
        <v>2317</v>
      </c>
      <c r="I876" s="636" t="s">
        <v>2180</v>
      </c>
      <c r="J876" s="644" t="s">
        <v>2180</v>
      </c>
      <c r="K876" s="739"/>
      <c r="L876" s="735">
        <v>12</v>
      </c>
      <c r="M876" s="736">
        <v>115960.79999999997</v>
      </c>
      <c r="N876" s="735"/>
      <c r="O876" s="735">
        <v>6</v>
      </c>
      <c r="P876" s="736">
        <v>42754.450000000004</v>
      </c>
      <c r="Q876" s="214"/>
    </row>
    <row r="877" spans="1:17" ht="12" customHeight="1" x14ac:dyDescent="0.2">
      <c r="A877" s="735" t="s">
        <v>2169</v>
      </c>
      <c r="B877" s="735" t="s">
        <v>2170</v>
      </c>
      <c r="C877" s="735" t="s">
        <v>451</v>
      </c>
      <c r="D877" s="644" t="s">
        <v>2225</v>
      </c>
      <c r="E877" s="736">
        <v>9500</v>
      </c>
      <c r="F877" s="737" t="s">
        <v>4697</v>
      </c>
      <c r="G877" s="738" t="s">
        <v>4698</v>
      </c>
      <c r="H877" s="644" t="s">
        <v>2236</v>
      </c>
      <c r="I877" s="636" t="s">
        <v>2180</v>
      </c>
      <c r="J877" s="644" t="s">
        <v>2180</v>
      </c>
      <c r="K877" s="739"/>
      <c r="L877" s="735">
        <v>12</v>
      </c>
      <c r="M877" s="736">
        <v>115960.79999999997</v>
      </c>
      <c r="N877" s="735"/>
      <c r="O877" s="735">
        <v>6</v>
      </c>
      <c r="P877" s="736">
        <v>58044.9</v>
      </c>
      <c r="Q877" s="214"/>
    </row>
    <row r="878" spans="1:17" ht="12" customHeight="1" x14ac:dyDescent="0.2">
      <c r="A878" s="735" t="s">
        <v>2169</v>
      </c>
      <c r="B878" s="735" t="s">
        <v>2170</v>
      </c>
      <c r="C878" s="735" t="s">
        <v>451</v>
      </c>
      <c r="D878" s="644" t="s">
        <v>4699</v>
      </c>
      <c r="E878" s="736">
        <v>11000</v>
      </c>
      <c r="F878" s="737" t="s">
        <v>4700</v>
      </c>
      <c r="G878" s="738" t="s">
        <v>4701</v>
      </c>
      <c r="H878" s="644" t="s">
        <v>4702</v>
      </c>
      <c r="I878" s="636" t="s">
        <v>2250</v>
      </c>
      <c r="J878" s="644" t="s">
        <v>2250</v>
      </c>
      <c r="K878" s="739"/>
      <c r="L878" s="735">
        <v>12</v>
      </c>
      <c r="M878" s="736">
        <v>134694.12999999998</v>
      </c>
      <c r="N878" s="735"/>
      <c r="O878" s="735">
        <v>6</v>
      </c>
      <c r="P878" s="736">
        <v>66310.78</v>
      </c>
      <c r="Q878" s="214"/>
    </row>
    <row r="879" spans="1:17" ht="12" customHeight="1" x14ac:dyDescent="0.2">
      <c r="A879" s="735" t="s">
        <v>2169</v>
      </c>
      <c r="B879" s="735" t="s">
        <v>2170</v>
      </c>
      <c r="C879" s="735" t="s">
        <v>451</v>
      </c>
      <c r="D879" s="644" t="s">
        <v>4703</v>
      </c>
      <c r="E879" s="736">
        <v>7000</v>
      </c>
      <c r="F879" s="737" t="s">
        <v>4704</v>
      </c>
      <c r="G879" s="738" t="s">
        <v>4705</v>
      </c>
      <c r="H879" s="644" t="s">
        <v>2201</v>
      </c>
      <c r="I879" s="636"/>
      <c r="J879" s="644"/>
      <c r="K879" s="739"/>
      <c r="L879" s="735">
        <v>12</v>
      </c>
      <c r="M879" s="736">
        <v>85958.26</v>
      </c>
      <c r="N879" s="735"/>
      <c r="O879" s="735">
        <v>6</v>
      </c>
      <c r="P879" s="736">
        <v>43044.9</v>
      </c>
      <c r="Q879" s="214"/>
    </row>
    <row r="880" spans="1:17" ht="12" customHeight="1" x14ac:dyDescent="0.2">
      <c r="A880" s="735" t="s">
        <v>2169</v>
      </c>
      <c r="B880" s="735" t="s">
        <v>2170</v>
      </c>
      <c r="C880" s="735" t="s">
        <v>451</v>
      </c>
      <c r="D880" s="644" t="s">
        <v>2446</v>
      </c>
      <c r="E880" s="736">
        <v>2500</v>
      </c>
      <c r="F880" s="737" t="s">
        <v>4706</v>
      </c>
      <c r="G880" s="738" t="s">
        <v>4707</v>
      </c>
      <c r="H880" s="644" t="s">
        <v>2253</v>
      </c>
      <c r="I880" s="636" t="s">
        <v>2254</v>
      </c>
      <c r="J880" s="644" t="s">
        <v>2254</v>
      </c>
      <c r="K880" s="739"/>
      <c r="L880" s="735">
        <v>12</v>
      </c>
      <c r="M880" s="736">
        <v>31960.800000000007</v>
      </c>
      <c r="N880" s="735"/>
      <c r="O880" s="735">
        <v>6</v>
      </c>
      <c r="P880" s="736">
        <v>16044.9</v>
      </c>
      <c r="Q880" s="214"/>
    </row>
    <row r="881" spans="1:17" ht="12" customHeight="1" x14ac:dyDescent="0.2">
      <c r="A881" s="735" t="s">
        <v>2169</v>
      </c>
      <c r="B881" s="735" t="s">
        <v>2170</v>
      </c>
      <c r="C881" s="735" t="s">
        <v>451</v>
      </c>
      <c r="D881" s="644" t="s">
        <v>4708</v>
      </c>
      <c r="E881" s="736">
        <v>9500</v>
      </c>
      <c r="F881" s="737" t="s">
        <v>4709</v>
      </c>
      <c r="G881" s="738" t="s">
        <v>4710</v>
      </c>
      <c r="H881" s="644" t="s">
        <v>2201</v>
      </c>
      <c r="I881" s="636"/>
      <c r="J881" s="644"/>
      <c r="K881" s="739"/>
      <c r="L881" s="735">
        <v>12</v>
      </c>
      <c r="M881" s="736">
        <v>115960.79999999997</v>
      </c>
      <c r="N881" s="735"/>
      <c r="O881" s="735">
        <v>6</v>
      </c>
      <c r="P881" s="736">
        <v>58044.9</v>
      </c>
      <c r="Q881" s="214"/>
    </row>
    <row r="882" spans="1:17" ht="12" customHeight="1" x14ac:dyDescent="0.2">
      <c r="A882" s="735" t="s">
        <v>2169</v>
      </c>
      <c r="B882" s="735" t="s">
        <v>2170</v>
      </c>
      <c r="C882" s="735" t="s">
        <v>451</v>
      </c>
      <c r="D882" s="644" t="s">
        <v>3852</v>
      </c>
      <c r="E882" s="736">
        <v>9000</v>
      </c>
      <c r="F882" s="737" t="s">
        <v>4711</v>
      </c>
      <c r="G882" s="738" t="s">
        <v>4712</v>
      </c>
      <c r="H882" s="644" t="s">
        <v>2174</v>
      </c>
      <c r="I882" s="636" t="s">
        <v>2175</v>
      </c>
      <c r="J882" s="644" t="s">
        <v>2174</v>
      </c>
      <c r="K882" s="739"/>
      <c r="L882" s="735">
        <v>12</v>
      </c>
      <c r="M882" s="736">
        <v>109960.79999999997</v>
      </c>
      <c r="N882" s="735"/>
      <c r="O882" s="735">
        <v>6</v>
      </c>
      <c r="P882" s="736">
        <v>55044.9</v>
      </c>
      <c r="Q882" s="214"/>
    </row>
    <row r="883" spans="1:17" ht="12" customHeight="1" x14ac:dyDescent="0.2">
      <c r="A883" s="735" t="s">
        <v>2169</v>
      </c>
      <c r="B883" s="735" t="s">
        <v>2170</v>
      </c>
      <c r="C883" s="735" t="s">
        <v>451</v>
      </c>
      <c r="D883" s="644" t="s">
        <v>4713</v>
      </c>
      <c r="E883" s="736">
        <v>12000</v>
      </c>
      <c r="F883" s="737" t="s">
        <v>4714</v>
      </c>
      <c r="G883" s="738" t="s">
        <v>4715</v>
      </c>
      <c r="H883" s="644" t="s">
        <v>2201</v>
      </c>
      <c r="I883" s="636" t="s">
        <v>2201</v>
      </c>
      <c r="J883" s="644"/>
      <c r="K883" s="739"/>
      <c r="L883" s="735">
        <v>9</v>
      </c>
      <c r="M883" s="736">
        <v>109507.19999999998</v>
      </c>
      <c r="N883" s="735"/>
      <c r="O883" s="735">
        <v>3</v>
      </c>
      <c r="P883" s="736">
        <v>35495.729999999996</v>
      </c>
      <c r="Q883" s="214"/>
    </row>
    <row r="884" spans="1:17" ht="12" customHeight="1" x14ac:dyDescent="0.2">
      <c r="A884" s="735" t="s">
        <v>2169</v>
      </c>
      <c r="B884" s="735" t="s">
        <v>2170</v>
      </c>
      <c r="C884" s="735" t="s">
        <v>451</v>
      </c>
      <c r="D884" s="644" t="s">
        <v>4716</v>
      </c>
      <c r="E884" s="736">
        <v>8000</v>
      </c>
      <c r="F884" s="737" t="s">
        <v>4717</v>
      </c>
      <c r="G884" s="738" t="s">
        <v>4718</v>
      </c>
      <c r="H884" s="644" t="s">
        <v>2201</v>
      </c>
      <c r="I884" s="636"/>
      <c r="J884" s="644"/>
      <c r="K884" s="739"/>
      <c r="L884" s="735">
        <v>12</v>
      </c>
      <c r="M884" s="736">
        <v>99400.799999999974</v>
      </c>
      <c r="N884" s="735"/>
      <c r="O884" s="735">
        <v>6</v>
      </c>
      <c r="P884" s="736">
        <v>49044.33</v>
      </c>
      <c r="Q884" s="214"/>
    </row>
    <row r="885" spans="1:17" ht="12" customHeight="1" x14ac:dyDescent="0.2">
      <c r="A885" s="735" t="s">
        <v>2169</v>
      </c>
      <c r="B885" s="735" t="s">
        <v>2170</v>
      </c>
      <c r="C885" s="735" t="s">
        <v>451</v>
      </c>
      <c r="D885" s="644" t="s">
        <v>2225</v>
      </c>
      <c r="E885" s="736">
        <v>8000</v>
      </c>
      <c r="F885" s="737" t="s">
        <v>4719</v>
      </c>
      <c r="G885" s="738" t="s">
        <v>4720</v>
      </c>
      <c r="H885" s="644" t="s">
        <v>2179</v>
      </c>
      <c r="I885" s="636" t="s">
        <v>2175</v>
      </c>
      <c r="J885" s="644"/>
      <c r="K885" s="739"/>
      <c r="L885" s="735">
        <v>6</v>
      </c>
      <c r="M885" s="736">
        <v>50467</v>
      </c>
      <c r="N885" s="735"/>
      <c r="O885" s="735">
        <v>6</v>
      </c>
      <c r="P885" s="736">
        <v>48733.4</v>
      </c>
      <c r="Q885" s="214"/>
    </row>
    <row r="886" spans="1:17" ht="12" customHeight="1" x14ac:dyDescent="0.2">
      <c r="A886" s="735" t="s">
        <v>2169</v>
      </c>
      <c r="B886" s="735" t="s">
        <v>2170</v>
      </c>
      <c r="C886" s="735" t="s">
        <v>451</v>
      </c>
      <c r="D886" s="644" t="s">
        <v>4721</v>
      </c>
      <c r="E886" s="736">
        <v>12000</v>
      </c>
      <c r="F886" s="737" t="s">
        <v>4722</v>
      </c>
      <c r="G886" s="738" t="s">
        <v>4723</v>
      </c>
      <c r="H886" s="644" t="s">
        <v>2201</v>
      </c>
      <c r="I886" s="636"/>
      <c r="J886" s="644"/>
      <c r="K886" s="739"/>
      <c r="L886" s="735">
        <v>12</v>
      </c>
      <c r="M886" s="736">
        <v>146717.25999999998</v>
      </c>
      <c r="N886" s="735"/>
      <c r="O886" s="735">
        <v>6</v>
      </c>
      <c r="P886" s="736">
        <v>72502.66</v>
      </c>
      <c r="Q886" s="214"/>
    </row>
    <row r="887" spans="1:17" ht="12" customHeight="1" x14ac:dyDescent="0.2">
      <c r="A887" s="735" t="s">
        <v>2169</v>
      </c>
      <c r="B887" s="735" t="s">
        <v>2170</v>
      </c>
      <c r="C887" s="735" t="s">
        <v>451</v>
      </c>
      <c r="D887" s="644" t="s">
        <v>4724</v>
      </c>
      <c r="E887" s="736">
        <v>6000</v>
      </c>
      <c r="F887" s="737" t="s">
        <v>4725</v>
      </c>
      <c r="G887" s="738" t="s">
        <v>4726</v>
      </c>
      <c r="H887" s="644" t="s">
        <v>2625</v>
      </c>
      <c r="I887" s="636" t="s">
        <v>2250</v>
      </c>
      <c r="J887" s="644" t="s">
        <v>2250</v>
      </c>
      <c r="K887" s="739"/>
      <c r="L887" s="735">
        <v>12</v>
      </c>
      <c r="M887" s="736">
        <v>73941.75</v>
      </c>
      <c r="N887" s="735"/>
      <c r="O887" s="735">
        <v>6</v>
      </c>
      <c r="P887" s="736">
        <v>37028.530000000006</v>
      </c>
      <c r="Q887" s="214"/>
    </row>
    <row r="888" spans="1:17" ht="12" customHeight="1" x14ac:dyDescent="0.2">
      <c r="A888" s="735" t="s">
        <v>2169</v>
      </c>
      <c r="B888" s="735" t="s">
        <v>2170</v>
      </c>
      <c r="C888" s="735" t="s">
        <v>451</v>
      </c>
      <c r="D888" s="644" t="s">
        <v>2630</v>
      </c>
      <c r="E888" s="736">
        <v>8000</v>
      </c>
      <c r="F888" s="737" t="s">
        <v>4727</v>
      </c>
      <c r="G888" s="738" t="s">
        <v>4728</v>
      </c>
      <c r="H888" s="644" t="s">
        <v>2201</v>
      </c>
      <c r="I888" s="636"/>
      <c r="J888" s="644"/>
      <c r="K888" s="739"/>
      <c r="L888" s="735">
        <v>12</v>
      </c>
      <c r="M888" s="736">
        <v>97960.069999999992</v>
      </c>
      <c r="N888" s="735"/>
      <c r="O888" s="735">
        <v>2</v>
      </c>
      <c r="P888" s="736">
        <v>19392.169999999998</v>
      </c>
      <c r="Q888" s="214"/>
    </row>
    <row r="889" spans="1:17" ht="12" customHeight="1" x14ac:dyDescent="0.2">
      <c r="A889" s="735" t="s">
        <v>2169</v>
      </c>
      <c r="B889" s="735" t="s">
        <v>2170</v>
      </c>
      <c r="C889" s="735" t="s">
        <v>451</v>
      </c>
      <c r="D889" s="644" t="s">
        <v>4729</v>
      </c>
      <c r="E889" s="736">
        <v>5000</v>
      </c>
      <c r="F889" s="737" t="s">
        <v>4730</v>
      </c>
      <c r="G889" s="738" t="s">
        <v>4731</v>
      </c>
      <c r="H889" s="644" t="s">
        <v>4732</v>
      </c>
      <c r="I889" s="636" t="s">
        <v>3025</v>
      </c>
      <c r="J889" s="644"/>
      <c r="K889" s="739"/>
      <c r="L889" s="735">
        <v>4</v>
      </c>
      <c r="M889" s="736">
        <v>20206.87</v>
      </c>
      <c r="N889" s="735"/>
      <c r="O889" s="735">
        <v>6</v>
      </c>
      <c r="P889" s="736">
        <v>30977.370000000003</v>
      </c>
      <c r="Q889" s="214"/>
    </row>
    <row r="890" spans="1:17" ht="12" customHeight="1" x14ac:dyDescent="0.2">
      <c r="A890" s="735" t="s">
        <v>2169</v>
      </c>
      <c r="B890" s="735" t="s">
        <v>2170</v>
      </c>
      <c r="C890" s="735" t="s">
        <v>451</v>
      </c>
      <c r="D890" s="644" t="s">
        <v>3724</v>
      </c>
      <c r="E890" s="736">
        <v>9000</v>
      </c>
      <c r="F890" s="737" t="s">
        <v>4733</v>
      </c>
      <c r="G890" s="738" t="s">
        <v>4734</v>
      </c>
      <c r="H890" s="644" t="s">
        <v>2179</v>
      </c>
      <c r="I890" s="636" t="s">
        <v>2250</v>
      </c>
      <c r="J890" s="644" t="s">
        <v>2250</v>
      </c>
      <c r="K890" s="739"/>
      <c r="L890" s="735">
        <v>12</v>
      </c>
      <c r="M890" s="736">
        <v>105481.41999999998</v>
      </c>
      <c r="N890" s="735"/>
      <c r="O890" s="735">
        <v>6</v>
      </c>
      <c r="P890" s="736">
        <v>54944.69</v>
      </c>
      <c r="Q890" s="214"/>
    </row>
    <row r="891" spans="1:17" ht="12" customHeight="1" x14ac:dyDescent="0.2">
      <c r="A891" s="735" t="s">
        <v>2169</v>
      </c>
      <c r="B891" s="735" t="s">
        <v>2170</v>
      </c>
      <c r="C891" s="735" t="s">
        <v>451</v>
      </c>
      <c r="D891" s="644" t="s">
        <v>4735</v>
      </c>
      <c r="E891" s="736">
        <v>15600</v>
      </c>
      <c r="F891" s="737" t="s">
        <v>4736</v>
      </c>
      <c r="G891" s="738" t="s">
        <v>4737</v>
      </c>
      <c r="H891" s="644" t="s">
        <v>2201</v>
      </c>
      <c r="I891" s="636"/>
      <c r="J891" s="644"/>
      <c r="K891" s="739"/>
      <c r="L891" s="735">
        <v>10</v>
      </c>
      <c r="M891" s="736">
        <v>130113.99999999997</v>
      </c>
      <c r="N891" s="735"/>
      <c r="O891" s="735"/>
      <c r="P891" s="736"/>
      <c r="Q891" s="214"/>
    </row>
    <row r="892" spans="1:17" ht="12" customHeight="1" x14ac:dyDescent="0.2">
      <c r="A892" s="735" t="s">
        <v>2169</v>
      </c>
      <c r="B892" s="735" t="s">
        <v>2170</v>
      </c>
      <c r="C892" s="735" t="s">
        <v>451</v>
      </c>
      <c r="D892" s="644" t="s">
        <v>2369</v>
      </c>
      <c r="E892" s="736">
        <v>4000</v>
      </c>
      <c r="F892" s="737" t="s">
        <v>4738</v>
      </c>
      <c r="G892" s="738" t="s">
        <v>4739</v>
      </c>
      <c r="H892" s="644" t="s">
        <v>4740</v>
      </c>
      <c r="I892" s="636" t="s">
        <v>2254</v>
      </c>
      <c r="J892" s="644" t="s">
        <v>2254</v>
      </c>
      <c r="K892" s="739"/>
      <c r="L892" s="735">
        <v>12</v>
      </c>
      <c r="M892" s="736">
        <v>50076.72</v>
      </c>
      <c r="N892" s="735"/>
      <c r="O892" s="735">
        <v>6</v>
      </c>
      <c r="P892" s="736">
        <v>24440.300000000003</v>
      </c>
      <c r="Q892" s="214"/>
    </row>
    <row r="893" spans="1:17" ht="12" customHeight="1" x14ac:dyDescent="0.2">
      <c r="A893" s="735" t="s">
        <v>2169</v>
      </c>
      <c r="B893" s="735" t="s">
        <v>2170</v>
      </c>
      <c r="C893" s="735" t="s">
        <v>451</v>
      </c>
      <c r="D893" s="644" t="s">
        <v>2202</v>
      </c>
      <c r="E893" s="736">
        <v>2000</v>
      </c>
      <c r="F893" s="737" t="s">
        <v>4741</v>
      </c>
      <c r="G893" s="738" t="s">
        <v>4742</v>
      </c>
      <c r="H893" s="644" t="s">
        <v>2184</v>
      </c>
      <c r="I893" s="636" t="s">
        <v>3709</v>
      </c>
      <c r="J893" s="644" t="s">
        <v>3709</v>
      </c>
      <c r="K893" s="739"/>
      <c r="L893" s="735">
        <v>9</v>
      </c>
      <c r="M893" s="736">
        <v>19320.600000000002</v>
      </c>
      <c r="N893" s="735"/>
      <c r="O893" s="735"/>
      <c r="P893" s="736"/>
      <c r="Q893" s="214"/>
    </row>
    <row r="894" spans="1:17" ht="12" customHeight="1" x14ac:dyDescent="0.2">
      <c r="A894" s="735" t="s">
        <v>2169</v>
      </c>
      <c r="B894" s="735" t="s">
        <v>2170</v>
      </c>
      <c r="C894" s="735" t="s">
        <v>451</v>
      </c>
      <c r="D894" s="644" t="s">
        <v>4743</v>
      </c>
      <c r="E894" s="736">
        <v>6500</v>
      </c>
      <c r="F894" s="737" t="s">
        <v>4744</v>
      </c>
      <c r="G894" s="738" t="s">
        <v>4745</v>
      </c>
      <c r="H894" s="644" t="s">
        <v>3178</v>
      </c>
      <c r="I894" s="636" t="s">
        <v>2284</v>
      </c>
      <c r="J894" s="644" t="s">
        <v>2284</v>
      </c>
      <c r="K894" s="739"/>
      <c r="L894" s="735">
        <v>12</v>
      </c>
      <c r="M894" s="736">
        <v>79960.799999999988</v>
      </c>
      <c r="N894" s="735"/>
      <c r="O894" s="735">
        <v>6</v>
      </c>
      <c r="P894" s="736">
        <v>39963.18</v>
      </c>
      <c r="Q894" s="214"/>
    </row>
    <row r="895" spans="1:17" ht="12" customHeight="1" x14ac:dyDescent="0.2">
      <c r="A895" s="735" t="s">
        <v>2169</v>
      </c>
      <c r="B895" s="735" t="s">
        <v>2170</v>
      </c>
      <c r="C895" s="735" t="s">
        <v>451</v>
      </c>
      <c r="D895" s="644" t="s">
        <v>4746</v>
      </c>
      <c r="E895" s="736">
        <v>7000</v>
      </c>
      <c r="F895" s="737" t="s">
        <v>4747</v>
      </c>
      <c r="G895" s="738" t="s">
        <v>4748</v>
      </c>
      <c r="H895" s="644" t="s">
        <v>2179</v>
      </c>
      <c r="I895" s="636" t="s">
        <v>2250</v>
      </c>
      <c r="J895" s="644" t="s">
        <v>2250</v>
      </c>
      <c r="K895" s="739"/>
      <c r="L895" s="735">
        <v>12</v>
      </c>
      <c r="M895" s="736">
        <v>86187.779999999984</v>
      </c>
      <c r="N895" s="735"/>
      <c r="O895" s="735">
        <v>6</v>
      </c>
      <c r="P895" s="736">
        <v>42955.89</v>
      </c>
      <c r="Q895" s="214"/>
    </row>
    <row r="896" spans="1:17" ht="12" customHeight="1" x14ac:dyDescent="0.2">
      <c r="A896" s="735" t="s">
        <v>2169</v>
      </c>
      <c r="B896" s="735" t="s">
        <v>2170</v>
      </c>
      <c r="C896" s="735" t="s">
        <v>451</v>
      </c>
      <c r="D896" s="644" t="s">
        <v>2269</v>
      </c>
      <c r="E896" s="736">
        <v>9200</v>
      </c>
      <c r="F896" s="737" t="s">
        <v>4749</v>
      </c>
      <c r="G896" s="738" t="s">
        <v>4750</v>
      </c>
      <c r="H896" s="644" t="s">
        <v>2201</v>
      </c>
      <c r="I896" s="636"/>
      <c r="J896" s="644"/>
      <c r="K896" s="739"/>
      <c r="L896" s="735">
        <v>12</v>
      </c>
      <c r="M896" s="736">
        <v>114042.24999999997</v>
      </c>
      <c r="N896" s="735"/>
      <c r="O896" s="735">
        <v>6</v>
      </c>
      <c r="P896" s="736">
        <v>55147.780000000006</v>
      </c>
      <c r="Q896" s="214"/>
    </row>
    <row r="897" spans="1:17" ht="12" customHeight="1" x14ac:dyDescent="0.2">
      <c r="A897" s="735" t="s">
        <v>2169</v>
      </c>
      <c r="B897" s="735" t="s">
        <v>2170</v>
      </c>
      <c r="C897" s="735" t="s">
        <v>451</v>
      </c>
      <c r="D897" s="644" t="s">
        <v>4729</v>
      </c>
      <c r="E897" s="736">
        <v>5000</v>
      </c>
      <c r="F897" s="737" t="s">
        <v>4751</v>
      </c>
      <c r="G897" s="738" t="s">
        <v>4752</v>
      </c>
      <c r="H897" s="644" t="s">
        <v>2201</v>
      </c>
      <c r="I897" s="636"/>
      <c r="J897" s="644"/>
      <c r="K897" s="739"/>
      <c r="L897" s="735">
        <v>7</v>
      </c>
      <c r="M897" s="736">
        <v>32064.1</v>
      </c>
      <c r="N897" s="735"/>
      <c r="O897" s="735"/>
      <c r="P897" s="736"/>
      <c r="Q897" s="214"/>
    </row>
    <row r="898" spans="1:17" ht="12" customHeight="1" x14ac:dyDescent="0.2">
      <c r="A898" s="735" t="s">
        <v>2169</v>
      </c>
      <c r="B898" s="735" t="s">
        <v>2170</v>
      </c>
      <c r="C898" s="735" t="s">
        <v>451</v>
      </c>
      <c r="D898" s="644" t="s">
        <v>3578</v>
      </c>
      <c r="E898" s="736">
        <v>4000</v>
      </c>
      <c r="F898" s="737" t="s">
        <v>4753</v>
      </c>
      <c r="G898" s="738" t="s">
        <v>4754</v>
      </c>
      <c r="H898" s="644" t="s">
        <v>2201</v>
      </c>
      <c r="I898" s="636" t="s">
        <v>2201</v>
      </c>
      <c r="J898" s="644"/>
      <c r="K898" s="739"/>
      <c r="L898" s="735">
        <v>6</v>
      </c>
      <c r="M898" s="736">
        <v>24047.07</v>
      </c>
      <c r="N898" s="735"/>
      <c r="O898" s="735">
        <v>3</v>
      </c>
      <c r="P898" s="736">
        <v>7997.64</v>
      </c>
      <c r="Q898" s="214"/>
    </row>
    <row r="899" spans="1:17" ht="12" customHeight="1" x14ac:dyDescent="0.2">
      <c r="A899" s="735" t="s">
        <v>2169</v>
      </c>
      <c r="B899" s="735" t="s">
        <v>2170</v>
      </c>
      <c r="C899" s="735" t="s">
        <v>451</v>
      </c>
      <c r="D899" s="644" t="s">
        <v>3093</v>
      </c>
      <c r="E899" s="736">
        <v>8000</v>
      </c>
      <c r="F899" s="737" t="s">
        <v>4755</v>
      </c>
      <c r="G899" s="738" t="s">
        <v>4756</v>
      </c>
      <c r="H899" s="644" t="s">
        <v>2208</v>
      </c>
      <c r="I899" s="636" t="s">
        <v>2250</v>
      </c>
      <c r="J899" s="644" t="s">
        <v>2250</v>
      </c>
      <c r="K899" s="739"/>
      <c r="L899" s="735">
        <v>12</v>
      </c>
      <c r="M899" s="736">
        <v>97960.799999999988</v>
      </c>
      <c r="N899" s="735"/>
      <c r="O899" s="735">
        <v>6</v>
      </c>
      <c r="P899" s="736">
        <v>49035.130000000005</v>
      </c>
      <c r="Q899" s="214"/>
    </row>
    <row r="900" spans="1:17" ht="12" customHeight="1" x14ac:dyDescent="0.2">
      <c r="A900" s="735" t="s">
        <v>2169</v>
      </c>
      <c r="B900" s="735" t="s">
        <v>2170</v>
      </c>
      <c r="C900" s="735" t="s">
        <v>451</v>
      </c>
      <c r="D900" s="644" t="s">
        <v>4757</v>
      </c>
      <c r="E900" s="736">
        <v>15600</v>
      </c>
      <c r="F900" s="737" t="s">
        <v>4758</v>
      </c>
      <c r="G900" s="738" t="s">
        <v>4759</v>
      </c>
      <c r="H900" s="644" t="s">
        <v>2197</v>
      </c>
      <c r="I900" s="636" t="s">
        <v>2180</v>
      </c>
      <c r="J900" s="644" t="s">
        <v>2180</v>
      </c>
      <c r="K900" s="739"/>
      <c r="L900" s="735">
        <v>2</v>
      </c>
      <c r="M900" s="736">
        <v>32262.959999999999</v>
      </c>
      <c r="N900" s="735"/>
      <c r="O900" s="735"/>
      <c r="P900" s="736"/>
      <c r="Q900" s="214"/>
    </row>
    <row r="901" spans="1:17" ht="12" customHeight="1" x14ac:dyDescent="0.2">
      <c r="A901" s="735" t="s">
        <v>2169</v>
      </c>
      <c r="B901" s="735" t="s">
        <v>2170</v>
      </c>
      <c r="C901" s="735" t="s">
        <v>451</v>
      </c>
      <c r="D901" s="644" t="s">
        <v>3873</v>
      </c>
      <c r="E901" s="736">
        <v>3200</v>
      </c>
      <c r="F901" s="737" t="s">
        <v>4760</v>
      </c>
      <c r="G901" s="738" t="s">
        <v>4761</v>
      </c>
      <c r="H901" s="644" t="s">
        <v>4762</v>
      </c>
      <c r="I901" s="636" t="s">
        <v>2284</v>
      </c>
      <c r="J901" s="644" t="s">
        <v>2284</v>
      </c>
      <c r="K901" s="739"/>
      <c r="L901" s="735">
        <v>12</v>
      </c>
      <c r="M901" s="736">
        <v>40344.260000000009</v>
      </c>
      <c r="N901" s="735"/>
      <c r="O901" s="735">
        <v>6</v>
      </c>
      <c r="P901" s="736">
        <v>20193.870000000003</v>
      </c>
      <c r="Q901" s="214"/>
    </row>
    <row r="902" spans="1:17" ht="12" customHeight="1" x14ac:dyDescent="0.2">
      <c r="A902" s="735" t="s">
        <v>2169</v>
      </c>
      <c r="B902" s="735" t="s">
        <v>2170</v>
      </c>
      <c r="C902" s="735" t="s">
        <v>451</v>
      </c>
      <c r="D902" s="644" t="s">
        <v>2630</v>
      </c>
      <c r="E902" s="736">
        <v>8000</v>
      </c>
      <c r="F902" s="737" t="s">
        <v>4763</v>
      </c>
      <c r="G902" s="738" t="s">
        <v>4764</v>
      </c>
      <c r="H902" s="644" t="s">
        <v>2317</v>
      </c>
      <c r="I902" s="636" t="s">
        <v>2250</v>
      </c>
      <c r="J902" s="644" t="s">
        <v>2250</v>
      </c>
      <c r="K902" s="739"/>
      <c r="L902" s="735">
        <v>12</v>
      </c>
      <c r="M902" s="736">
        <v>97727.119999999981</v>
      </c>
      <c r="N902" s="735"/>
      <c r="O902" s="735">
        <v>6</v>
      </c>
      <c r="P902" s="736">
        <v>49029.960000000006</v>
      </c>
      <c r="Q902" s="214"/>
    </row>
    <row r="903" spans="1:17" ht="12" customHeight="1" x14ac:dyDescent="0.2">
      <c r="A903" s="735" t="s">
        <v>2169</v>
      </c>
      <c r="B903" s="735" t="s">
        <v>2170</v>
      </c>
      <c r="C903" s="735" t="s">
        <v>451</v>
      </c>
      <c r="D903" s="644" t="s">
        <v>2772</v>
      </c>
      <c r="E903" s="736">
        <v>7000</v>
      </c>
      <c r="F903" s="737" t="s">
        <v>4765</v>
      </c>
      <c r="G903" s="738" t="s">
        <v>4766</v>
      </c>
      <c r="H903" s="644" t="s">
        <v>2569</v>
      </c>
      <c r="I903" s="636" t="s">
        <v>2393</v>
      </c>
      <c r="J903" s="644" t="s">
        <v>2393</v>
      </c>
      <c r="K903" s="739"/>
      <c r="L903" s="735">
        <v>12</v>
      </c>
      <c r="M903" s="736">
        <v>85960.799999999988</v>
      </c>
      <c r="N903" s="735"/>
      <c r="O903" s="735">
        <v>6</v>
      </c>
      <c r="P903" s="736">
        <v>42783.91</v>
      </c>
      <c r="Q903" s="214"/>
    </row>
    <row r="904" spans="1:17" ht="12" customHeight="1" x14ac:dyDescent="0.2">
      <c r="A904" s="735" t="s">
        <v>2169</v>
      </c>
      <c r="B904" s="735" t="s">
        <v>2170</v>
      </c>
      <c r="C904" s="735" t="s">
        <v>451</v>
      </c>
      <c r="D904" s="644" t="s">
        <v>4767</v>
      </c>
      <c r="E904" s="736">
        <v>7000</v>
      </c>
      <c r="F904" s="737" t="s">
        <v>4768</v>
      </c>
      <c r="G904" s="738" t="s">
        <v>4769</v>
      </c>
      <c r="H904" s="644" t="s">
        <v>4770</v>
      </c>
      <c r="I904" s="636" t="s">
        <v>2180</v>
      </c>
      <c r="J904" s="644" t="s">
        <v>2180</v>
      </c>
      <c r="K904" s="739"/>
      <c r="L904" s="735">
        <v>12</v>
      </c>
      <c r="M904" s="736">
        <v>85914.45</v>
      </c>
      <c r="N904" s="735"/>
      <c r="O904" s="735">
        <v>6</v>
      </c>
      <c r="P904" s="736">
        <v>42983.560000000005</v>
      </c>
      <c r="Q904" s="214"/>
    </row>
    <row r="905" spans="1:17" ht="12" customHeight="1" x14ac:dyDescent="0.2">
      <c r="A905" s="735" t="s">
        <v>2169</v>
      </c>
      <c r="B905" s="735" t="s">
        <v>2170</v>
      </c>
      <c r="C905" s="735" t="s">
        <v>451</v>
      </c>
      <c r="D905" s="644" t="s">
        <v>2225</v>
      </c>
      <c r="E905" s="736">
        <v>12000</v>
      </c>
      <c r="F905" s="737" t="s">
        <v>4771</v>
      </c>
      <c r="G905" s="738" t="s">
        <v>4772</v>
      </c>
      <c r="H905" s="644">
        <v>0</v>
      </c>
      <c r="I905" s="636">
        <v>0</v>
      </c>
      <c r="J905" s="644">
        <v>0</v>
      </c>
      <c r="K905" s="739"/>
      <c r="L905" s="735">
        <v>4</v>
      </c>
      <c r="M905" s="736">
        <v>42853.599999999999</v>
      </c>
      <c r="N905" s="735"/>
      <c r="O905" s="735"/>
      <c r="P905" s="736"/>
      <c r="Q905" s="214"/>
    </row>
    <row r="906" spans="1:17" ht="12" customHeight="1" x14ac:dyDescent="0.2">
      <c r="A906" s="735" t="s">
        <v>2169</v>
      </c>
      <c r="B906" s="735" t="s">
        <v>2170</v>
      </c>
      <c r="C906" s="735" t="s">
        <v>451</v>
      </c>
      <c r="D906" s="644" t="s">
        <v>4773</v>
      </c>
      <c r="E906" s="736">
        <v>6000</v>
      </c>
      <c r="F906" s="737" t="s">
        <v>4774</v>
      </c>
      <c r="G906" s="738" t="s">
        <v>4775</v>
      </c>
      <c r="H906" s="644" t="s">
        <v>3567</v>
      </c>
      <c r="I906" s="636" t="s">
        <v>2403</v>
      </c>
      <c r="J906" s="644" t="s">
        <v>2403</v>
      </c>
      <c r="K906" s="739"/>
      <c r="L906" s="735">
        <v>12</v>
      </c>
      <c r="M906" s="736">
        <v>73960.800000000003</v>
      </c>
      <c r="N906" s="735"/>
      <c r="O906" s="735">
        <v>6</v>
      </c>
      <c r="P906" s="736">
        <v>37031.54</v>
      </c>
      <c r="Q906" s="214"/>
    </row>
    <row r="907" spans="1:17" ht="12" customHeight="1" x14ac:dyDescent="0.2">
      <c r="A907" s="735" t="s">
        <v>2169</v>
      </c>
      <c r="B907" s="735" t="s">
        <v>2170</v>
      </c>
      <c r="C907" s="735" t="s">
        <v>451</v>
      </c>
      <c r="D907" s="644" t="s">
        <v>4776</v>
      </c>
      <c r="E907" s="736">
        <v>9000</v>
      </c>
      <c r="F907" s="737" t="s">
        <v>4777</v>
      </c>
      <c r="G907" s="738" t="s">
        <v>4778</v>
      </c>
      <c r="H907" s="644" t="s">
        <v>2796</v>
      </c>
      <c r="I907" s="636" t="s">
        <v>2228</v>
      </c>
      <c r="J907" s="644"/>
      <c r="K907" s="739"/>
      <c r="L907" s="735">
        <v>2</v>
      </c>
      <c r="M907" s="736">
        <v>17026.8</v>
      </c>
      <c r="N907" s="735"/>
      <c r="O907" s="735">
        <v>6</v>
      </c>
      <c r="P907" s="736">
        <v>55031.310000000005</v>
      </c>
      <c r="Q907" s="214"/>
    </row>
    <row r="908" spans="1:17" ht="12" customHeight="1" x14ac:dyDescent="0.2">
      <c r="A908" s="735" t="s">
        <v>2169</v>
      </c>
      <c r="B908" s="735" t="s">
        <v>2232</v>
      </c>
      <c r="C908" s="735" t="s">
        <v>451</v>
      </c>
      <c r="D908" s="644" t="s">
        <v>4779</v>
      </c>
      <c r="E908" s="736">
        <v>4500</v>
      </c>
      <c r="F908" s="737" t="s">
        <v>4780</v>
      </c>
      <c r="G908" s="738" t="s">
        <v>4781</v>
      </c>
      <c r="H908" s="644" t="s">
        <v>4782</v>
      </c>
      <c r="I908" s="636" t="s">
        <v>3256</v>
      </c>
      <c r="J908" s="644" t="s">
        <v>4782</v>
      </c>
      <c r="K908" s="739"/>
      <c r="L908" s="735">
        <v>11</v>
      </c>
      <c r="M908" s="736">
        <v>49674.000000000007</v>
      </c>
      <c r="N908" s="735"/>
      <c r="O908" s="735">
        <v>5</v>
      </c>
      <c r="P908" s="736">
        <v>23217.839999999997</v>
      </c>
      <c r="Q908" s="214"/>
    </row>
    <row r="909" spans="1:17" ht="12" customHeight="1" x14ac:dyDescent="0.2">
      <c r="A909" s="735" t="s">
        <v>2169</v>
      </c>
      <c r="B909" s="735" t="s">
        <v>2170</v>
      </c>
      <c r="C909" s="735" t="s">
        <v>451</v>
      </c>
      <c r="D909" s="644" t="s">
        <v>2181</v>
      </c>
      <c r="E909" s="736">
        <v>3000</v>
      </c>
      <c r="F909" s="737" t="s">
        <v>4783</v>
      </c>
      <c r="G909" s="738" t="s">
        <v>4784</v>
      </c>
      <c r="H909" s="644" t="s">
        <v>2201</v>
      </c>
      <c r="I909" s="636"/>
      <c r="J909" s="644"/>
      <c r="K909" s="739"/>
      <c r="L909" s="735">
        <v>12</v>
      </c>
      <c r="M909" s="736">
        <v>37960.80000000001</v>
      </c>
      <c r="N909" s="735"/>
      <c r="O909" s="735">
        <v>6</v>
      </c>
      <c r="P909" s="736">
        <v>18908.91</v>
      </c>
      <c r="Q909" s="214"/>
    </row>
    <row r="910" spans="1:17" ht="12" customHeight="1" x14ac:dyDescent="0.2">
      <c r="A910" s="735" t="s">
        <v>2169</v>
      </c>
      <c r="B910" s="735" t="s">
        <v>2170</v>
      </c>
      <c r="C910" s="735" t="s">
        <v>451</v>
      </c>
      <c r="D910" s="644" t="s">
        <v>3539</v>
      </c>
      <c r="E910" s="736">
        <v>9000</v>
      </c>
      <c r="F910" s="737" t="s">
        <v>4785</v>
      </c>
      <c r="G910" s="738" t="s">
        <v>4786</v>
      </c>
      <c r="H910" s="644" t="s">
        <v>2201</v>
      </c>
      <c r="I910" s="636"/>
      <c r="J910" s="644"/>
      <c r="K910" s="739"/>
      <c r="L910" s="735">
        <v>3</v>
      </c>
      <c r="M910" s="736">
        <v>21638.57</v>
      </c>
      <c r="N910" s="735"/>
      <c r="O910" s="735"/>
      <c r="P910" s="736"/>
      <c r="Q910" s="214"/>
    </row>
    <row r="911" spans="1:17" ht="12" customHeight="1" x14ac:dyDescent="0.2">
      <c r="A911" s="735" t="s">
        <v>2169</v>
      </c>
      <c r="B911" s="735" t="s">
        <v>2170</v>
      </c>
      <c r="C911" s="735" t="s">
        <v>451</v>
      </c>
      <c r="D911" s="644" t="s">
        <v>4787</v>
      </c>
      <c r="E911" s="736">
        <v>4000</v>
      </c>
      <c r="F911" s="737" t="s">
        <v>4788</v>
      </c>
      <c r="G911" s="738" t="s">
        <v>4789</v>
      </c>
      <c r="H911" s="644" t="s">
        <v>2174</v>
      </c>
      <c r="I911" s="636" t="s">
        <v>2175</v>
      </c>
      <c r="J911" s="644"/>
      <c r="K911" s="739"/>
      <c r="L911" s="735">
        <v>6</v>
      </c>
      <c r="M911" s="736">
        <v>22467</v>
      </c>
      <c r="N911" s="735"/>
      <c r="O911" s="735">
        <v>6</v>
      </c>
      <c r="P911" s="736">
        <v>24673.919999999998</v>
      </c>
      <c r="Q911" s="214"/>
    </row>
    <row r="912" spans="1:17" ht="12" customHeight="1" x14ac:dyDescent="0.2">
      <c r="A912" s="735" t="s">
        <v>2169</v>
      </c>
      <c r="B912" s="735" t="s">
        <v>2170</v>
      </c>
      <c r="C912" s="735" t="s">
        <v>451</v>
      </c>
      <c r="D912" s="644" t="s">
        <v>2446</v>
      </c>
      <c r="E912" s="736">
        <v>2500</v>
      </c>
      <c r="F912" s="737" t="s">
        <v>4790</v>
      </c>
      <c r="G912" s="738" t="s">
        <v>4791</v>
      </c>
      <c r="H912" s="644" t="s">
        <v>2253</v>
      </c>
      <c r="I912" s="636" t="s">
        <v>2254</v>
      </c>
      <c r="J912" s="644" t="s">
        <v>2254</v>
      </c>
      <c r="K912" s="739"/>
      <c r="L912" s="735">
        <v>12</v>
      </c>
      <c r="M912" s="736">
        <v>31957.850000000006</v>
      </c>
      <c r="N912" s="735"/>
      <c r="O912" s="735">
        <v>6</v>
      </c>
      <c r="P912" s="736">
        <v>14639.589999999998</v>
      </c>
      <c r="Q912" s="214"/>
    </row>
    <row r="913" spans="1:17" ht="12" customHeight="1" x14ac:dyDescent="0.2">
      <c r="A913" s="735" t="s">
        <v>2169</v>
      </c>
      <c r="B913" s="735" t="s">
        <v>2170</v>
      </c>
      <c r="C913" s="735" t="s">
        <v>451</v>
      </c>
      <c r="D913" s="644" t="s">
        <v>2181</v>
      </c>
      <c r="E913" s="736">
        <v>3000</v>
      </c>
      <c r="F913" s="737" t="s">
        <v>4792</v>
      </c>
      <c r="G913" s="738" t="s">
        <v>4793</v>
      </c>
      <c r="H913" s="644" t="s">
        <v>2745</v>
      </c>
      <c r="I913" s="636" t="s">
        <v>2385</v>
      </c>
      <c r="J913" s="644" t="s">
        <v>2385</v>
      </c>
      <c r="K913" s="739"/>
      <c r="L913" s="735">
        <v>12</v>
      </c>
      <c r="M913" s="736">
        <v>38160.80000000001</v>
      </c>
      <c r="N913" s="735"/>
      <c r="O913" s="735">
        <v>6</v>
      </c>
      <c r="P913" s="736">
        <v>19044.25</v>
      </c>
      <c r="Q913" s="214"/>
    </row>
    <row r="914" spans="1:17" ht="12" customHeight="1" x14ac:dyDescent="0.2">
      <c r="A914" s="735" t="s">
        <v>2169</v>
      </c>
      <c r="B914" s="735" t="s">
        <v>2170</v>
      </c>
      <c r="C914" s="735" t="s">
        <v>451</v>
      </c>
      <c r="D914" s="644" t="s">
        <v>2818</v>
      </c>
      <c r="E914" s="736">
        <v>3000</v>
      </c>
      <c r="F914" s="737" t="s">
        <v>4794</v>
      </c>
      <c r="G914" s="738" t="s">
        <v>4795</v>
      </c>
      <c r="H914" s="644" t="s">
        <v>4796</v>
      </c>
      <c r="I914" s="636" t="s">
        <v>2284</v>
      </c>
      <c r="J914" s="644" t="s">
        <v>2284</v>
      </c>
      <c r="K914" s="739"/>
      <c r="L914" s="735">
        <v>2</v>
      </c>
      <c r="M914" s="736">
        <v>4726.8</v>
      </c>
      <c r="N914" s="735"/>
      <c r="O914" s="735"/>
      <c r="P914" s="736"/>
      <c r="Q914" s="214"/>
    </row>
    <row r="915" spans="1:17" ht="12" customHeight="1" x14ac:dyDescent="0.2">
      <c r="A915" s="735" t="s">
        <v>2169</v>
      </c>
      <c r="B915" s="735" t="s">
        <v>2170</v>
      </c>
      <c r="C915" s="735" t="s">
        <v>451</v>
      </c>
      <c r="D915" s="644" t="s">
        <v>4797</v>
      </c>
      <c r="E915" s="736">
        <v>15000</v>
      </c>
      <c r="F915" s="737" t="s">
        <v>4798</v>
      </c>
      <c r="G915" s="738" t="s">
        <v>4799</v>
      </c>
      <c r="H915" s="644" t="s">
        <v>2189</v>
      </c>
      <c r="I915" s="636" t="s">
        <v>2180</v>
      </c>
      <c r="J915" s="644" t="s">
        <v>2180</v>
      </c>
      <c r="K915" s="739"/>
      <c r="L915" s="735">
        <v>11</v>
      </c>
      <c r="M915" s="736">
        <v>166547.39999999997</v>
      </c>
      <c r="N915" s="735"/>
      <c r="O915" s="735"/>
      <c r="P915" s="736"/>
      <c r="Q915" s="214"/>
    </row>
    <row r="916" spans="1:17" ht="12" customHeight="1" x14ac:dyDescent="0.2">
      <c r="A916" s="735" t="s">
        <v>2169</v>
      </c>
      <c r="B916" s="735" t="s">
        <v>2170</v>
      </c>
      <c r="C916" s="735" t="s">
        <v>451</v>
      </c>
      <c r="D916" s="644" t="s">
        <v>3244</v>
      </c>
      <c r="E916" s="736">
        <v>9500</v>
      </c>
      <c r="F916" s="737" t="s">
        <v>4800</v>
      </c>
      <c r="G916" s="738" t="s">
        <v>4801</v>
      </c>
      <c r="H916" s="644" t="s">
        <v>2201</v>
      </c>
      <c r="I916" s="636"/>
      <c r="J916" s="644"/>
      <c r="K916" s="739"/>
      <c r="L916" s="735">
        <v>12</v>
      </c>
      <c r="M916" s="736">
        <v>115839.63999999998</v>
      </c>
      <c r="N916" s="735"/>
      <c r="O916" s="735">
        <v>6</v>
      </c>
      <c r="P916" s="736">
        <v>58018.97</v>
      </c>
      <c r="Q916" s="214"/>
    </row>
    <row r="917" spans="1:17" ht="12" customHeight="1" x14ac:dyDescent="0.2">
      <c r="A917" s="735" t="s">
        <v>2169</v>
      </c>
      <c r="B917" s="735" t="s">
        <v>2170</v>
      </c>
      <c r="C917" s="735" t="s">
        <v>451</v>
      </c>
      <c r="D917" s="644" t="s">
        <v>4802</v>
      </c>
      <c r="E917" s="736">
        <v>7000</v>
      </c>
      <c r="F917" s="737" t="s">
        <v>4803</v>
      </c>
      <c r="G917" s="738" t="s">
        <v>4804</v>
      </c>
      <c r="H917" s="644" t="s">
        <v>2317</v>
      </c>
      <c r="I917" s="636" t="s">
        <v>2250</v>
      </c>
      <c r="J917" s="644" t="s">
        <v>2250</v>
      </c>
      <c r="K917" s="739"/>
      <c r="L917" s="735">
        <v>10</v>
      </c>
      <c r="M917" s="736">
        <v>66573.05</v>
      </c>
      <c r="N917" s="735"/>
      <c r="O917" s="735"/>
      <c r="P917" s="736"/>
      <c r="Q917" s="214"/>
    </row>
    <row r="918" spans="1:17" ht="12" customHeight="1" x14ac:dyDescent="0.2">
      <c r="A918" s="735" t="s">
        <v>2169</v>
      </c>
      <c r="B918" s="735" t="s">
        <v>2170</v>
      </c>
      <c r="C918" s="735" t="s">
        <v>451</v>
      </c>
      <c r="D918" s="644" t="s">
        <v>4185</v>
      </c>
      <c r="E918" s="736">
        <v>12000</v>
      </c>
      <c r="F918" s="737" t="s">
        <v>4805</v>
      </c>
      <c r="G918" s="738" t="s">
        <v>4806</v>
      </c>
      <c r="H918" s="644" t="s">
        <v>2201</v>
      </c>
      <c r="I918" s="636"/>
      <c r="J918" s="644"/>
      <c r="K918" s="739"/>
      <c r="L918" s="735">
        <v>12</v>
      </c>
      <c r="M918" s="736">
        <v>139847.39999999997</v>
      </c>
      <c r="N918" s="735"/>
      <c r="O918" s="735">
        <v>2</v>
      </c>
      <c r="P918" s="736">
        <v>10453.460000000001</v>
      </c>
      <c r="Q918" s="214"/>
    </row>
    <row r="919" spans="1:17" ht="12" customHeight="1" x14ac:dyDescent="0.2">
      <c r="A919" s="735" t="s">
        <v>2169</v>
      </c>
      <c r="B919" s="735" t="s">
        <v>2170</v>
      </c>
      <c r="C919" s="735" t="s">
        <v>451</v>
      </c>
      <c r="D919" s="644" t="s">
        <v>4807</v>
      </c>
      <c r="E919" s="736">
        <v>15600</v>
      </c>
      <c r="F919" s="737" t="s">
        <v>4808</v>
      </c>
      <c r="G919" s="738" t="s">
        <v>4809</v>
      </c>
      <c r="H919" s="644" t="s">
        <v>2317</v>
      </c>
      <c r="I919" s="636" t="s">
        <v>2180</v>
      </c>
      <c r="J919" s="644" t="s">
        <v>2180</v>
      </c>
      <c r="K919" s="739"/>
      <c r="L919" s="735">
        <v>10</v>
      </c>
      <c r="M919" s="736">
        <v>157233.99999999997</v>
      </c>
      <c r="N919" s="735"/>
      <c r="O919" s="735"/>
      <c r="P919" s="736"/>
      <c r="Q919" s="214"/>
    </row>
    <row r="920" spans="1:17" ht="12" customHeight="1" x14ac:dyDescent="0.2">
      <c r="A920" s="735" t="s">
        <v>2169</v>
      </c>
      <c r="B920" s="735" t="s">
        <v>2170</v>
      </c>
      <c r="C920" s="735" t="s">
        <v>451</v>
      </c>
      <c r="D920" s="644" t="s">
        <v>2369</v>
      </c>
      <c r="E920" s="736">
        <v>4000</v>
      </c>
      <c r="F920" s="737" t="s">
        <v>4810</v>
      </c>
      <c r="G920" s="738" t="s">
        <v>4811</v>
      </c>
      <c r="H920" s="644" t="s">
        <v>4812</v>
      </c>
      <c r="I920" s="636" t="s">
        <v>2284</v>
      </c>
      <c r="J920" s="644" t="s">
        <v>2284</v>
      </c>
      <c r="K920" s="739"/>
      <c r="L920" s="735">
        <v>12</v>
      </c>
      <c r="M920" s="736">
        <v>49941.210000000006</v>
      </c>
      <c r="N920" s="735"/>
      <c r="O920" s="735">
        <v>6</v>
      </c>
      <c r="P920" s="736">
        <v>24885.14</v>
      </c>
      <c r="Q920" s="214"/>
    </row>
    <row r="921" spans="1:17" ht="12" customHeight="1" x14ac:dyDescent="0.2">
      <c r="A921" s="735" t="s">
        <v>2169</v>
      </c>
      <c r="B921" s="735" t="s">
        <v>2170</v>
      </c>
      <c r="C921" s="735" t="s">
        <v>451</v>
      </c>
      <c r="D921" s="644" t="s">
        <v>2918</v>
      </c>
      <c r="E921" s="736">
        <v>7000</v>
      </c>
      <c r="F921" s="737" t="s">
        <v>4813</v>
      </c>
      <c r="G921" s="738" t="s">
        <v>4814</v>
      </c>
      <c r="H921" s="644" t="s">
        <v>2174</v>
      </c>
      <c r="I921" s="636" t="s">
        <v>2228</v>
      </c>
      <c r="J921" s="644" t="s">
        <v>2174</v>
      </c>
      <c r="K921" s="739"/>
      <c r="L921" s="735">
        <v>12</v>
      </c>
      <c r="M921" s="736">
        <v>85958.9</v>
      </c>
      <c r="N921" s="735"/>
      <c r="O921" s="735">
        <v>6</v>
      </c>
      <c r="P921" s="736">
        <v>43013.73</v>
      </c>
      <c r="Q921" s="214"/>
    </row>
    <row r="922" spans="1:17" ht="12" customHeight="1" x14ac:dyDescent="0.2">
      <c r="A922" s="735" t="s">
        <v>2169</v>
      </c>
      <c r="B922" s="735" t="s">
        <v>2170</v>
      </c>
      <c r="C922" s="735" t="s">
        <v>451</v>
      </c>
      <c r="D922" s="644" t="s">
        <v>3724</v>
      </c>
      <c r="E922" s="736">
        <v>10000</v>
      </c>
      <c r="F922" s="737" t="s">
        <v>4815</v>
      </c>
      <c r="G922" s="738" t="s">
        <v>4816</v>
      </c>
      <c r="H922" s="644" t="s">
        <v>2201</v>
      </c>
      <c r="I922" s="636"/>
      <c r="J922" s="644"/>
      <c r="K922" s="739"/>
      <c r="L922" s="735">
        <v>12</v>
      </c>
      <c r="M922" s="736">
        <v>121378.01999999997</v>
      </c>
      <c r="N922" s="735"/>
      <c r="O922" s="735">
        <v>6</v>
      </c>
      <c r="P922" s="736">
        <v>60677.090000000004</v>
      </c>
      <c r="Q922" s="214"/>
    </row>
    <row r="923" spans="1:17" ht="12" customHeight="1" x14ac:dyDescent="0.2">
      <c r="A923" s="735" t="s">
        <v>2169</v>
      </c>
      <c r="B923" s="735" t="s">
        <v>2170</v>
      </c>
      <c r="C923" s="735" t="s">
        <v>451</v>
      </c>
      <c r="D923" s="644" t="s">
        <v>2446</v>
      </c>
      <c r="E923" s="736">
        <v>2500</v>
      </c>
      <c r="F923" s="737" t="s">
        <v>4817</v>
      </c>
      <c r="G923" s="738" t="s">
        <v>4818</v>
      </c>
      <c r="H923" s="644" t="s">
        <v>2253</v>
      </c>
      <c r="I923" s="636" t="s">
        <v>2254</v>
      </c>
      <c r="J923" s="644" t="s">
        <v>2254</v>
      </c>
      <c r="K923" s="739"/>
      <c r="L923" s="735">
        <v>12</v>
      </c>
      <c r="M923" s="736">
        <v>31960.800000000007</v>
      </c>
      <c r="N923" s="735"/>
      <c r="O923" s="735">
        <v>6</v>
      </c>
      <c r="P923" s="736">
        <v>16044.9</v>
      </c>
      <c r="Q923" s="214"/>
    </row>
    <row r="924" spans="1:17" ht="12" customHeight="1" x14ac:dyDescent="0.2">
      <c r="A924" s="735" t="s">
        <v>2169</v>
      </c>
      <c r="B924" s="735" t="s">
        <v>2170</v>
      </c>
      <c r="C924" s="735" t="s">
        <v>451</v>
      </c>
      <c r="D924" s="644" t="s">
        <v>4819</v>
      </c>
      <c r="E924" s="736">
        <v>12000</v>
      </c>
      <c r="F924" s="737" t="s">
        <v>4820</v>
      </c>
      <c r="G924" s="738" t="s">
        <v>4821</v>
      </c>
      <c r="H924" s="644" t="s">
        <v>2179</v>
      </c>
      <c r="I924" s="636" t="s">
        <v>2180</v>
      </c>
      <c r="J924" s="644" t="s">
        <v>2180</v>
      </c>
      <c r="K924" s="739"/>
      <c r="L924" s="735">
        <v>12</v>
      </c>
      <c r="M924" s="736">
        <v>145960.79999999996</v>
      </c>
      <c r="N924" s="735"/>
      <c r="O924" s="735">
        <v>6</v>
      </c>
      <c r="P924" s="736">
        <v>72644.899999999994</v>
      </c>
      <c r="Q924" s="214"/>
    </row>
    <row r="925" spans="1:17" ht="12" customHeight="1" x14ac:dyDescent="0.2">
      <c r="A925" s="735" t="s">
        <v>2169</v>
      </c>
      <c r="B925" s="735" t="s">
        <v>2170</v>
      </c>
      <c r="C925" s="735" t="s">
        <v>451</v>
      </c>
      <c r="D925" s="644" t="s">
        <v>4822</v>
      </c>
      <c r="E925" s="736">
        <v>12000</v>
      </c>
      <c r="F925" s="737" t="s">
        <v>4823</v>
      </c>
      <c r="G925" s="738" t="s">
        <v>4824</v>
      </c>
      <c r="H925" s="644" t="s">
        <v>2179</v>
      </c>
      <c r="I925" s="636" t="s">
        <v>2175</v>
      </c>
      <c r="J925" s="644"/>
      <c r="K925" s="739"/>
      <c r="L925" s="735">
        <v>1</v>
      </c>
      <c r="M925" s="736">
        <v>12913.4</v>
      </c>
      <c r="N925" s="735"/>
      <c r="O925" s="735">
        <v>6</v>
      </c>
      <c r="P925" s="736">
        <v>72948.350000000006</v>
      </c>
      <c r="Q925" s="214"/>
    </row>
    <row r="926" spans="1:17" ht="12" customHeight="1" x14ac:dyDescent="0.2">
      <c r="A926" s="735" t="s">
        <v>2169</v>
      </c>
      <c r="B926" s="735" t="s">
        <v>2170</v>
      </c>
      <c r="C926" s="735" t="s">
        <v>451</v>
      </c>
      <c r="D926" s="644" t="s">
        <v>3345</v>
      </c>
      <c r="E926" s="736">
        <v>8000</v>
      </c>
      <c r="F926" s="737" t="s">
        <v>4825</v>
      </c>
      <c r="G926" s="738" t="s">
        <v>4826</v>
      </c>
      <c r="H926" s="644" t="s">
        <v>2201</v>
      </c>
      <c r="I926" s="636" t="s">
        <v>2201</v>
      </c>
      <c r="J926" s="644"/>
      <c r="K926" s="739"/>
      <c r="L926" s="735">
        <v>4</v>
      </c>
      <c r="M926" s="736">
        <v>33553.599999999999</v>
      </c>
      <c r="N926" s="735"/>
      <c r="O926" s="735">
        <v>6</v>
      </c>
      <c r="P926" s="736">
        <v>49044.9</v>
      </c>
      <c r="Q926" s="214"/>
    </row>
    <row r="927" spans="1:17" ht="12" customHeight="1" x14ac:dyDescent="0.2">
      <c r="A927" s="735" t="s">
        <v>2169</v>
      </c>
      <c r="B927" s="735" t="s">
        <v>2170</v>
      </c>
      <c r="C927" s="735" t="s">
        <v>451</v>
      </c>
      <c r="D927" s="644" t="s">
        <v>2446</v>
      </c>
      <c r="E927" s="736">
        <v>2500</v>
      </c>
      <c r="F927" s="737" t="s">
        <v>4827</v>
      </c>
      <c r="G927" s="738" t="s">
        <v>4828</v>
      </c>
      <c r="H927" s="644" t="s">
        <v>2212</v>
      </c>
      <c r="I927" s="636" t="s">
        <v>2213</v>
      </c>
      <c r="J927" s="644" t="s">
        <v>2213</v>
      </c>
      <c r="K927" s="739"/>
      <c r="L927" s="735">
        <v>12</v>
      </c>
      <c r="M927" s="736">
        <v>31960.800000000007</v>
      </c>
      <c r="N927" s="735"/>
      <c r="O927" s="735">
        <v>6</v>
      </c>
      <c r="P927" s="736">
        <v>15958.88</v>
      </c>
      <c r="Q927" s="214"/>
    </row>
    <row r="928" spans="1:17" ht="12" customHeight="1" x14ac:dyDescent="0.2">
      <c r="A928" s="735" t="s">
        <v>2169</v>
      </c>
      <c r="B928" s="735" t="s">
        <v>2170</v>
      </c>
      <c r="C928" s="735" t="s">
        <v>451</v>
      </c>
      <c r="D928" s="644" t="s">
        <v>4829</v>
      </c>
      <c r="E928" s="736">
        <v>8000</v>
      </c>
      <c r="F928" s="737" t="s">
        <v>4830</v>
      </c>
      <c r="G928" s="738" t="s">
        <v>4831</v>
      </c>
      <c r="H928" s="644" t="s">
        <v>2268</v>
      </c>
      <c r="I928" s="636" t="s">
        <v>2250</v>
      </c>
      <c r="J928" s="644" t="s">
        <v>2250</v>
      </c>
      <c r="K928" s="739"/>
      <c r="L928" s="735">
        <v>12</v>
      </c>
      <c r="M928" s="736">
        <v>97960.799999999988</v>
      </c>
      <c r="N928" s="735"/>
      <c r="O928" s="735">
        <v>6</v>
      </c>
      <c r="P928" s="736">
        <v>49044.9</v>
      </c>
      <c r="Q928" s="214"/>
    </row>
    <row r="929" spans="1:17" ht="12" customHeight="1" x14ac:dyDescent="0.2">
      <c r="A929" s="735" t="s">
        <v>2169</v>
      </c>
      <c r="B929" s="735" t="s">
        <v>2170</v>
      </c>
      <c r="C929" s="735" t="s">
        <v>451</v>
      </c>
      <c r="D929" s="644" t="s">
        <v>3214</v>
      </c>
      <c r="E929" s="736">
        <v>7000</v>
      </c>
      <c r="F929" s="737" t="s">
        <v>4832</v>
      </c>
      <c r="G929" s="738" t="s">
        <v>4833</v>
      </c>
      <c r="H929" s="644" t="s">
        <v>2317</v>
      </c>
      <c r="I929" s="636" t="s">
        <v>2180</v>
      </c>
      <c r="J929" s="644" t="s">
        <v>2180</v>
      </c>
      <c r="K929" s="739"/>
      <c r="L929" s="735">
        <v>12</v>
      </c>
      <c r="M929" s="736">
        <v>85925.87999999999</v>
      </c>
      <c r="N929" s="735"/>
      <c r="O929" s="735">
        <v>6</v>
      </c>
      <c r="P929" s="736">
        <v>42936.780000000006</v>
      </c>
      <c r="Q929" s="214"/>
    </row>
    <row r="930" spans="1:17" ht="12" customHeight="1" x14ac:dyDescent="0.2">
      <c r="A930" s="735" t="s">
        <v>2169</v>
      </c>
      <c r="B930" s="735" t="s">
        <v>2170</v>
      </c>
      <c r="C930" s="735" t="s">
        <v>451</v>
      </c>
      <c r="D930" s="644" t="s">
        <v>3244</v>
      </c>
      <c r="E930" s="736">
        <v>8500</v>
      </c>
      <c r="F930" s="737" t="s">
        <v>4834</v>
      </c>
      <c r="G930" s="738" t="s">
        <v>4835</v>
      </c>
      <c r="H930" s="644" t="s">
        <v>2201</v>
      </c>
      <c r="I930" s="636" t="s">
        <v>2201</v>
      </c>
      <c r="J930" s="644"/>
      <c r="K930" s="739"/>
      <c r="L930" s="735">
        <v>6</v>
      </c>
      <c r="M930" s="736">
        <v>49883.67</v>
      </c>
      <c r="N930" s="735"/>
      <c r="O930" s="735">
        <v>2</v>
      </c>
      <c r="P930" s="736">
        <v>13064.92</v>
      </c>
      <c r="Q930" s="214"/>
    </row>
    <row r="931" spans="1:17" ht="12" customHeight="1" x14ac:dyDescent="0.2">
      <c r="A931" s="735" t="s">
        <v>2169</v>
      </c>
      <c r="B931" s="735" t="s">
        <v>2170</v>
      </c>
      <c r="C931" s="735" t="s">
        <v>451</v>
      </c>
      <c r="D931" s="644" t="s">
        <v>2446</v>
      </c>
      <c r="E931" s="736">
        <v>2500</v>
      </c>
      <c r="F931" s="737" t="s">
        <v>4836</v>
      </c>
      <c r="G931" s="738" t="s">
        <v>4837</v>
      </c>
      <c r="H931" s="644" t="s">
        <v>2212</v>
      </c>
      <c r="I931" s="636" t="s">
        <v>2213</v>
      </c>
      <c r="J931" s="644" t="s">
        <v>2213</v>
      </c>
      <c r="K931" s="739"/>
      <c r="L931" s="735">
        <v>12</v>
      </c>
      <c r="M931" s="736">
        <v>31877.470000000008</v>
      </c>
      <c r="N931" s="735"/>
      <c r="O931" s="735">
        <v>6</v>
      </c>
      <c r="P931" s="736">
        <v>15783.41</v>
      </c>
      <c r="Q931" s="214"/>
    </row>
    <row r="932" spans="1:17" ht="12" customHeight="1" x14ac:dyDescent="0.2">
      <c r="A932" s="735" t="s">
        <v>2169</v>
      </c>
      <c r="B932" s="735" t="s">
        <v>2170</v>
      </c>
      <c r="C932" s="735" t="s">
        <v>451</v>
      </c>
      <c r="D932" s="644" t="s">
        <v>4838</v>
      </c>
      <c r="E932" s="736">
        <v>8000</v>
      </c>
      <c r="F932" s="737" t="s">
        <v>4839</v>
      </c>
      <c r="G932" s="738" t="s">
        <v>4840</v>
      </c>
      <c r="H932" s="644" t="s">
        <v>2310</v>
      </c>
      <c r="I932" s="636" t="s">
        <v>2175</v>
      </c>
      <c r="J932" s="644" t="s">
        <v>2310</v>
      </c>
      <c r="K932" s="739"/>
      <c r="L932" s="735">
        <v>12</v>
      </c>
      <c r="M932" s="736">
        <v>98841.559999999969</v>
      </c>
      <c r="N932" s="735"/>
      <c r="O932" s="735">
        <v>6</v>
      </c>
      <c r="P932" s="736">
        <v>49044.9</v>
      </c>
      <c r="Q932" s="214"/>
    </row>
    <row r="933" spans="1:17" ht="12" customHeight="1" x14ac:dyDescent="0.2">
      <c r="A933" s="735" t="s">
        <v>2169</v>
      </c>
      <c r="B933" s="735" t="s">
        <v>2170</v>
      </c>
      <c r="C933" s="735" t="s">
        <v>451</v>
      </c>
      <c r="D933" s="644" t="s">
        <v>4488</v>
      </c>
      <c r="E933" s="736">
        <v>3500</v>
      </c>
      <c r="F933" s="737" t="s">
        <v>4841</v>
      </c>
      <c r="G933" s="738" t="s">
        <v>4842</v>
      </c>
      <c r="H933" s="644" t="s">
        <v>2201</v>
      </c>
      <c r="I933" s="636" t="s">
        <v>2741</v>
      </c>
      <c r="J933" s="644" t="s">
        <v>2741</v>
      </c>
      <c r="K933" s="739"/>
      <c r="L933" s="735">
        <v>12</v>
      </c>
      <c r="M933" s="736">
        <v>43960.80000000001</v>
      </c>
      <c r="N933" s="735"/>
      <c r="O933" s="735">
        <v>6</v>
      </c>
      <c r="P933" s="736">
        <v>22031.57</v>
      </c>
      <c r="Q933" s="214"/>
    </row>
    <row r="934" spans="1:17" ht="12" customHeight="1" x14ac:dyDescent="0.2">
      <c r="A934" s="735" t="s">
        <v>2169</v>
      </c>
      <c r="B934" s="735" t="s">
        <v>2170</v>
      </c>
      <c r="C934" s="735" t="s">
        <v>451</v>
      </c>
      <c r="D934" s="644" t="s">
        <v>2432</v>
      </c>
      <c r="E934" s="736">
        <v>5000</v>
      </c>
      <c r="F934" s="737" t="s">
        <v>4843</v>
      </c>
      <c r="G934" s="738" t="s">
        <v>4844</v>
      </c>
      <c r="H934" s="644" t="s">
        <v>2201</v>
      </c>
      <c r="I934" s="636"/>
      <c r="J934" s="644"/>
      <c r="K934" s="739"/>
      <c r="L934" s="735">
        <v>12</v>
      </c>
      <c r="M934" s="736">
        <v>63375.80000000001</v>
      </c>
      <c r="N934" s="735"/>
      <c r="O934" s="735">
        <v>6</v>
      </c>
      <c r="P934" s="736">
        <v>31044.9</v>
      </c>
      <c r="Q934" s="214"/>
    </row>
    <row r="935" spans="1:17" ht="12" customHeight="1" x14ac:dyDescent="0.2">
      <c r="A935" s="735" t="s">
        <v>2169</v>
      </c>
      <c r="B935" s="735" t="s">
        <v>2170</v>
      </c>
      <c r="C935" s="735" t="s">
        <v>451</v>
      </c>
      <c r="D935" s="644" t="s">
        <v>3945</v>
      </c>
      <c r="E935" s="736">
        <v>7000</v>
      </c>
      <c r="F935" s="737" t="s">
        <v>4845</v>
      </c>
      <c r="G935" s="738" t="s">
        <v>4846</v>
      </c>
      <c r="H935" s="644" t="s">
        <v>2201</v>
      </c>
      <c r="I935" s="636" t="s">
        <v>2201</v>
      </c>
      <c r="J935" s="644"/>
      <c r="K935" s="739"/>
      <c r="L935" s="735">
        <v>12</v>
      </c>
      <c r="M935" s="736">
        <v>86660.799999999988</v>
      </c>
      <c r="N935" s="735"/>
      <c r="O935" s="735">
        <v>3</v>
      </c>
      <c r="P935" s="736">
        <v>11090.35</v>
      </c>
      <c r="Q935" s="214"/>
    </row>
    <row r="936" spans="1:17" ht="12" customHeight="1" x14ac:dyDescent="0.2">
      <c r="A936" s="735" t="s">
        <v>2169</v>
      </c>
      <c r="B936" s="735" t="s">
        <v>2170</v>
      </c>
      <c r="C936" s="735" t="s">
        <v>451</v>
      </c>
      <c r="D936" s="644" t="s">
        <v>4847</v>
      </c>
      <c r="E936" s="736">
        <v>3500</v>
      </c>
      <c r="F936" s="737" t="s">
        <v>4848</v>
      </c>
      <c r="G936" s="738" t="s">
        <v>4849</v>
      </c>
      <c r="H936" s="644" t="s">
        <v>4850</v>
      </c>
      <c r="I936" s="636" t="s">
        <v>2284</v>
      </c>
      <c r="J936" s="644" t="s">
        <v>2284</v>
      </c>
      <c r="K936" s="739"/>
      <c r="L936" s="735">
        <v>12</v>
      </c>
      <c r="M936" s="736">
        <v>43960.80000000001</v>
      </c>
      <c r="N936" s="735"/>
      <c r="O936" s="735">
        <v>6</v>
      </c>
      <c r="P936" s="736">
        <v>22042.38</v>
      </c>
      <c r="Q936" s="214"/>
    </row>
    <row r="937" spans="1:17" ht="12" customHeight="1" x14ac:dyDescent="0.2">
      <c r="A937" s="735" t="s">
        <v>2169</v>
      </c>
      <c r="B937" s="735" t="s">
        <v>2170</v>
      </c>
      <c r="C937" s="735" t="s">
        <v>451</v>
      </c>
      <c r="D937" s="644" t="s">
        <v>4851</v>
      </c>
      <c r="E937" s="736">
        <v>8000</v>
      </c>
      <c r="F937" s="737" t="s">
        <v>4852</v>
      </c>
      <c r="G937" s="738" t="s">
        <v>4853</v>
      </c>
      <c r="H937" s="644" t="s">
        <v>2201</v>
      </c>
      <c r="I937" s="636"/>
      <c r="J937" s="644"/>
      <c r="K937" s="739"/>
      <c r="L937" s="735">
        <v>12</v>
      </c>
      <c r="M937" s="736">
        <v>99424.799999999988</v>
      </c>
      <c r="N937" s="735"/>
      <c r="O937" s="735">
        <v>6</v>
      </c>
      <c r="P937" s="736">
        <v>49044.9</v>
      </c>
      <c r="Q937" s="214"/>
    </row>
    <row r="938" spans="1:17" ht="12" customHeight="1" x14ac:dyDescent="0.2">
      <c r="A938" s="735" t="s">
        <v>2169</v>
      </c>
      <c r="B938" s="735" t="s">
        <v>2170</v>
      </c>
      <c r="C938" s="735" t="s">
        <v>451</v>
      </c>
      <c r="D938" s="644" t="s">
        <v>4854</v>
      </c>
      <c r="E938" s="736">
        <v>9000</v>
      </c>
      <c r="F938" s="737" t="s">
        <v>4855</v>
      </c>
      <c r="G938" s="738" t="s">
        <v>4856</v>
      </c>
      <c r="H938" s="644" t="s">
        <v>2201</v>
      </c>
      <c r="I938" s="636"/>
      <c r="J938" s="644"/>
      <c r="K938" s="739"/>
      <c r="L938" s="735">
        <v>12</v>
      </c>
      <c r="M938" s="736">
        <v>109949.36999999998</v>
      </c>
      <c r="N938" s="735"/>
      <c r="O938" s="735">
        <v>6</v>
      </c>
      <c r="P938" s="736">
        <v>55036.500000000007</v>
      </c>
      <c r="Q938" s="214"/>
    </row>
    <row r="939" spans="1:17" ht="12" customHeight="1" x14ac:dyDescent="0.2">
      <c r="A939" s="735" t="s">
        <v>2169</v>
      </c>
      <c r="B939" s="735" t="s">
        <v>2170</v>
      </c>
      <c r="C939" s="735" t="s">
        <v>451</v>
      </c>
      <c r="D939" s="644" t="s">
        <v>4857</v>
      </c>
      <c r="E939" s="736">
        <v>11000</v>
      </c>
      <c r="F939" s="737" t="s">
        <v>4858</v>
      </c>
      <c r="G939" s="738" t="s">
        <v>4859</v>
      </c>
      <c r="H939" s="644" t="s">
        <v>2201</v>
      </c>
      <c r="I939" s="636"/>
      <c r="J939" s="644"/>
      <c r="K939" s="739"/>
      <c r="L939" s="735">
        <v>12</v>
      </c>
      <c r="M939" s="736">
        <v>133834.08999999997</v>
      </c>
      <c r="N939" s="735"/>
      <c r="O939" s="735">
        <v>6</v>
      </c>
      <c r="P939" s="736">
        <v>67032.259999999995</v>
      </c>
      <c r="Q939" s="214"/>
    </row>
    <row r="940" spans="1:17" ht="12" customHeight="1" x14ac:dyDescent="0.2">
      <c r="A940" s="735" t="s">
        <v>2169</v>
      </c>
      <c r="B940" s="735" t="s">
        <v>2170</v>
      </c>
      <c r="C940" s="735" t="s">
        <v>451</v>
      </c>
      <c r="D940" s="644" t="s">
        <v>4860</v>
      </c>
      <c r="E940" s="736">
        <v>9000</v>
      </c>
      <c r="F940" s="737" t="s">
        <v>4861</v>
      </c>
      <c r="G940" s="738" t="s">
        <v>4862</v>
      </c>
      <c r="H940" s="644" t="s">
        <v>2179</v>
      </c>
      <c r="I940" s="636" t="s">
        <v>4863</v>
      </c>
      <c r="J940" s="644" t="s">
        <v>4863</v>
      </c>
      <c r="K940" s="739"/>
      <c r="L940" s="735">
        <v>12</v>
      </c>
      <c r="M940" s="736">
        <v>109960.79999999997</v>
      </c>
      <c r="N940" s="735"/>
      <c r="O940" s="735">
        <v>6</v>
      </c>
      <c r="P940" s="736">
        <v>55044.9</v>
      </c>
      <c r="Q940" s="214"/>
    </row>
    <row r="941" spans="1:17" ht="12" customHeight="1" x14ac:dyDescent="0.2">
      <c r="A941" s="735" t="s">
        <v>2169</v>
      </c>
      <c r="B941" s="735" t="s">
        <v>2170</v>
      </c>
      <c r="C941" s="735" t="s">
        <v>451</v>
      </c>
      <c r="D941" s="644" t="s">
        <v>4864</v>
      </c>
      <c r="E941" s="736">
        <v>2800</v>
      </c>
      <c r="F941" s="737" t="s">
        <v>4865</v>
      </c>
      <c r="G941" s="738" t="s">
        <v>4866</v>
      </c>
      <c r="H941" s="644" t="s">
        <v>2253</v>
      </c>
      <c r="I941" s="636" t="s">
        <v>2385</v>
      </c>
      <c r="J941" s="644" t="s">
        <v>2385</v>
      </c>
      <c r="K941" s="739"/>
      <c r="L941" s="735">
        <v>12</v>
      </c>
      <c r="M941" s="736">
        <v>35547.590000000004</v>
      </c>
      <c r="N941" s="735"/>
      <c r="O941" s="735">
        <v>6</v>
      </c>
      <c r="P941" s="736">
        <v>17822.169999999998</v>
      </c>
      <c r="Q941" s="214"/>
    </row>
    <row r="942" spans="1:17" ht="12" customHeight="1" x14ac:dyDescent="0.2">
      <c r="A942" s="735" t="s">
        <v>2169</v>
      </c>
      <c r="B942" s="735" t="s">
        <v>2170</v>
      </c>
      <c r="C942" s="735" t="s">
        <v>451</v>
      </c>
      <c r="D942" s="644" t="s">
        <v>2225</v>
      </c>
      <c r="E942" s="736">
        <v>11000</v>
      </c>
      <c r="F942" s="737" t="s">
        <v>4867</v>
      </c>
      <c r="G942" s="738" t="s">
        <v>4868</v>
      </c>
      <c r="H942" s="644" t="s">
        <v>2201</v>
      </c>
      <c r="I942" s="636"/>
      <c r="J942" s="644"/>
      <c r="K942" s="739"/>
      <c r="L942" s="735">
        <v>12</v>
      </c>
      <c r="M942" s="736">
        <v>133958.79999999996</v>
      </c>
      <c r="N942" s="735"/>
      <c r="O942" s="735">
        <v>6</v>
      </c>
      <c r="P942" s="736">
        <v>66645.039999999994</v>
      </c>
      <c r="Q942" s="214"/>
    </row>
    <row r="943" spans="1:17" ht="12" customHeight="1" x14ac:dyDescent="0.2">
      <c r="A943" s="735" t="s">
        <v>2169</v>
      </c>
      <c r="B943" s="735" t="s">
        <v>2170</v>
      </c>
      <c r="C943" s="735" t="s">
        <v>451</v>
      </c>
      <c r="D943" s="644" t="s">
        <v>2190</v>
      </c>
      <c r="E943" s="736">
        <v>3000</v>
      </c>
      <c r="F943" s="737" t="s">
        <v>4869</v>
      </c>
      <c r="G943" s="738" t="s">
        <v>4870</v>
      </c>
      <c r="H943" s="644" t="s">
        <v>2184</v>
      </c>
      <c r="I943" s="636" t="s">
        <v>2185</v>
      </c>
      <c r="J943" s="644"/>
      <c r="K943" s="739"/>
      <c r="L943" s="735">
        <v>5</v>
      </c>
      <c r="M943" s="736">
        <v>14767</v>
      </c>
      <c r="N943" s="735"/>
      <c r="O943" s="735">
        <v>6</v>
      </c>
      <c r="P943" s="736">
        <v>18674.420000000002</v>
      </c>
      <c r="Q943" s="214"/>
    </row>
    <row r="944" spans="1:17" ht="12" customHeight="1" x14ac:dyDescent="0.2">
      <c r="A944" s="735" t="s">
        <v>2169</v>
      </c>
      <c r="B944" s="735" t="s">
        <v>2170</v>
      </c>
      <c r="C944" s="735" t="s">
        <v>451</v>
      </c>
      <c r="D944" s="644" t="s">
        <v>4871</v>
      </c>
      <c r="E944" s="736">
        <v>9500</v>
      </c>
      <c r="F944" s="737" t="s">
        <v>4872</v>
      </c>
      <c r="G944" s="738" t="s">
        <v>4873</v>
      </c>
      <c r="H944" s="644" t="s">
        <v>4874</v>
      </c>
      <c r="I944" s="636" t="s">
        <v>2180</v>
      </c>
      <c r="J944" s="644" t="s">
        <v>2180</v>
      </c>
      <c r="K944" s="739"/>
      <c r="L944" s="735">
        <v>12</v>
      </c>
      <c r="M944" s="736">
        <v>115960.79999999997</v>
      </c>
      <c r="N944" s="735"/>
      <c r="O944" s="735">
        <v>6</v>
      </c>
      <c r="P944" s="736">
        <v>57978.700000000004</v>
      </c>
      <c r="Q944" s="214"/>
    </row>
    <row r="945" spans="1:17" ht="12" customHeight="1" x14ac:dyDescent="0.2">
      <c r="A945" s="735" t="s">
        <v>2169</v>
      </c>
      <c r="B945" s="735" t="s">
        <v>2170</v>
      </c>
      <c r="C945" s="735" t="s">
        <v>451</v>
      </c>
      <c r="D945" s="644" t="s">
        <v>2488</v>
      </c>
      <c r="E945" s="736">
        <v>8000</v>
      </c>
      <c r="F945" s="737" t="s">
        <v>4875</v>
      </c>
      <c r="G945" s="738" t="s">
        <v>4876</v>
      </c>
      <c r="H945" s="644" t="s">
        <v>2420</v>
      </c>
      <c r="I945" s="636" t="s">
        <v>2175</v>
      </c>
      <c r="J945" s="644"/>
      <c r="K945" s="739"/>
      <c r="L945" s="735">
        <v>12</v>
      </c>
      <c r="M945" s="736">
        <v>98760.799999999974</v>
      </c>
      <c r="N945" s="735"/>
      <c r="O945" s="735">
        <v>6</v>
      </c>
      <c r="P945" s="736">
        <v>49039.15</v>
      </c>
      <c r="Q945" s="214"/>
    </row>
    <row r="946" spans="1:17" ht="12" customHeight="1" x14ac:dyDescent="0.2">
      <c r="A946" s="735" t="s">
        <v>2169</v>
      </c>
      <c r="B946" s="735" t="s">
        <v>2170</v>
      </c>
      <c r="C946" s="735" t="s">
        <v>451</v>
      </c>
      <c r="D946" s="644" t="s">
        <v>4877</v>
      </c>
      <c r="E946" s="736">
        <v>9000</v>
      </c>
      <c r="F946" s="737" t="s">
        <v>4878</v>
      </c>
      <c r="G946" s="738" t="s">
        <v>4879</v>
      </c>
      <c r="H946" s="644" t="s">
        <v>2201</v>
      </c>
      <c r="I946" s="636"/>
      <c r="J946" s="644"/>
      <c r="K946" s="739"/>
      <c r="L946" s="735">
        <v>12</v>
      </c>
      <c r="M946" s="736">
        <v>110241.20999999998</v>
      </c>
      <c r="N946" s="735"/>
      <c r="O946" s="735">
        <v>6</v>
      </c>
      <c r="P946" s="736">
        <v>54845.760000000002</v>
      </c>
      <c r="Q946" s="214"/>
    </row>
    <row r="947" spans="1:17" ht="12" customHeight="1" x14ac:dyDescent="0.2">
      <c r="A947" s="735" t="s">
        <v>2169</v>
      </c>
      <c r="B947" s="735" t="s">
        <v>2170</v>
      </c>
      <c r="C947" s="735" t="s">
        <v>451</v>
      </c>
      <c r="D947" s="644" t="s">
        <v>3293</v>
      </c>
      <c r="E947" s="736">
        <v>5000</v>
      </c>
      <c r="F947" s="737" t="s">
        <v>4880</v>
      </c>
      <c r="G947" s="738" t="s">
        <v>4881</v>
      </c>
      <c r="H947" s="644" t="s">
        <v>2201</v>
      </c>
      <c r="I947" s="636"/>
      <c r="J947" s="644"/>
      <c r="K947" s="739"/>
      <c r="L947" s="735">
        <v>12</v>
      </c>
      <c r="M947" s="736">
        <v>63375.80000000001</v>
      </c>
      <c r="N947" s="735"/>
      <c r="O947" s="735">
        <v>6</v>
      </c>
      <c r="P947" s="736">
        <v>31044.9</v>
      </c>
      <c r="Q947" s="214"/>
    </row>
    <row r="948" spans="1:17" ht="12" customHeight="1" x14ac:dyDescent="0.2">
      <c r="A948" s="735" t="s">
        <v>2169</v>
      </c>
      <c r="B948" s="735" t="s">
        <v>2170</v>
      </c>
      <c r="C948" s="735" t="s">
        <v>451</v>
      </c>
      <c r="D948" s="644" t="s">
        <v>2630</v>
      </c>
      <c r="E948" s="736">
        <v>8000</v>
      </c>
      <c r="F948" s="737" t="s">
        <v>4882</v>
      </c>
      <c r="G948" s="738" t="s">
        <v>4883</v>
      </c>
      <c r="H948" s="644" t="s">
        <v>4884</v>
      </c>
      <c r="I948" s="636" t="s">
        <v>2393</v>
      </c>
      <c r="J948" s="644" t="s">
        <v>2393</v>
      </c>
      <c r="K948" s="739"/>
      <c r="L948" s="735">
        <v>3</v>
      </c>
      <c r="M948" s="736">
        <v>24322.79</v>
      </c>
      <c r="N948" s="735"/>
      <c r="O948" s="735"/>
      <c r="P948" s="736"/>
      <c r="Q948" s="214"/>
    </row>
    <row r="949" spans="1:17" ht="12" customHeight="1" x14ac:dyDescent="0.2">
      <c r="A949" s="735" t="s">
        <v>2169</v>
      </c>
      <c r="B949" s="735" t="s">
        <v>2170</v>
      </c>
      <c r="C949" s="735" t="s">
        <v>451</v>
      </c>
      <c r="D949" s="644" t="s">
        <v>4885</v>
      </c>
      <c r="E949" s="736">
        <v>7000</v>
      </c>
      <c r="F949" s="737" t="s">
        <v>4886</v>
      </c>
      <c r="G949" s="738" t="s">
        <v>4887</v>
      </c>
      <c r="H949" s="644" t="s">
        <v>2372</v>
      </c>
      <c r="I949" s="636" t="s">
        <v>2284</v>
      </c>
      <c r="J949" s="644" t="s">
        <v>2284</v>
      </c>
      <c r="K949" s="739"/>
      <c r="L949" s="735">
        <v>10</v>
      </c>
      <c r="M949" s="736">
        <v>66998.759999999995</v>
      </c>
      <c r="N949" s="735"/>
      <c r="O949" s="735"/>
      <c r="P949" s="736"/>
      <c r="Q949" s="214"/>
    </row>
    <row r="950" spans="1:17" ht="12" customHeight="1" x14ac:dyDescent="0.2">
      <c r="A950" s="735" t="s">
        <v>2169</v>
      </c>
      <c r="B950" s="735" t="s">
        <v>2170</v>
      </c>
      <c r="C950" s="735" t="s">
        <v>451</v>
      </c>
      <c r="D950" s="644" t="s">
        <v>2261</v>
      </c>
      <c r="E950" s="736">
        <v>3500</v>
      </c>
      <c r="F950" s="737" t="s">
        <v>4888</v>
      </c>
      <c r="G950" s="738" t="s">
        <v>4889</v>
      </c>
      <c r="H950" s="644" t="s">
        <v>4890</v>
      </c>
      <c r="I950" s="636" t="s">
        <v>2250</v>
      </c>
      <c r="J950" s="644" t="s">
        <v>2250</v>
      </c>
      <c r="K950" s="739"/>
      <c r="L950" s="735">
        <v>12</v>
      </c>
      <c r="M950" s="736">
        <v>44174.540000000008</v>
      </c>
      <c r="N950" s="735"/>
      <c r="O950" s="735">
        <v>6</v>
      </c>
      <c r="P950" s="736">
        <v>22000.400000000001</v>
      </c>
      <c r="Q950" s="214"/>
    </row>
    <row r="951" spans="1:17" ht="12" customHeight="1" x14ac:dyDescent="0.2">
      <c r="A951" s="735" t="s">
        <v>2169</v>
      </c>
      <c r="B951" s="735" t="s">
        <v>2232</v>
      </c>
      <c r="C951" s="735" t="s">
        <v>451</v>
      </c>
      <c r="D951" s="644" t="s">
        <v>2272</v>
      </c>
      <c r="E951" s="736">
        <v>9500</v>
      </c>
      <c r="F951" s="737" t="s">
        <v>4891</v>
      </c>
      <c r="G951" s="738" t="s">
        <v>4892</v>
      </c>
      <c r="H951" s="644" t="s">
        <v>2317</v>
      </c>
      <c r="I951" s="636" t="s">
        <v>2250</v>
      </c>
      <c r="J951" s="644" t="s">
        <v>2250</v>
      </c>
      <c r="K951" s="739"/>
      <c r="L951" s="735">
        <v>11</v>
      </c>
      <c r="M951" s="736">
        <v>106026.71999999997</v>
      </c>
      <c r="N951" s="735"/>
      <c r="O951" s="735">
        <v>5</v>
      </c>
      <c r="P951" s="736">
        <v>48370.75</v>
      </c>
      <c r="Q951" s="214"/>
    </row>
    <row r="952" spans="1:17" ht="12" customHeight="1" x14ac:dyDescent="0.2">
      <c r="A952" s="735" t="s">
        <v>2169</v>
      </c>
      <c r="B952" s="735" t="s">
        <v>2170</v>
      </c>
      <c r="C952" s="735" t="s">
        <v>451</v>
      </c>
      <c r="D952" s="644" t="s">
        <v>4893</v>
      </c>
      <c r="E952" s="736">
        <v>6000</v>
      </c>
      <c r="F952" s="737" t="s">
        <v>4894</v>
      </c>
      <c r="G952" s="738" t="s">
        <v>4895</v>
      </c>
      <c r="H952" s="644" t="s">
        <v>2268</v>
      </c>
      <c r="I952" s="636" t="s">
        <v>2228</v>
      </c>
      <c r="J952" s="644" t="s">
        <v>2268</v>
      </c>
      <c r="K952" s="739"/>
      <c r="L952" s="735">
        <v>12</v>
      </c>
      <c r="M952" s="736">
        <v>73760.800000000003</v>
      </c>
      <c r="N952" s="735"/>
      <c r="O952" s="735">
        <v>6</v>
      </c>
      <c r="P952" s="736">
        <v>36997.050000000003</v>
      </c>
      <c r="Q952" s="214"/>
    </row>
    <row r="953" spans="1:17" ht="12" customHeight="1" x14ac:dyDescent="0.2">
      <c r="A953" s="735" t="s">
        <v>2169</v>
      </c>
      <c r="B953" s="735" t="s">
        <v>2170</v>
      </c>
      <c r="C953" s="735" t="s">
        <v>451</v>
      </c>
      <c r="D953" s="644" t="s">
        <v>4896</v>
      </c>
      <c r="E953" s="736">
        <v>9500</v>
      </c>
      <c r="F953" s="737" t="s">
        <v>4897</v>
      </c>
      <c r="G953" s="738" t="s">
        <v>4898</v>
      </c>
      <c r="H953" s="644" t="s">
        <v>2268</v>
      </c>
      <c r="I953" s="636" t="s">
        <v>2180</v>
      </c>
      <c r="J953" s="644" t="s">
        <v>2180</v>
      </c>
      <c r="K953" s="739"/>
      <c r="L953" s="735">
        <v>12</v>
      </c>
      <c r="M953" s="736">
        <v>115960.79999999997</v>
      </c>
      <c r="N953" s="735"/>
      <c r="O953" s="735">
        <v>6</v>
      </c>
      <c r="P953" s="736">
        <v>58044.9</v>
      </c>
      <c r="Q953" s="214"/>
    </row>
    <row r="954" spans="1:17" ht="12" customHeight="1" x14ac:dyDescent="0.2">
      <c r="A954" s="735" t="s">
        <v>2169</v>
      </c>
      <c r="B954" s="735" t="s">
        <v>2170</v>
      </c>
      <c r="C954" s="735" t="s">
        <v>451</v>
      </c>
      <c r="D954" s="644" t="s">
        <v>2369</v>
      </c>
      <c r="E954" s="736">
        <v>4000</v>
      </c>
      <c r="F954" s="737" t="s">
        <v>4899</v>
      </c>
      <c r="G954" s="738" t="s">
        <v>4900</v>
      </c>
      <c r="H954" s="644" t="s">
        <v>3388</v>
      </c>
      <c r="I954" s="636" t="s">
        <v>2385</v>
      </c>
      <c r="J954" s="644" t="s">
        <v>2385</v>
      </c>
      <c r="K954" s="739"/>
      <c r="L954" s="735">
        <v>12</v>
      </c>
      <c r="M954" s="736">
        <v>49956.450000000012</v>
      </c>
      <c r="N954" s="735"/>
      <c r="O954" s="735">
        <v>6</v>
      </c>
      <c r="P954" s="736">
        <v>24980.53</v>
      </c>
      <c r="Q954" s="214"/>
    </row>
    <row r="955" spans="1:17" ht="12" customHeight="1" x14ac:dyDescent="0.2">
      <c r="A955" s="735" t="s">
        <v>2169</v>
      </c>
      <c r="B955" s="735" t="s">
        <v>2170</v>
      </c>
      <c r="C955" s="735" t="s">
        <v>451</v>
      </c>
      <c r="D955" s="644" t="s">
        <v>2724</v>
      </c>
      <c r="E955" s="736">
        <v>5000</v>
      </c>
      <c r="F955" s="737" t="s">
        <v>4901</v>
      </c>
      <c r="G955" s="738" t="s">
        <v>4902</v>
      </c>
      <c r="H955" s="644" t="s">
        <v>4903</v>
      </c>
      <c r="I955" s="636" t="s">
        <v>2218</v>
      </c>
      <c r="J955" s="644"/>
      <c r="K955" s="739"/>
      <c r="L955" s="735">
        <v>7</v>
      </c>
      <c r="M955" s="736">
        <v>34980.400000000001</v>
      </c>
      <c r="N955" s="735"/>
      <c r="O955" s="735">
        <v>6</v>
      </c>
      <c r="P955" s="736">
        <v>30878.230000000003</v>
      </c>
      <c r="Q955" s="214"/>
    </row>
    <row r="956" spans="1:17" ht="12" customHeight="1" x14ac:dyDescent="0.2">
      <c r="A956" s="735" t="s">
        <v>2169</v>
      </c>
      <c r="B956" s="735" t="s">
        <v>2170</v>
      </c>
      <c r="C956" s="735" t="s">
        <v>451</v>
      </c>
      <c r="D956" s="644" t="s">
        <v>4904</v>
      </c>
      <c r="E956" s="736">
        <v>7000</v>
      </c>
      <c r="F956" s="737" t="s">
        <v>4905</v>
      </c>
      <c r="G956" s="738" t="s">
        <v>4906</v>
      </c>
      <c r="H956" s="644" t="s">
        <v>2179</v>
      </c>
      <c r="I956" s="636" t="s">
        <v>2228</v>
      </c>
      <c r="J956" s="644" t="s">
        <v>2179</v>
      </c>
      <c r="K956" s="739"/>
      <c r="L956" s="735">
        <v>9</v>
      </c>
      <c r="M956" s="736">
        <v>64086.640000000007</v>
      </c>
      <c r="N956" s="735"/>
      <c r="O956" s="735"/>
      <c r="P956" s="736"/>
      <c r="Q956" s="214"/>
    </row>
    <row r="957" spans="1:17" ht="12" customHeight="1" x14ac:dyDescent="0.2">
      <c r="A957" s="735" t="s">
        <v>2169</v>
      </c>
      <c r="B957" s="735" t="s">
        <v>2170</v>
      </c>
      <c r="C957" s="735" t="s">
        <v>451</v>
      </c>
      <c r="D957" s="644" t="s">
        <v>4907</v>
      </c>
      <c r="E957" s="736">
        <v>7000</v>
      </c>
      <c r="F957" s="737" t="s">
        <v>4908</v>
      </c>
      <c r="G957" s="738" t="s">
        <v>4909</v>
      </c>
      <c r="H957" s="644" t="s">
        <v>3339</v>
      </c>
      <c r="I957" s="636" t="s">
        <v>2180</v>
      </c>
      <c r="J957" s="644" t="s">
        <v>2180</v>
      </c>
      <c r="K957" s="739"/>
      <c r="L957" s="735">
        <v>12</v>
      </c>
      <c r="M957" s="736">
        <v>86066.13</v>
      </c>
      <c r="N957" s="735"/>
      <c r="O957" s="735">
        <v>6</v>
      </c>
      <c r="P957" s="736">
        <v>43041.380000000005</v>
      </c>
      <c r="Q957" s="214"/>
    </row>
    <row r="958" spans="1:17" ht="12" customHeight="1" x14ac:dyDescent="0.2">
      <c r="A958" s="735" t="s">
        <v>2169</v>
      </c>
      <c r="B958" s="735" t="s">
        <v>2170</v>
      </c>
      <c r="C958" s="735" t="s">
        <v>451</v>
      </c>
      <c r="D958" s="644" t="s">
        <v>4910</v>
      </c>
      <c r="E958" s="736">
        <v>6000</v>
      </c>
      <c r="F958" s="737" t="s">
        <v>4911</v>
      </c>
      <c r="G958" s="738" t="s">
        <v>4912</v>
      </c>
      <c r="H958" s="644" t="s">
        <v>2543</v>
      </c>
      <c r="I958" s="636" t="s">
        <v>2250</v>
      </c>
      <c r="J958" s="644" t="s">
        <v>2250</v>
      </c>
      <c r="K958" s="739"/>
      <c r="L958" s="735">
        <v>12</v>
      </c>
      <c r="M958" s="736">
        <v>73954.81</v>
      </c>
      <c r="N958" s="735"/>
      <c r="O958" s="735">
        <v>6</v>
      </c>
      <c r="P958" s="736">
        <v>37033.26</v>
      </c>
      <c r="Q958" s="214"/>
    </row>
    <row r="959" spans="1:17" ht="12" customHeight="1" x14ac:dyDescent="0.2">
      <c r="A959" s="735" t="s">
        <v>2169</v>
      </c>
      <c r="B959" s="735" t="s">
        <v>2170</v>
      </c>
      <c r="C959" s="735" t="s">
        <v>451</v>
      </c>
      <c r="D959" s="644" t="s">
        <v>3908</v>
      </c>
      <c r="E959" s="736">
        <v>2500</v>
      </c>
      <c r="F959" s="737" t="s">
        <v>4913</v>
      </c>
      <c r="G959" s="738" t="s">
        <v>4914</v>
      </c>
      <c r="H959" s="644" t="s">
        <v>2201</v>
      </c>
      <c r="I959" s="636"/>
      <c r="J959" s="644"/>
      <c r="K959" s="739"/>
      <c r="L959" s="735">
        <v>12</v>
      </c>
      <c r="M959" s="736">
        <v>32043.900000000005</v>
      </c>
      <c r="N959" s="735"/>
      <c r="O959" s="735">
        <v>6</v>
      </c>
      <c r="P959" s="736">
        <v>16038.97</v>
      </c>
      <c r="Q959" s="214"/>
    </row>
    <row r="960" spans="1:17" ht="12" customHeight="1" x14ac:dyDescent="0.2">
      <c r="A960" s="735" t="s">
        <v>2169</v>
      </c>
      <c r="B960" s="735" t="s">
        <v>2170</v>
      </c>
      <c r="C960" s="735" t="s">
        <v>451</v>
      </c>
      <c r="D960" s="644" t="s">
        <v>2772</v>
      </c>
      <c r="E960" s="736">
        <v>3500</v>
      </c>
      <c r="F960" s="737" t="s">
        <v>4915</v>
      </c>
      <c r="G960" s="738" t="s">
        <v>4916</v>
      </c>
      <c r="H960" s="644">
        <v>0</v>
      </c>
      <c r="I960" s="636">
        <v>0</v>
      </c>
      <c r="J960" s="644">
        <v>0</v>
      </c>
      <c r="K960" s="739"/>
      <c r="L960" s="735">
        <v>3</v>
      </c>
      <c r="M960" s="736">
        <v>10840.2</v>
      </c>
      <c r="N960" s="735"/>
      <c r="O960" s="735"/>
      <c r="P960" s="736"/>
      <c r="Q960" s="214"/>
    </row>
    <row r="961" spans="1:17" ht="12" customHeight="1" x14ac:dyDescent="0.2">
      <c r="A961" s="735" t="s">
        <v>2169</v>
      </c>
      <c r="B961" s="735" t="s">
        <v>2170</v>
      </c>
      <c r="C961" s="735" t="s">
        <v>451</v>
      </c>
      <c r="D961" s="644" t="s">
        <v>2424</v>
      </c>
      <c r="E961" s="736">
        <v>10000</v>
      </c>
      <c r="F961" s="737" t="s">
        <v>4917</v>
      </c>
      <c r="G961" s="738" t="s">
        <v>4918</v>
      </c>
      <c r="H961" s="644" t="s">
        <v>2201</v>
      </c>
      <c r="I961" s="636"/>
      <c r="J961" s="644"/>
      <c r="K961" s="739"/>
      <c r="L961" s="735">
        <v>6</v>
      </c>
      <c r="M961" s="736">
        <v>52310.780000000006</v>
      </c>
      <c r="N961" s="735"/>
      <c r="O961" s="735"/>
      <c r="P961" s="736"/>
      <c r="Q961" s="214"/>
    </row>
    <row r="962" spans="1:17" ht="12" customHeight="1" x14ac:dyDescent="0.2">
      <c r="A962" s="735" t="s">
        <v>2169</v>
      </c>
      <c r="B962" s="735" t="s">
        <v>2170</v>
      </c>
      <c r="C962" s="735" t="s">
        <v>451</v>
      </c>
      <c r="D962" s="644" t="s">
        <v>3037</v>
      </c>
      <c r="E962" s="736">
        <v>8000</v>
      </c>
      <c r="F962" s="737" t="s">
        <v>4919</v>
      </c>
      <c r="G962" s="738" t="s">
        <v>4920</v>
      </c>
      <c r="H962" s="644">
        <v>0</v>
      </c>
      <c r="I962" s="636">
        <v>0</v>
      </c>
      <c r="J962" s="644">
        <v>0</v>
      </c>
      <c r="K962" s="739"/>
      <c r="L962" s="735">
        <v>3</v>
      </c>
      <c r="M962" s="736">
        <v>24340.199999999997</v>
      </c>
      <c r="N962" s="735"/>
      <c r="O962" s="735"/>
      <c r="P962" s="736"/>
      <c r="Q962" s="214"/>
    </row>
    <row r="963" spans="1:17" ht="12" customHeight="1" x14ac:dyDescent="0.2">
      <c r="A963" s="735" t="s">
        <v>2169</v>
      </c>
      <c r="B963" s="735" t="s">
        <v>2170</v>
      </c>
      <c r="C963" s="735" t="s">
        <v>451</v>
      </c>
      <c r="D963" s="644" t="s">
        <v>2171</v>
      </c>
      <c r="E963" s="736">
        <v>6000</v>
      </c>
      <c r="F963" s="737" t="s">
        <v>4921</v>
      </c>
      <c r="G963" s="738" t="s">
        <v>4922</v>
      </c>
      <c r="H963" s="644" t="s">
        <v>2201</v>
      </c>
      <c r="I963" s="636" t="s">
        <v>2201</v>
      </c>
      <c r="J963" s="644"/>
      <c r="K963" s="739"/>
      <c r="L963" s="735">
        <v>3</v>
      </c>
      <c r="M963" s="736">
        <v>18340.199999999997</v>
      </c>
      <c r="N963" s="735"/>
      <c r="O963" s="735"/>
      <c r="P963" s="736"/>
      <c r="Q963" s="214"/>
    </row>
    <row r="964" spans="1:17" ht="12" customHeight="1" x14ac:dyDescent="0.2">
      <c r="A964" s="735" t="s">
        <v>2169</v>
      </c>
      <c r="B964" s="735" t="s">
        <v>2170</v>
      </c>
      <c r="C964" s="735" t="s">
        <v>451</v>
      </c>
      <c r="D964" s="644" t="s">
        <v>4923</v>
      </c>
      <c r="E964" s="736">
        <v>6000</v>
      </c>
      <c r="F964" s="737" t="s">
        <v>4924</v>
      </c>
      <c r="G964" s="738" t="s">
        <v>4925</v>
      </c>
      <c r="H964" s="644" t="s">
        <v>4926</v>
      </c>
      <c r="I964" s="636" t="s">
        <v>3025</v>
      </c>
      <c r="J964" s="644"/>
      <c r="K964" s="739"/>
      <c r="L964" s="735">
        <v>1</v>
      </c>
      <c r="M964" s="736">
        <v>4113.3999999999996</v>
      </c>
      <c r="N964" s="735"/>
      <c r="O964" s="735">
        <v>6</v>
      </c>
      <c r="P964" s="736">
        <v>37022.490000000005</v>
      </c>
      <c r="Q964" s="214"/>
    </row>
    <row r="965" spans="1:17" ht="12" customHeight="1" x14ac:dyDescent="0.2">
      <c r="A965" s="735" t="s">
        <v>2169</v>
      </c>
      <c r="B965" s="735" t="s">
        <v>2170</v>
      </c>
      <c r="C965" s="735" t="s">
        <v>451</v>
      </c>
      <c r="D965" s="644" t="s">
        <v>4927</v>
      </c>
      <c r="E965" s="736">
        <v>4000</v>
      </c>
      <c r="F965" s="737" t="s">
        <v>4928</v>
      </c>
      <c r="G965" s="738" t="s">
        <v>4929</v>
      </c>
      <c r="H965" s="644" t="s">
        <v>2201</v>
      </c>
      <c r="I965" s="636"/>
      <c r="J965" s="644"/>
      <c r="K965" s="739"/>
      <c r="L965" s="735">
        <v>12</v>
      </c>
      <c r="M965" s="736">
        <v>49960.80000000001</v>
      </c>
      <c r="N965" s="735"/>
      <c r="O965" s="735">
        <v>6</v>
      </c>
      <c r="P965" s="736">
        <v>24643.75</v>
      </c>
      <c r="Q965" s="214"/>
    </row>
    <row r="966" spans="1:17" ht="12" customHeight="1" x14ac:dyDescent="0.2">
      <c r="A966" s="735" t="s">
        <v>2169</v>
      </c>
      <c r="B966" s="735" t="s">
        <v>2232</v>
      </c>
      <c r="C966" s="735" t="s">
        <v>451</v>
      </c>
      <c r="D966" s="644" t="s">
        <v>2272</v>
      </c>
      <c r="E966" s="736">
        <v>9500</v>
      </c>
      <c r="F966" s="737" t="s">
        <v>4930</v>
      </c>
      <c r="G966" s="738" t="s">
        <v>4931</v>
      </c>
      <c r="H966" s="644" t="s">
        <v>3057</v>
      </c>
      <c r="I966" s="636" t="s">
        <v>2250</v>
      </c>
      <c r="J966" s="644" t="s">
        <v>2250</v>
      </c>
      <c r="K966" s="739"/>
      <c r="L966" s="735">
        <v>11</v>
      </c>
      <c r="M966" s="736">
        <v>106047.39999999998</v>
      </c>
      <c r="N966" s="735"/>
      <c r="O966" s="735">
        <v>1</v>
      </c>
      <c r="P966" s="736">
        <v>9990.82</v>
      </c>
      <c r="Q966" s="214"/>
    </row>
    <row r="967" spans="1:17" ht="12" customHeight="1" x14ac:dyDescent="0.2">
      <c r="A967" s="735" t="s">
        <v>2169</v>
      </c>
      <c r="B967" s="735" t="s">
        <v>2170</v>
      </c>
      <c r="C967" s="735" t="s">
        <v>451</v>
      </c>
      <c r="D967" s="644" t="s">
        <v>4932</v>
      </c>
      <c r="E967" s="736">
        <v>12000</v>
      </c>
      <c r="F967" s="737" t="s">
        <v>4933</v>
      </c>
      <c r="G967" s="738" t="s">
        <v>4934</v>
      </c>
      <c r="H967" s="644" t="s">
        <v>4935</v>
      </c>
      <c r="I967" s="636" t="s">
        <v>2180</v>
      </c>
      <c r="J967" s="644" t="s">
        <v>2180</v>
      </c>
      <c r="K967" s="739"/>
      <c r="L967" s="735">
        <v>3</v>
      </c>
      <c r="M967" s="736">
        <v>35437.339999999997</v>
      </c>
      <c r="N967" s="735"/>
      <c r="O967" s="735"/>
      <c r="P967" s="736"/>
      <c r="Q967" s="214"/>
    </row>
    <row r="968" spans="1:17" ht="12" customHeight="1" x14ac:dyDescent="0.2">
      <c r="A968" s="735" t="s">
        <v>2169</v>
      </c>
      <c r="B968" s="735" t="s">
        <v>2170</v>
      </c>
      <c r="C968" s="735" t="s">
        <v>451</v>
      </c>
      <c r="D968" s="644" t="s">
        <v>4936</v>
      </c>
      <c r="E968" s="736">
        <v>6500</v>
      </c>
      <c r="F968" s="737" t="s">
        <v>4937</v>
      </c>
      <c r="G968" s="738" t="s">
        <v>4938</v>
      </c>
      <c r="H968" s="644" t="s">
        <v>4681</v>
      </c>
      <c r="I968" s="636" t="s">
        <v>2175</v>
      </c>
      <c r="J968" s="644" t="s">
        <v>4681</v>
      </c>
      <c r="K968" s="739"/>
      <c r="L968" s="735">
        <v>12</v>
      </c>
      <c r="M968" s="736">
        <v>79960.799999999988</v>
      </c>
      <c r="N968" s="735"/>
      <c r="O968" s="735">
        <v>6</v>
      </c>
      <c r="P968" s="736">
        <v>40044.9</v>
      </c>
      <c r="Q968" s="214"/>
    </row>
    <row r="969" spans="1:17" ht="12" customHeight="1" x14ac:dyDescent="0.2">
      <c r="A969" s="735" t="s">
        <v>2169</v>
      </c>
      <c r="B969" s="735" t="s">
        <v>2170</v>
      </c>
      <c r="C969" s="735" t="s">
        <v>451</v>
      </c>
      <c r="D969" s="644" t="s">
        <v>4939</v>
      </c>
      <c r="E969" s="736">
        <v>5000</v>
      </c>
      <c r="F969" s="737" t="s">
        <v>4940</v>
      </c>
      <c r="G969" s="738" t="s">
        <v>4941</v>
      </c>
      <c r="H969" s="644" t="s">
        <v>2372</v>
      </c>
      <c r="I969" s="636" t="s">
        <v>2284</v>
      </c>
      <c r="J969" s="644" t="s">
        <v>2284</v>
      </c>
      <c r="K969" s="739"/>
      <c r="L969" s="735">
        <v>12</v>
      </c>
      <c r="M969" s="736">
        <v>61959.890000000007</v>
      </c>
      <c r="N969" s="735"/>
      <c r="O969" s="735">
        <v>6</v>
      </c>
      <c r="P969" s="736">
        <v>30942.17</v>
      </c>
      <c r="Q969" s="214"/>
    </row>
    <row r="970" spans="1:17" ht="12" customHeight="1" x14ac:dyDescent="0.2">
      <c r="A970" s="735" t="s">
        <v>2169</v>
      </c>
      <c r="B970" s="735" t="s">
        <v>2170</v>
      </c>
      <c r="C970" s="735" t="s">
        <v>451</v>
      </c>
      <c r="D970" s="644" t="s">
        <v>4942</v>
      </c>
      <c r="E970" s="736">
        <v>12000</v>
      </c>
      <c r="F970" s="737" t="s">
        <v>4943</v>
      </c>
      <c r="G970" s="738" t="s">
        <v>4944</v>
      </c>
      <c r="H970" s="644" t="s">
        <v>2208</v>
      </c>
      <c r="I970" s="636" t="s">
        <v>2180</v>
      </c>
      <c r="J970" s="644" t="s">
        <v>2180</v>
      </c>
      <c r="K970" s="739"/>
      <c r="L970" s="735">
        <v>3</v>
      </c>
      <c r="M970" s="736">
        <v>36340.199999999997</v>
      </c>
      <c r="N970" s="735"/>
      <c r="O970" s="735"/>
      <c r="P970" s="736"/>
      <c r="Q970" s="214"/>
    </row>
    <row r="971" spans="1:17" ht="12" customHeight="1" x14ac:dyDescent="0.2">
      <c r="A971" s="735" t="s">
        <v>2169</v>
      </c>
      <c r="B971" s="735" t="s">
        <v>2170</v>
      </c>
      <c r="C971" s="735" t="s">
        <v>451</v>
      </c>
      <c r="D971" s="644" t="s">
        <v>4945</v>
      </c>
      <c r="E971" s="736">
        <v>8000</v>
      </c>
      <c r="F971" s="737" t="s">
        <v>4946</v>
      </c>
      <c r="G971" s="738" t="s">
        <v>4947</v>
      </c>
      <c r="H971" s="644" t="s">
        <v>2420</v>
      </c>
      <c r="I971" s="636" t="s">
        <v>2175</v>
      </c>
      <c r="J971" s="644"/>
      <c r="K971" s="739"/>
      <c r="L971" s="735">
        <v>12</v>
      </c>
      <c r="M971" s="736">
        <v>98647.39999999998</v>
      </c>
      <c r="N971" s="735"/>
      <c r="O971" s="735">
        <v>6</v>
      </c>
      <c r="P971" s="736">
        <v>49044.9</v>
      </c>
      <c r="Q971" s="214"/>
    </row>
    <row r="972" spans="1:17" ht="12" customHeight="1" x14ac:dyDescent="0.2">
      <c r="A972" s="735" t="s">
        <v>2169</v>
      </c>
      <c r="B972" s="735" t="s">
        <v>2170</v>
      </c>
      <c r="C972" s="735" t="s">
        <v>451</v>
      </c>
      <c r="D972" s="644" t="s">
        <v>3296</v>
      </c>
      <c r="E972" s="736">
        <v>8000</v>
      </c>
      <c r="F972" s="737" t="s">
        <v>4948</v>
      </c>
      <c r="G972" s="738" t="s">
        <v>4949</v>
      </c>
      <c r="H972" s="644" t="s">
        <v>2174</v>
      </c>
      <c r="I972" s="636" t="s">
        <v>2180</v>
      </c>
      <c r="J972" s="644" t="s">
        <v>2180</v>
      </c>
      <c r="K972" s="739"/>
      <c r="L972" s="735">
        <v>12</v>
      </c>
      <c r="M972" s="736">
        <v>96579.42</v>
      </c>
      <c r="N972" s="735"/>
      <c r="O972" s="735">
        <v>6</v>
      </c>
      <c r="P972" s="736">
        <v>46131.9</v>
      </c>
      <c r="Q972" s="214"/>
    </row>
    <row r="973" spans="1:17" ht="12" customHeight="1" x14ac:dyDescent="0.2">
      <c r="A973" s="735" t="s">
        <v>2169</v>
      </c>
      <c r="B973" s="735" t="s">
        <v>2232</v>
      </c>
      <c r="C973" s="735" t="s">
        <v>451</v>
      </c>
      <c r="D973" s="644" t="s">
        <v>4950</v>
      </c>
      <c r="E973" s="736">
        <v>6000</v>
      </c>
      <c r="F973" s="737" t="s">
        <v>4951</v>
      </c>
      <c r="G973" s="738" t="s">
        <v>4952</v>
      </c>
      <c r="H973" s="644" t="s">
        <v>4953</v>
      </c>
      <c r="I973" s="636" t="s">
        <v>2175</v>
      </c>
      <c r="J973" s="644" t="s">
        <v>4953</v>
      </c>
      <c r="K973" s="739"/>
      <c r="L973" s="735">
        <v>10</v>
      </c>
      <c r="M973" s="736">
        <v>61228.560000000012</v>
      </c>
      <c r="N973" s="735"/>
      <c r="O973" s="735"/>
      <c r="P973" s="736"/>
      <c r="Q973" s="214"/>
    </row>
    <row r="974" spans="1:17" ht="12" customHeight="1" x14ac:dyDescent="0.2">
      <c r="A974" s="735" t="s">
        <v>2169</v>
      </c>
      <c r="B974" s="735" t="s">
        <v>2170</v>
      </c>
      <c r="C974" s="735" t="s">
        <v>451</v>
      </c>
      <c r="D974" s="644" t="s">
        <v>4954</v>
      </c>
      <c r="E974" s="736">
        <v>9500</v>
      </c>
      <c r="F974" s="737" t="s">
        <v>4955</v>
      </c>
      <c r="G974" s="738" t="s">
        <v>4956</v>
      </c>
      <c r="H974" s="644" t="s">
        <v>2317</v>
      </c>
      <c r="I974" s="636" t="s">
        <v>2250</v>
      </c>
      <c r="J974" s="644" t="s">
        <v>2250</v>
      </c>
      <c r="K974" s="739"/>
      <c r="L974" s="735">
        <v>12</v>
      </c>
      <c r="M974" s="736">
        <v>115960.79999999997</v>
      </c>
      <c r="N974" s="735"/>
      <c r="O974" s="735">
        <v>6</v>
      </c>
      <c r="P974" s="736">
        <v>57706.39</v>
      </c>
      <c r="Q974" s="214"/>
    </row>
    <row r="975" spans="1:17" ht="12" customHeight="1" x14ac:dyDescent="0.2">
      <c r="A975" s="735" t="s">
        <v>2169</v>
      </c>
      <c r="B975" s="735" t="s">
        <v>2170</v>
      </c>
      <c r="C975" s="735" t="s">
        <v>451</v>
      </c>
      <c r="D975" s="644" t="s">
        <v>4957</v>
      </c>
      <c r="E975" s="736">
        <v>15600</v>
      </c>
      <c r="F975" s="737" t="s">
        <v>4958</v>
      </c>
      <c r="G975" s="738" t="s">
        <v>4959</v>
      </c>
      <c r="H975" s="644" t="s">
        <v>2201</v>
      </c>
      <c r="I975" s="636"/>
      <c r="J975" s="644"/>
      <c r="K975" s="739"/>
      <c r="L975" s="735">
        <v>10</v>
      </c>
      <c r="M975" s="736">
        <v>157433.99999999997</v>
      </c>
      <c r="N975" s="735"/>
      <c r="O975" s="735"/>
      <c r="P975" s="736"/>
      <c r="Q975" s="214"/>
    </row>
    <row r="976" spans="1:17" ht="12" customHeight="1" x14ac:dyDescent="0.2">
      <c r="A976" s="735" t="s">
        <v>2169</v>
      </c>
      <c r="B976" s="735" t="s">
        <v>2170</v>
      </c>
      <c r="C976" s="735" t="s">
        <v>451</v>
      </c>
      <c r="D976" s="644" t="s">
        <v>4960</v>
      </c>
      <c r="E976" s="736">
        <v>7000</v>
      </c>
      <c r="F976" s="737" t="s">
        <v>4961</v>
      </c>
      <c r="G976" s="738" t="s">
        <v>4962</v>
      </c>
      <c r="H976" s="644" t="s">
        <v>2174</v>
      </c>
      <c r="I976" s="636" t="s">
        <v>2250</v>
      </c>
      <c r="J976" s="644" t="s">
        <v>2250</v>
      </c>
      <c r="K976" s="739"/>
      <c r="L976" s="735">
        <v>12</v>
      </c>
      <c r="M976" s="736">
        <v>87560.799999999988</v>
      </c>
      <c r="N976" s="735"/>
      <c r="O976" s="735">
        <v>6</v>
      </c>
      <c r="P976" s="736">
        <v>55039.08</v>
      </c>
      <c r="Q976" s="214"/>
    </row>
    <row r="977" spans="1:17" ht="12" customHeight="1" x14ac:dyDescent="0.2">
      <c r="A977" s="735" t="s">
        <v>2169</v>
      </c>
      <c r="B977" s="735" t="s">
        <v>2170</v>
      </c>
      <c r="C977" s="735" t="s">
        <v>451</v>
      </c>
      <c r="D977" s="644" t="s">
        <v>4963</v>
      </c>
      <c r="E977" s="736">
        <v>7000</v>
      </c>
      <c r="F977" s="737" t="s">
        <v>4964</v>
      </c>
      <c r="G977" s="738" t="s">
        <v>4965</v>
      </c>
      <c r="H977" s="644">
        <v>0</v>
      </c>
      <c r="I977" s="636">
        <v>0</v>
      </c>
      <c r="J977" s="644">
        <v>0</v>
      </c>
      <c r="K977" s="739"/>
      <c r="L977" s="735">
        <v>3</v>
      </c>
      <c r="M977" s="736">
        <v>21340.199999999997</v>
      </c>
      <c r="N977" s="735"/>
      <c r="O977" s="735"/>
      <c r="P977" s="736"/>
      <c r="Q977" s="214"/>
    </row>
    <row r="978" spans="1:17" ht="12" customHeight="1" x14ac:dyDescent="0.2">
      <c r="A978" s="735" t="s">
        <v>2169</v>
      </c>
      <c r="B978" s="735" t="s">
        <v>2170</v>
      </c>
      <c r="C978" s="735" t="s">
        <v>451</v>
      </c>
      <c r="D978" s="644" t="s">
        <v>2261</v>
      </c>
      <c r="E978" s="736">
        <v>3500</v>
      </c>
      <c r="F978" s="737" t="s">
        <v>4966</v>
      </c>
      <c r="G978" s="738" t="s">
        <v>4967</v>
      </c>
      <c r="H978" s="644" t="s">
        <v>2863</v>
      </c>
      <c r="I978" s="636" t="s">
        <v>2246</v>
      </c>
      <c r="J978" s="644" t="s">
        <v>2863</v>
      </c>
      <c r="K978" s="739"/>
      <c r="L978" s="735">
        <v>12</v>
      </c>
      <c r="M978" s="736">
        <v>44197.400000000009</v>
      </c>
      <c r="N978" s="735"/>
      <c r="O978" s="735">
        <v>6</v>
      </c>
      <c r="P978" s="736">
        <v>22033.09</v>
      </c>
      <c r="Q978" s="214"/>
    </row>
    <row r="979" spans="1:17" ht="12" customHeight="1" x14ac:dyDescent="0.2">
      <c r="A979" s="735" t="s">
        <v>2169</v>
      </c>
      <c r="B979" s="735" t="s">
        <v>2170</v>
      </c>
      <c r="C979" s="735" t="s">
        <v>451</v>
      </c>
      <c r="D979" s="644" t="s">
        <v>4968</v>
      </c>
      <c r="E979" s="736">
        <v>15600</v>
      </c>
      <c r="F979" s="737" t="s">
        <v>4969</v>
      </c>
      <c r="G979" s="738" t="s">
        <v>4970</v>
      </c>
      <c r="H979" s="644" t="s">
        <v>2201</v>
      </c>
      <c r="I979" s="636"/>
      <c r="J979" s="644"/>
      <c r="K979" s="739"/>
      <c r="L979" s="735">
        <v>12</v>
      </c>
      <c r="M979" s="736">
        <v>189160.79999999996</v>
      </c>
      <c r="N979" s="735"/>
      <c r="O979" s="735">
        <v>6</v>
      </c>
      <c r="P979" s="736">
        <v>93084.9</v>
      </c>
      <c r="Q979" s="214"/>
    </row>
    <row r="980" spans="1:17" ht="12" customHeight="1" x14ac:dyDescent="0.2">
      <c r="A980" s="735" t="s">
        <v>2169</v>
      </c>
      <c r="B980" s="735" t="s">
        <v>2170</v>
      </c>
      <c r="C980" s="735" t="s">
        <v>451</v>
      </c>
      <c r="D980" s="644" t="s">
        <v>4971</v>
      </c>
      <c r="E980" s="736">
        <v>12000</v>
      </c>
      <c r="F980" s="737" t="s">
        <v>4972</v>
      </c>
      <c r="G980" s="738" t="s">
        <v>4973</v>
      </c>
      <c r="H980" s="644" t="s">
        <v>2201</v>
      </c>
      <c r="I980" s="636" t="s">
        <v>2201</v>
      </c>
      <c r="J980" s="644"/>
      <c r="K980" s="739"/>
      <c r="L980" s="735">
        <v>1</v>
      </c>
      <c r="M980" s="736">
        <v>12913.4</v>
      </c>
      <c r="N980" s="735"/>
      <c r="O980" s="735">
        <v>6</v>
      </c>
      <c r="P980" s="736">
        <v>73040.59</v>
      </c>
      <c r="Q980" s="214"/>
    </row>
    <row r="981" spans="1:17" ht="12" customHeight="1" x14ac:dyDescent="0.2">
      <c r="A981" s="735" t="s">
        <v>2169</v>
      </c>
      <c r="B981" s="735" t="s">
        <v>2170</v>
      </c>
      <c r="C981" s="735" t="s">
        <v>451</v>
      </c>
      <c r="D981" s="644" t="s">
        <v>4974</v>
      </c>
      <c r="E981" s="736">
        <v>3000</v>
      </c>
      <c r="F981" s="737" t="s">
        <v>4975</v>
      </c>
      <c r="G981" s="738" t="s">
        <v>4976</v>
      </c>
      <c r="H981" s="644" t="s">
        <v>2201</v>
      </c>
      <c r="I981" s="636"/>
      <c r="J981" s="644"/>
      <c r="K981" s="739"/>
      <c r="L981" s="735">
        <v>12</v>
      </c>
      <c r="M981" s="736">
        <v>37960.80000000001</v>
      </c>
      <c r="N981" s="735"/>
      <c r="O981" s="735">
        <v>6</v>
      </c>
      <c r="P981" s="736">
        <v>19044.900000000001</v>
      </c>
      <c r="Q981" s="214"/>
    </row>
    <row r="982" spans="1:17" ht="12" customHeight="1" x14ac:dyDescent="0.2">
      <c r="A982" s="735" t="s">
        <v>2169</v>
      </c>
      <c r="B982" s="735" t="s">
        <v>2170</v>
      </c>
      <c r="C982" s="735" t="s">
        <v>451</v>
      </c>
      <c r="D982" s="644" t="s">
        <v>4977</v>
      </c>
      <c r="E982" s="736">
        <v>8000</v>
      </c>
      <c r="F982" s="737" t="s">
        <v>4978</v>
      </c>
      <c r="G982" s="738" t="s">
        <v>4979</v>
      </c>
      <c r="H982" s="644" t="s">
        <v>2201</v>
      </c>
      <c r="I982" s="636"/>
      <c r="J982" s="644"/>
      <c r="K982" s="739"/>
      <c r="L982" s="735">
        <v>12</v>
      </c>
      <c r="M982" s="736">
        <v>99424.799999999988</v>
      </c>
      <c r="N982" s="735"/>
      <c r="O982" s="735">
        <v>6</v>
      </c>
      <c r="P982" s="736">
        <v>49044.9</v>
      </c>
      <c r="Q982" s="214"/>
    </row>
    <row r="983" spans="1:17" ht="12" customHeight="1" x14ac:dyDescent="0.2">
      <c r="A983" s="735" t="s">
        <v>2169</v>
      </c>
      <c r="B983" s="735" t="s">
        <v>2170</v>
      </c>
      <c r="C983" s="735" t="s">
        <v>451</v>
      </c>
      <c r="D983" s="644" t="s">
        <v>4980</v>
      </c>
      <c r="E983" s="736">
        <v>6500</v>
      </c>
      <c r="F983" s="737" t="s">
        <v>4981</v>
      </c>
      <c r="G983" s="738" t="s">
        <v>4982</v>
      </c>
      <c r="H983" s="644" t="s">
        <v>4983</v>
      </c>
      <c r="I983" s="636" t="s">
        <v>2393</v>
      </c>
      <c r="J983" s="644" t="s">
        <v>2393</v>
      </c>
      <c r="K983" s="739"/>
      <c r="L983" s="735">
        <v>12</v>
      </c>
      <c r="M983" s="736">
        <v>79473.189999999988</v>
      </c>
      <c r="N983" s="735"/>
      <c r="O983" s="735">
        <v>6</v>
      </c>
      <c r="P983" s="736">
        <v>39738.160000000003</v>
      </c>
      <c r="Q983" s="214"/>
    </row>
    <row r="984" spans="1:17" ht="12" customHeight="1" x14ac:dyDescent="0.2">
      <c r="A984" s="735" t="s">
        <v>2169</v>
      </c>
      <c r="B984" s="735" t="s">
        <v>2170</v>
      </c>
      <c r="C984" s="735" t="s">
        <v>451</v>
      </c>
      <c r="D984" s="644" t="s">
        <v>4984</v>
      </c>
      <c r="E984" s="736">
        <v>14000</v>
      </c>
      <c r="F984" s="737" t="s">
        <v>4985</v>
      </c>
      <c r="G984" s="738" t="s">
        <v>4986</v>
      </c>
      <c r="H984" s="644" t="s">
        <v>2201</v>
      </c>
      <c r="I984" s="636"/>
      <c r="J984" s="644"/>
      <c r="K984" s="739"/>
      <c r="L984" s="735">
        <v>12</v>
      </c>
      <c r="M984" s="736">
        <v>169960.79999999996</v>
      </c>
      <c r="N984" s="735"/>
      <c r="O984" s="735">
        <v>6</v>
      </c>
      <c r="P984" s="736">
        <v>85044.9</v>
      </c>
      <c r="Q984" s="214"/>
    </row>
    <row r="985" spans="1:17" ht="12" customHeight="1" x14ac:dyDescent="0.2">
      <c r="A985" s="735" t="s">
        <v>2169</v>
      </c>
      <c r="B985" s="735" t="s">
        <v>2170</v>
      </c>
      <c r="C985" s="735" t="s">
        <v>451</v>
      </c>
      <c r="D985" s="644" t="s">
        <v>2909</v>
      </c>
      <c r="E985" s="736">
        <v>3000</v>
      </c>
      <c r="F985" s="737" t="s">
        <v>4987</v>
      </c>
      <c r="G985" s="738" t="s">
        <v>4988</v>
      </c>
      <c r="H985" s="644" t="s">
        <v>2863</v>
      </c>
      <c r="I985" s="636" t="s">
        <v>2193</v>
      </c>
      <c r="J985" s="644" t="s">
        <v>2863</v>
      </c>
      <c r="K985" s="739"/>
      <c r="L985" s="735">
        <v>12</v>
      </c>
      <c r="M985" s="736">
        <v>37844.950000000004</v>
      </c>
      <c r="N985" s="735"/>
      <c r="O985" s="735">
        <v>6</v>
      </c>
      <c r="P985" s="736">
        <v>18877.66</v>
      </c>
      <c r="Q985" s="214"/>
    </row>
    <row r="986" spans="1:17" ht="12" customHeight="1" x14ac:dyDescent="0.2">
      <c r="A986" s="735" t="s">
        <v>2169</v>
      </c>
      <c r="B986" s="735" t="s">
        <v>2170</v>
      </c>
      <c r="C986" s="735" t="s">
        <v>451</v>
      </c>
      <c r="D986" s="644" t="s">
        <v>4703</v>
      </c>
      <c r="E986" s="736">
        <v>7000</v>
      </c>
      <c r="F986" s="737" t="s">
        <v>4989</v>
      </c>
      <c r="G986" s="738" t="s">
        <v>4990</v>
      </c>
      <c r="H986" s="644" t="s">
        <v>3858</v>
      </c>
      <c r="I986" s="636" t="s">
        <v>2175</v>
      </c>
      <c r="J986" s="644" t="s">
        <v>3858</v>
      </c>
      <c r="K986" s="739"/>
      <c r="L986" s="735">
        <v>12</v>
      </c>
      <c r="M986" s="736">
        <v>85958.9</v>
      </c>
      <c r="N986" s="735"/>
      <c r="O986" s="735">
        <v>6</v>
      </c>
      <c r="P986" s="736">
        <v>42886.5</v>
      </c>
      <c r="Q986" s="214"/>
    </row>
    <row r="987" spans="1:17" ht="12" customHeight="1" x14ac:dyDescent="0.2">
      <c r="A987" s="735" t="s">
        <v>2169</v>
      </c>
      <c r="B987" s="735" t="s">
        <v>2170</v>
      </c>
      <c r="C987" s="735" t="s">
        <v>451</v>
      </c>
      <c r="D987" s="644" t="s">
        <v>4991</v>
      </c>
      <c r="E987" s="736">
        <v>15600</v>
      </c>
      <c r="F987" s="737" t="s">
        <v>4992</v>
      </c>
      <c r="G987" s="738" t="s">
        <v>4993</v>
      </c>
      <c r="H987" s="644" t="s">
        <v>2201</v>
      </c>
      <c r="I987" s="636"/>
      <c r="J987" s="644"/>
      <c r="K987" s="739"/>
      <c r="L987" s="735">
        <v>12</v>
      </c>
      <c r="M987" s="736">
        <v>184704.59999999998</v>
      </c>
      <c r="N987" s="735"/>
      <c r="O987" s="735">
        <v>6</v>
      </c>
      <c r="P987" s="736">
        <v>93084.9</v>
      </c>
      <c r="Q987" s="214"/>
    </row>
    <row r="988" spans="1:17" ht="12" customHeight="1" x14ac:dyDescent="0.2">
      <c r="A988" s="735" t="s">
        <v>2169</v>
      </c>
      <c r="B988" s="735" t="s">
        <v>2170</v>
      </c>
      <c r="C988" s="735" t="s">
        <v>451</v>
      </c>
      <c r="D988" s="644" t="s">
        <v>4994</v>
      </c>
      <c r="E988" s="736">
        <v>7000</v>
      </c>
      <c r="F988" s="737" t="s">
        <v>4995</v>
      </c>
      <c r="G988" s="738" t="s">
        <v>4996</v>
      </c>
      <c r="H988" s="644" t="s">
        <v>4997</v>
      </c>
      <c r="I988" s="636" t="s">
        <v>2385</v>
      </c>
      <c r="J988" s="644" t="s">
        <v>2385</v>
      </c>
      <c r="K988" s="739"/>
      <c r="L988" s="735">
        <v>12</v>
      </c>
      <c r="M988" s="736">
        <v>85614.069999999992</v>
      </c>
      <c r="N988" s="735"/>
      <c r="O988" s="735">
        <v>6</v>
      </c>
      <c r="P988" s="736">
        <v>41878.230000000003</v>
      </c>
      <c r="Q988" s="214"/>
    </row>
    <row r="989" spans="1:17" ht="12" customHeight="1" x14ac:dyDescent="0.2">
      <c r="A989" s="735" t="s">
        <v>2169</v>
      </c>
      <c r="B989" s="735" t="s">
        <v>2170</v>
      </c>
      <c r="C989" s="735" t="s">
        <v>451</v>
      </c>
      <c r="D989" s="644" t="s">
        <v>4998</v>
      </c>
      <c r="E989" s="736">
        <v>5000</v>
      </c>
      <c r="F989" s="737" t="s">
        <v>4999</v>
      </c>
      <c r="G989" s="738" t="s">
        <v>5000</v>
      </c>
      <c r="H989" s="644" t="s">
        <v>3339</v>
      </c>
      <c r="I989" s="636" t="s">
        <v>2250</v>
      </c>
      <c r="J989" s="644" t="s">
        <v>2250</v>
      </c>
      <c r="K989" s="739"/>
      <c r="L989" s="735">
        <v>12</v>
      </c>
      <c r="M989" s="736">
        <v>61952.180000000008</v>
      </c>
      <c r="N989" s="735"/>
      <c r="O989" s="735">
        <v>6</v>
      </c>
      <c r="P989" s="736">
        <v>31034.839999999997</v>
      </c>
      <c r="Q989" s="214"/>
    </row>
    <row r="990" spans="1:17" ht="12" customHeight="1" x14ac:dyDescent="0.2">
      <c r="A990" s="735" t="s">
        <v>2169</v>
      </c>
      <c r="B990" s="735" t="s">
        <v>2170</v>
      </c>
      <c r="C990" s="735" t="s">
        <v>451</v>
      </c>
      <c r="D990" s="644" t="s">
        <v>5001</v>
      </c>
      <c r="E990" s="736">
        <v>7000</v>
      </c>
      <c r="F990" s="737" t="s">
        <v>5002</v>
      </c>
      <c r="G990" s="738" t="s">
        <v>5003</v>
      </c>
      <c r="H990" s="644" t="s">
        <v>2201</v>
      </c>
      <c r="I990" s="636" t="s">
        <v>2201</v>
      </c>
      <c r="J990" s="644"/>
      <c r="K990" s="739"/>
      <c r="L990" s="735">
        <v>2</v>
      </c>
      <c r="M990" s="736">
        <v>15026.8</v>
      </c>
      <c r="N990" s="735"/>
      <c r="O990" s="735">
        <v>6</v>
      </c>
      <c r="P990" s="736">
        <v>43039.37</v>
      </c>
      <c r="Q990" s="214"/>
    </row>
    <row r="991" spans="1:17" ht="12" customHeight="1" x14ac:dyDescent="0.2">
      <c r="A991" s="735" t="s">
        <v>2169</v>
      </c>
      <c r="B991" s="735" t="s">
        <v>2170</v>
      </c>
      <c r="C991" s="735" t="s">
        <v>451</v>
      </c>
      <c r="D991" s="644" t="s">
        <v>5004</v>
      </c>
      <c r="E991" s="736">
        <v>14000</v>
      </c>
      <c r="F991" s="737" t="s">
        <v>5005</v>
      </c>
      <c r="G991" s="738" t="s">
        <v>5006</v>
      </c>
      <c r="H991" s="644">
        <v>0</v>
      </c>
      <c r="I991" s="636">
        <v>0</v>
      </c>
      <c r="J991" s="644">
        <v>0</v>
      </c>
      <c r="K991" s="739"/>
      <c r="L991" s="735">
        <v>3</v>
      </c>
      <c r="M991" s="736">
        <v>34406.86</v>
      </c>
      <c r="N991" s="735"/>
      <c r="O991" s="735"/>
      <c r="P991" s="736"/>
      <c r="Q991" s="214"/>
    </row>
    <row r="992" spans="1:17" ht="12" customHeight="1" x14ac:dyDescent="0.2">
      <c r="A992" s="735" t="s">
        <v>2169</v>
      </c>
      <c r="B992" s="735" t="s">
        <v>2170</v>
      </c>
      <c r="C992" s="735" t="s">
        <v>451</v>
      </c>
      <c r="D992" s="644" t="s">
        <v>2202</v>
      </c>
      <c r="E992" s="736">
        <v>2700</v>
      </c>
      <c r="F992" s="737" t="s">
        <v>5007</v>
      </c>
      <c r="G992" s="738" t="s">
        <v>5008</v>
      </c>
      <c r="H992" s="644" t="s">
        <v>2184</v>
      </c>
      <c r="I992" s="636" t="s">
        <v>2185</v>
      </c>
      <c r="J992" s="644"/>
      <c r="K992" s="739"/>
      <c r="L992" s="735">
        <v>1</v>
      </c>
      <c r="M992" s="736">
        <v>2543.4</v>
      </c>
      <c r="N992" s="735"/>
      <c r="O992" s="735">
        <v>6</v>
      </c>
      <c r="P992" s="736">
        <v>17244.900000000001</v>
      </c>
      <c r="Q992" s="214"/>
    </row>
    <row r="993" spans="1:17" ht="12" customHeight="1" x14ac:dyDescent="0.2">
      <c r="A993" s="735" t="s">
        <v>2169</v>
      </c>
      <c r="B993" s="735" t="s">
        <v>2170</v>
      </c>
      <c r="C993" s="735" t="s">
        <v>451</v>
      </c>
      <c r="D993" s="644" t="s">
        <v>3490</v>
      </c>
      <c r="E993" s="736">
        <v>10500</v>
      </c>
      <c r="F993" s="737" t="s">
        <v>5009</v>
      </c>
      <c r="G993" s="738" t="s">
        <v>5010</v>
      </c>
      <c r="H993" s="644" t="s">
        <v>2197</v>
      </c>
      <c r="I993" s="636" t="s">
        <v>2250</v>
      </c>
      <c r="J993" s="644" t="s">
        <v>2250</v>
      </c>
      <c r="K993" s="739"/>
      <c r="L993" s="735">
        <v>12</v>
      </c>
      <c r="M993" s="736">
        <v>127945.55999999997</v>
      </c>
      <c r="N993" s="735"/>
      <c r="O993" s="735">
        <v>6</v>
      </c>
      <c r="P993" s="736">
        <v>64029.060000000005</v>
      </c>
      <c r="Q993" s="214"/>
    </row>
    <row r="994" spans="1:17" ht="12" customHeight="1" x14ac:dyDescent="0.2">
      <c r="A994" s="735" t="s">
        <v>2169</v>
      </c>
      <c r="B994" s="735" t="s">
        <v>2170</v>
      </c>
      <c r="C994" s="735" t="s">
        <v>451</v>
      </c>
      <c r="D994" s="644" t="s">
        <v>2501</v>
      </c>
      <c r="E994" s="736">
        <v>3500</v>
      </c>
      <c r="F994" s="737" t="s">
        <v>5011</v>
      </c>
      <c r="G994" s="738" t="s">
        <v>5012</v>
      </c>
      <c r="H994" s="644" t="s">
        <v>2253</v>
      </c>
      <c r="I994" s="636" t="s">
        <v>2254</v>
      </c>
      <c r="J994" s="644" t="s">
        <v>2254</v>
      </c>
      <c r="K994" s="739"/>
      <c r="L994" s="735">
        <v>12</v>
      </c>
      <c r="M994" s="736">
        <v>43960.80000000001</v>
      </c>
      <c r="N994" s="735"/>
      <c r="O994" s="735">
        <v>6</v>
      </c>
      <c r="P994" s="736">
        <v>22044.9</v>
      </c>
      <c r="Q994" s="214"/>
    </row>
    <row r="995" spans="1:17" ht="12" customHeight="1" x14ac:dyDescent="0.2">
      <c r="A995" s="735" t="s">
        <v>2169</v>
      </c>
      <c r="B995" s="735" t="s">
        <v>2232</v>
      </c>
      <c r="C995" s="735" t="s">
        <v>451</v>
      </c>
      <c r="D995" s="644" t="s">
        <v>2925</v>
      </c>
      <c r="E995" s="736">
        <v>10000</v>
      </c>
      <c r="F995" s="737" t="s">
        <v>5013</v>
      </c>
      <c r="G995" s="738" t="s">
        <v>5014</v>
      </c>
      <c r="H995" s="644" t="s">
        <v>2179</v>
      </c>
      <c r="I995" s="636" t="s">
        <v>2250</v>
      </c>
      <c r="J995" s="644" t="s">
        <v>2250</v>
      </c>
      <c r="K995" s="739"/>
      <c r="L995" s="735">
        <v>11</v>
      </c>
      <c r="M995" s="736">
        <v>111547.39999999998</v>
      </c>
      <c r="N995" s="735"/>
      <c r="O995" s="735">
        <v>1</v>
      </c>
      <c r="P995" s="736">
        <v>14284.54</v>
      </c>
      <c r="Q995" s="214"/>
    </row>
    <row r="996" spans="1:17" ht="12" customHeight="1" x14ac:dyDescent="0.2">
      <c r="A996" s="735" t="s">
        <v>2169</v>
      </c>
      <c r="B996" s="735" t="s">
        <v>2170</v>
      </c>
      <c r="C996" s="735" t="s">
        <v>451</v>
      </c>
      <c r="D996" s="644" t="s">
        <v>5015</v>
      </c>
      <c r="E996" s="736">
        <v>9000</v>
      </c>
      <c r="F996" s="737" t="s">
        <v>5016</v>
      </c>
      <c r="G996" s="738" t="s">
        <v>5017</v>
      </c>
      <c r="H996" s="644" t="s">
        <v>2179</v>
      </c>
      <c r="I996" s="636" t="s">
        <v>2180</v>
      </c>
      <c r="J996" s="644" t="s">
        <v>2180</v>
      </c>
      <c r="K996" s="739"/>
      <c r="L996" s="735">
        <v>8</v>
      </c>
      <c r="M996" s="736">
        <v>65270.46</v>
      </c>
      <c r="N996" s="735"/>
      <c r="O996" s="735"/>
      <c r="P996" s="736"/>
      <c r="Q996" s="214"/>
    </row>
    <row r="997" spans="1:17" ht="12" customHeight="1" x14ac:dyDescent="0.2">
      <c r="A997" s="735" t="s">
        <v>2169</v>
      </c>
      <c r="B997" s="735" t="s">
        <v>2170</v>
      </c>
      <c r="C997" s="735" t="s">
        <v>451</v>
      </c>
      <c r="D997" s="644" t="s">
        <v>2909</v>
      </c>
      <c r="E997" s="736">
        <v>3500</v>
      </c>
      <c r="F997" s="737" t="s">
        <v>5018</v>
      </c>
      <c r="G997" s="738" t="s">
        <v>5019</v>
      </c>
      <c r="H997" s="644">
        <v>0</v>
      </c>
      <c r="I997" s="636">
        <v>0</v>
      </c>
      <c r="J997" s="644">
        <v>0</v>
      </c>
      <c r="K997" s="739"/>
      <c r="L997" s="735">
        <v>1</v>
      </c>
      <c r="M997" s="736">
        <v>3613.4</v>
      </c>
      <c r="N997" s="735"/>
      <c r="O997" s="735"/>
      <c r="P997" s="736"/>
      <c r="Q997" s="214"/>
    </row>
    <row r="998" spans="1:17" ht="12" customHeight="1" x14ac:dyDescent="0.2">
      <c r="A998" s="735" t="s">
        <v>2169</v>
      </c>
      <c r="B998" s="735" t="s">
        <v>2170</v>
      </c>
      <c r="C998" s="735" t="s">
        <v>451</v>
      </c>
      <c r="D998" s="644" t="s">
        <v>5020</v>
      </c>
      <c r="E998" s="736">
        <v>15600</v>
      </c>
      <c r="F998" s="737" t="s">
        <v>5021</v>
      </c>
      <c r="G998" s="738" t="s">
        <v>5022</v>
      </c>
      <c r="H998" s="644" t="s">
        <v>2179</v>
      </c>
      <c r="I998" s="636" t="s">
        <v>2250</v>
      </c>
      <c r="J998" s="644" t="s">
        <v>2250</v>
      </c>
      <c r="K998" s="739"/>
      <c r="L998" s="735">
        <v>12</v>
      </c>
      <c r="M998" s="736">
        <v>151401.20999999996</v>
      </c>
      <c r="N998" s="735"/>
      <c r="O998" s="735">
        <v>6</v>
      </c>
      <c r="P998" s="736">
        <v>93084.9</v>
      </c>
      <c r="Q998" s="214"/>
    </row>
    <row r="999" spans="1:17" ht="12" customHeight="1" x14ac:dyDescent="0.2">
      <c r="A999" s="735" t="s">
        <v>2169</v>
      </c>
      <c r="B999" s="735" t="s">
        <v>2170</v>
      </c>
      <c r="C999" s="735" t="s">
        <v>451</v>
      </c>
      <c r="D999" s="644" t="s">
        <v>5023</v>
      </c>
      <c r="E999" s="736">
        <v>3000</v>
      </c>
      <c r="F999" s="737" t="s">
        <v>5024</v>
      </c>
      <c r="G999" s="738" t="s">
        <v>5025</v>
      </c>
      <c r="H999" s="644" t="s">
        <v>5026</v>
      </c>
      <c r="I999" s="636" t="s">
        <v>2284</v>
      </c>
      <c r="J999" s="644" t="s">
        <v>2284</v>
      </c>
      <c r="K999" s="739"/>
      <c r="L999" s="735">
        <v>12</v>
      </c>
      <c r="M999" s="736">
        <v>37960.80000000001</v>
      </c>
      <c r="N999" s="735"/>
      <c r="O999" s="735">
        <v>6</v>
      </c>
      <c r="P999" s="736">
        <v>19044.900000000001</v>
      </c>
      <c r="Q999" s="214"/>
    </row>
    <row r="1000" spans="1:17" ht="12" customHeight="1" x14ac:dyDescent="0.2">
      <c r="A1000" s="735" t="s">
        <v>2169</v>
      </c>
      <c r="B1000" s="735" t="s">
        <v>2170</v>
      </c>
      <c r="C1000" s="735" t="s">
        <v>451</v>
      </c>
      <c r="D1000" s="644" t="s">
        <v>2630</v>
      </c>
      <c r="E1000" s="736">
        <v>8000</v>
      </c>
      <c r="F1000" s="737" t="s">
        <v>5027</v>
      </c>
      <c r="G1000" s="738" t="s">
        <v>5028</v>
      </c>
      <c r="H1000" s="644" t="s">
        <v>2317</v>
      </c>
      <c r="I1000" s="636" t="s">
        <v>2250</v>
      </c>
      <c r="J1000" s="644" t="s">
        <v>2250</v>
      </c>
      <c r="K1000" s="739"/>
      <c r="L1000" s="735">
        <v>3</v>
      </c>
      <c r="M1000" s="736">
        <v>24595.989999999998</v>
      </c>
      <c r="N1000" s="735"/>
      <c r="O1000" s="735"/>
      <c r="P1000" s="736"/>
      <c r="Q1000" s="214"/>
    </row>
    <row r="1001" spans="1:17" ht="12" customHeight="1" x14ac:dyDescent="0.2">
      <c r="A1001" s="735" t="s">
        <v>2169</v>
      </c>
      <c r="B1001" s="735" t="s">
        <v>2170</v>
      </c>
      <c r="C1001" s="735" t="s">
        <v>451</v>
      </c>
      <c r="D1001" s="644" t="s">
        <v>5029</v>
      </c>
      <c r="E1001" s="736">
        <v>14000</v>
      </c>
      <c r="F1001" s="737" t="s">
        <v>5030</v>
      </c>
      <c r="G1001" s="738" t="s">
        <v>5031</v>
      </c>
      <c r="H1001" s="644" t="s">
        <v>2201</v>
      </c>
      <c r="I1001" s="636" t="s">
        <v>2201</v>
      </c>
      <c r="J1001" s="644"/>
      <c r="K1001" s="739"/>
      <c r="L1001" s="735">
        <v>3</v>
      </c>
      <c r="M1001" s="736">
        <v>27973.53</v>
      </c>
      <c r="N1001" s="735"/>
      <c r="O1001" s="735"/>
      <c r="P1001" s="736"/>
      <c r="Q1001" s="214"/>
    </row>
    <row r="1002" spans="1:17" ht="12" customHeight="1" x14ac:dyDescent="0.2">
      <c r="A1002" s="735" t="s">
        <v>2169</v>
      </c>
      <c r="B1002" s="735" t="s">
        <v>2170</v>
      </c>
      <c r="C1002" s="735" t="s">
        <v>451</v>
      </c>
      <c r="D1002" s="644" t="s">
        <v>5032</v>
      </c>
      <c r="E1002" s="736">
        <v>6000</v>
      </c>
      <c r="F1002" s="737" t="s">
        <v>5033</v>
      </c>
      <c r="G1002" s="738" t="s">
        <v>5034</v>
      </c>
      <c r="H1002" s="644" t="s">
        <v>4120</v>
      </c>
      <c r="I1002" s="636" t="s">
        <v>2246</v>
      </c>
      <c r="J1002" s="644" t="s">
        <v>4120</v>
      </c>
      <c r="K1002" s="739"/>
      <c r="L1002" s="735">
        <v>12</v>
      </c>
      <c r="M1002" s="736">
        <v>73847.400000000009</v>
      </c>
      <c r="N1002" s="735"/>
      <c r="O1002" s="735">
        <v>6</v>
      </c>
      <c r="P1002" s="736">
        <v>37023.35</v>
      </c>
      <c r="Q1002" s="214"/>
    </row>
    <row r="1003" spans="1:17" ht="12" customHeight="1" x14ac:dyDescent="0.2">
      <c r="A1003" s="735" t="s">
        <v>2169</v>
      </c>
      <c r="B1003" s="735" t="s">
        <v>2170</v>
      </c>
      <c r="C1003" s="735" t="s">
        <v>451</v>
      </c>
      <c r="D1003" s="644" t="s">
        <v>5035</v>
      </c>
      <c r="E1003" s="736">
        <v>8000</v>
      </c>
      <c r="F1003" s="737" t="s">
        <v>5036</v>
      </c>
      <c r="G1003" s="738" t="s">
        <v>5037</v>
      </c>
      <c r="H1003" s="644" t="s">
        <v>5038</v>
      </c>
      <c r="I1003" s="636" t="s">
        <v>2250</v>
      </c>
      <c r="J1003" s="644" t="s">
        <v>2250</v>
      </c>
      <c r="K1003" s="739"/>
      <c r="L1003" s="735">
        <v>12</v>
      </c>
      <c r="M1003" s="736">
        <v>98227.469999999987</v>
      </c>
      <c r="N1003" s="735"/>
      <c r="O1003" s="735">
        <v>6</v>
      </c>
      <c r="P1003" s="736">
        <v>49027.08</v>
      </c>
      <c r="Q1003" s="214"/>
    </row>
    <row r="1004" spans="1:17" ht="12" customHeight="1" x14ac:dyDescent="0.2">
      <c r="A1004" s="735" t="s">
        <v>2169</v>
      </c>
      <c r="B1004" s="735" t="s">
        <v>2170</v>
      </c>
      <c r="C1004" s="735" t="s">
        <v>451</v>
      </c>
      <c r="D1004" s="644" t="s">
        <v>5039</v>
      </c>
      <c r="E1004" s="736">
        <v>3500</v>
      </c>
      <c r="F1004" s="737" t="s">
        <v>5040</v>
      </c>
      <c r="G1004" s="738" t="s">
        <v>5041</v>
      </c>
      <c r="H1004" s="644" t="s">
        <v>5042</v>
      </c>
      <c r="I1004" s="636" t="s">
        <v>2284</v>
      </c>
      <c r="J1004" s="644" t="s">
        <v>2284</v>
      </c>
      <c r="K1004" s="739"/>
      <c r="L1004" s="735">
        <v>12</v>
      </c>
      <c r="M1004" s="736">
        <v>43960.80000000001</v>
      </c>
      <c r="N1004" s="735"/>
      <c r="O1004" s="735">
        <v>6</v>
      </c>
      <c r="P1004" s="736">
        <v>22041.890000000003</v>
      </c>
      <c r="Q1004" s="214"/>
    </row>
    <row r="1005" spans="1:17" ht="12" customHeight="1" x14ac:dyDescent="0.2">
      <c r="A1005" s="735" t="s">
        <v>2169</v>
      </c>
      <c r="B1005" s="735" t="s">
        <v>2170</v>
      </c>
      <c r="C1005" s="735" t="s">
        <v>451</v>
      </c>
      <c r="D1005" s="644" t="s">
        <v>2394</v>
      </c>
      <c r="E1005" s="736">
        <v>10000</v>
      </c>
      <c r="F1005" s="737" t="s">
        <v>5043</v>
      </c>
      <c r="G1005" s="738" t="s">
        <v>5044</v>
      </c>
      <c r="H1005" s="644" t="s">
        <v>2189</v>
      </c>
      <c r="I1005" s="636" t="s">
        <v>2180</v>
      </c>
      <c r="J1005" s="644" t="s">
        <v>2180</v>
      </c>
      <c r="K1005" s="739"/>
      <c r="L1005" s="735">
        <v>12</v>
      </c>
      <c r="M1005" s="736">
        <v>121847.39999999998</v>
      </c>
      <c r="N1005" s="735"/>
      <c r="O1005" s="735">
        <v>6</v>
      </c>
      <c r="P1005" s="736">
        <v>61042.740000000005</v>
      </c>
      <c r="Q1005" s="214"/>
    </row>
    <row r="1006" spans="1:17" ht="12" customHeight="1" x14ac:dyDescent="0.2">
      <c r="A1006" s="735" t="s">
        <v>2169</v>
      </c>
      <c r="B1006" s="735" t="s">
        <v>2170</v>
      </c>
      <c r="C1006" s="735" t="s">
        <v>451</v>
      </c>
      <c r="D1006" s="644" t="s">
        <v>5045</v>
      </c>
      <c r="E1006" s="736">
        <v>3000</v>
      </c>
      <c r="F1006" s="737" t="s">
        <v>5046</v>
      </c>
      <c r="G1006" s="738" t="s">
        <v>5047</v>
      </c>
      <c r="H1006" s="644" t="s">
        <v>2863</v>
      </c>
      <c r="I1006" s="636" t="s">
        <v>3025</v>
      </c>
      <c r="J1006" s="644"/>
      <c r="K1006" s="739"/>
      <c r="L1006" s="735">
        <v>4</v>
      </c>
      <c r="M1006" s="736">
        <v>12653.6</v>
      </c>
      <c r="N1006" s="735"/>
      <c r="O1006" s="735">
        <v>6</v>
      </c>
      <c r="P1006" s="736">
        <v>19044.900000000001</v>
      </c>
      <c r="Q1006" s="214"/>
    </row>
    <row r="1007" spans="1:17" ht="12" customHeight="1" x14ac:dyDescent="0.2">
      <c r="A1007" s="735" t="s">
        <v>2169</v>
      </c>
      <c r="B1007" s="735" t="s">
        <v>2170</v>
      </c>
      <c r="C1007" s="735" t="s">
        <v>451</v>
      </c>
      <c r="D1007" s="644" t="s">
        <v>5048</v>
      </c>
      <c r="E1007" s="736">
        <v>5500</v>
      </c>
      <c r="F1007" s="737" t="s">
        <v>5049</v>
      </c>
      <c r="G1007" s="738" t="s">
        <v>5050</v>
      </c>
      <c r="H1007" s="644" t="s">
        <v>5051</v>
      </c>
      <c r="I1007" s="636" t="s">
        <v>2385</v>
      </c>
      <c r="J1007" s="644" t="s">
        <v>2385</v>
      </c>
      <c r="K1007" s="739"/>
      <c r="L1007" s="735">
        <v>8</v>
      </c>
      <c r="M1007" s="736">
        <v>45390.530000000006</v>
      </c>
      <c r="N1007" s="735"/>
      <c r="O1007" s="735"/>
      <c r="P1007" s="736"/>
      <c r="Q1007" s="214"/>
    </row>
    <row r="1008" spans="1:17" ht="12" customHeight="1" x14ac:dyDescent="0.2">
      <c r="A1008" s="735" t="s">
        <v>2169</v>
      </c>
      <c r="B1008" s="735" t="s">
        <v>2170</v>
      </c>
      <c r="C1008" s="735" t="s">
        <v>451</v>
      </c>
      <c r="D1008" s="644" t="s">
        <v>2630</v>
      </c>
      <c r="E1008" s="736">
        <v>8000</v>
      </c>
      <c r="F1008" s="737" t="s">
        <v>5052</v>
      </c>
      <c r="G1008" s="738" t="s">
        <v>5053</v>
      </c>
      <c r="H1008" s="644">
        <v>0</v>
      </c>
      <c r="I1008" s="636">
        <v>0</v>
      </c>
      <c r="J1008" s="644">
        <v>0</v>
      </c>
      <c r="K1008" s="739"/>
      <c r="L1008" s="735">
        <v>3</v>
      </c>
      <c r="M1008" s="736">
        <v>24340.199999999997</v>
      </c>
      <c r="N1008" s="735"/>
      <c r="O1008" s="735"/>
      <c r="P1008" s="736"/>
      <c r="Q1008" s="214"/>
    </row>
    <row r="1009" spans="1:17" ht="12" customHeight="1" x14ac:dyDescent="0.2">
      <c r="A1009" s="735" t="s">
        <v>2169</v>
      </c>
      <c r="B1009" s="735" t="s">
        <v>2170</v>
      </c>
      <c r="C1009" s="735" t="s">
        <v>451</v>
      </c>
      <c r="D1009" s="644" t="s">
        <v>5054</v>
      </c>
      <c r="E1009" s="736">
        <v>14000</v>
      </c>
      <c r="F1009" s="737" t="s">
        <v>5055</v>
      </c>
      <c r="G1009" s="738" t="s">
        <v>5056</v>
      </c>
      <c r="H1009" s="644" t="s">
        <v>2201</v>
      </c>
      <c r="I1009" s="636" t="s">
        <v>2201</v>
      </c>
      <c r="J1009" s="644"/>
      <c r="K1009" s="739"/>
      <c r="L1009" s="735">
        <v>4</v>
      </c>
      <c r="M1009" s="736">
        <v>50953.599999999999</v>
      </c>
      <c r="N1009" s="735"/>
      <c r="O1009" s="735">
        <v>6</v>
      </c>
      <c r="P1009" s="736">
        <v>85044.9</v>
      </c>
      <c r="Q1009" s="214"/>
    </row>
    <row r="1010" spans="1:17" ht="12" customHeight="1" x14ac:dyDescent="0.2">
      <c r="A1010" s="735" t="s">
        <v>2169</v>
      </c>
      <c r="B1010" s="735" t="s">
        <v>2170</v>
      </c>
      <c r="C1010" s="735" t="s">
        <v>451</v>
      </c>
      <c r="D1010" s="644" t="s">
        <v>5057</v>
      </c>
      <c r="E1010" s="736">
        <v>8000</v>
      </c>
      <c r="F1010" s="737" t="s">
        <v>5058</v>
      </c>
      <c r="G1010" s="738" t="s">
        <v>5059</v>
      </c>
      <c r="H1010" s="644" t="s">
        <v>5060</v>
      </c>
      <c r="I1010" s="636" t="s">
        <v>2175</v>
      </c>
      <c r="J1010" s="644"/>
      <c r="K1010" s="739"/>
      <c r="L1010" s="735">
        <v>3</v>
      </c>
      <c r="M1010" s="736">
        <v>25493.47</v>
      </c>
      <c r="N1010" s="735"/>
      <c r="O1010" s="735">
        <v>6</v>
      </c>
      <c r="P1010" s="736">
        <v>48942.6</v>
      </c>
      <c r="Q1010" s="214"/>
    </row>
    <row r="1011" spans="1:17" ht="12" customHeight="1" x14ac:dyDescent="0.2">
      <c r="A1011" s="735" t="s">
        <v>2169</v>
      </c>
      <c r="B1011" s="735" t="s">
        <v>2170</v>
      </c>
      <c r="C1011" s="735" t="s">
        <v>451</v>
      </c>
      <c r="D1011" s="644" t="s">
        <v>2261</v>
      </c>
      <c r="E1011" s="736">
        <v>3500</v>
      </c>
      <c r="F1011" s="737" t="s">
        <v>5061</v>
      </c>
      <c r="G1011" s="738" t="s">
        <v>5062</v>
      </c>
      <c r="H1011" s="644" t="s">
        <v>2253</v>
      </c>
      <c r="I1011" s="636" t="s">
        <v>2254</v>
      </c>
      <c r="J1011" s="644" t="s">
        <v>2254</v>
      </c>
      <c r="K1011" s="739"/>
      <c r="L1011" s="735">
        <v>12</v>
      </c>
      <c r="M1011" s="736">
        <v>43960.80000000001</v>
      </c>
      <c r="N1011" s="735"/>
      <c r="O1011" s="735">
        <v>6</v>
      </c>
      <c r="P1011" s="736">
        <v>22044.9</v>
      </c>
      <c r="Q1011" s="214"/>
    </row>
    <row r="1012" spans="1:17" ht="12" customHeight="1" x14ac:dyDescent="0.2">
      <c r="A1012" s="735" t="s">
        <v>2169</v>
      </c>
      <c r="B1012" s="735" t="s">
        <v>2170</v>
      </c>
      <c r="C1012" s="735" t="s">
        <v>451</v>
      </c>
      <c r="D1012" s="644" t="s">
        <v>4396</v>
      </c>
      <c r="E1012" s="736">
        <v>9000</v>
      </c>
      <c r="F1012" s="737" t="s">
        <v>5063</v>
      </c>
      <c r="G1012" s="738" t="s">
        <v>5064</v>
      </c>
      <c r="H1012" s="644">
        <v>0</v>
      </c>
      <c r="I1012" s="636">
        <v>0</v>
      </c>
      <c r="J1012" s="644">
        <v>0</v>
      </c>
      <c r="K1012" s="739"/>
      <c r="L1012" s="735">
        <v>3</v>
      </c>
      <c r="M1012" s="736">
        <v>20140.2</v>
      </c>
      <c r="N1012" s="735"/>
      <c r="O1012" s="735"/>
      <c r="P1012" s="736"/>
      <c r="Q1012" s="214"/>
    </row>
    <row r="1013" spans="1:17" ht="12" customHeight="1" x14ac:dyDescent="0.2">
      <c r="A1013" s="735" t="s">
        <v>2169</v>
      </c>
      <c r="B1013" s="735" t="s">
        <v>2170</v>
      </c>
      <c r="C1013" s="735" t="s">
        <v>451</v>
      </c>
      <c r="D1013" s="644" t="s">
        <v>5065</v>
      </c>
      <c r="E1013" s="736">
        <v>15600</v>
      </c>
      <c r="F1013" s="737" t="s">
        <v>5066</v>
      </c>
      <c r="G1013" s="738" t="s">
        <v>5067</v>
      </c>
      <c r="H1013" s="644" t="s">
        <v>2201</v>
      </c>
      <c r="I1013" s="636" t="s">
        <v>2201</v>
      </c>
      <c r="J1013" s="644"/>
      <c r="K1013" s="739"/>
      <c r="L1013" s="735">
        <v>6</v>
      </c>
      <c r="M1013" s="736">
        <v>73780.399999999994</v>
      </c>
      <c r="N1013" s="735"/>
      <c r="O1013" s="735"/>
      <c r="P1013" s="736"/>
      <c r="Q1013" s="214"/>
    </row>
    <row r="1014" spans="1:17" ht="12" customHeight="1" x14ac:dyDescent="0.2">
      <c r="A1014" s="735" t="s">
        <v>2169</v>
      </c>
      <c r="B1014" s="735" t="s">
        <v>2170</v>
      </c>
      <c r="C1014" s="735" t="s">
        <v>451</v>
      </c>
      <c r="D1014" s="644" t="s">
        <v>5068</v>
      </c>
      <c r="E1014" s="736">
        <v>11000</v>
      </c>
      <c r="F1014" s="737" t="s">
        <v>5069</v>
      </c>
      <c r="G1014" s="738" t="s">
        <v>5070</v>
      </c>
      <c r="H1014" s="644" t="s">
        <v>5071</v>
      </c>
      <c r="I1014" s="636" t="s">
        <v>4863</v>
      </c>
      <c r="J1014" s="644" t="s">
        <v>4863</v>
      </c>
      <c r="K1014" s="739"/>
      <c r="L1014" s="735">
        <v>12</v>
      </c>
      <c r="M1014" s="736">
        <v>133960.79999999996</v>
      </c>
      <c r="N1014" s="735"/>
      <c r="O1014" s="735">
        <v>6</v>
      </c>
      <c r="P1014" s="736">
        <v>67044.899999999994</v>
      </c>
      <c r="Q1014" s="214"/>
    </row>
    <row r="1015" spans="1:17" ht="12" customHeight="1" x14ac:dyDescent="0.2">
      <c r="A1015" s="735" t="s">
        <v>2169</v>
      </c>
      <c r="B1015" s="735" t="s">
        <v>2170</v>
      </c>
      <c r="C1015" s="735" t="s">
        <v>451</v>
      </c>
      <c r="D1015" s="644" t="s">
        <v>5072</v>
      </c>
      <c r="E1015" s="736">
        <v>7000</v>
      </c>
      <c r="F1015" s="737" t="s">
        <v>5073</v>
      </c>
      <c r="G1015" s="738" t="s">
        <v>5074</v>
      </c>
      <c r="H1015" s="644" t="s">
        <v>2275</v>
      </c>
      <c r="I1015" s="636" t="s">
        <v>2250</v>
      </c>
      <c r="J1015" s="644" t="s">
        <v>2250</v>
      </c>
      <c r="K1015" s="739"/>
      <c r="L1015" s="735">
        <v>12</v>
      </c>
      <c r="M1015" s="736">
        <v>87941.799999999988</v>
      </c>
      <c r="N1015" s="735"/>
      <c r="O1015" s="735">
        <v>6</v>
      </c>
      <c r="P1015" s="736">
        <v>43044.9</v>
      </c>
      <c r="Q1015" s="214"/>
    </row>
    <row r="1016" spans="1:17" ht="12" customHeight="1" x14ac:dyDescent="0.2">
      <c r="A1016" s="735" t="s">
        <v>2169</v>
      </c>
      <c r="B1016" s="735" t="s">
        <v>2170</v>
      </c>
      <c r="C1016" s="735" t="s">
        <v>451</v>
      </c>
      <c r="D1016" s="644" t="s">
        <v>2261</v>
      </c>
      <c r="E1016" s="736">
        <v>5000</v>
      </c>
      <c r="F1016" s="737" t="s">
        <v>5075</v>
      </c>
      <c r="G1016" s="738" t="s">
        <v>5076</v>
      </c>
      <c r="H1016" s="644" t="s">
        <v>2372</v>
      </c>
      <c r="I1016" s="636" t="s">
        <v>2284</v>
      </c>
      <c r="J1016" s="644" t="s">
        <v>2284</v>
      </c>
      <c r="K1016" s="739"/>
      <c r="L1016" s="735">
        <v>12</v>
      </c>
      <c r="M1016" s="736">
        <v>61960.80000000001</v>
      </c>
      <c r="N1016" s="735"/>
      <c r="O1016" s="735">
        <v>6</v>
      </c>
      <c r="P1016" s="736">
        <v>31034.480000000003</v>
      </c>
      <c r="Q1016" s="214"/>
    </row>
    <row r="1017" spans="1:17" ht="12" customHeight="1" x14ac:dyDescent="0.2">
      <c r="A1017" s="735" t="s">
        <v>2169</v>
      </c>
      <c r="B1017" s="735" t="s">
        <v>2170</v>
      </c>
      <c r="C1017" s="735" t="s">
        <v>451</v>
      </c>
      <c r="D1017" s="644" t="s">
        <v>2190</v>
      </c>
      <c r="E1017" s="736">
        <v>3000</v>
      </c>
      <c r="F1017" s="737" t="s">
        <v>5077</v>
      </c>
      <c r="G1017" s="738" t="s">
        <v>5078</v>
      </c>
      <c r="H1017" s="644" t="s">
        <v>2184</v>
      </c>
      <c r="I1017" s="636" t="s">
        <v>2185</v>
      </c>
      <c r="J1017" s="644"/>
      <c r="K1017" s="739"/>
      <c r="L1017" s="735">
        <v>12</v>
      </c>
      <c r="M1017" s="736">
        <v>38360.80000000001</v>
      </c>
      <c r="N1017" s="735"/>
      <c r="O1017" s="735">
        <v>6</v>
      </c>
      <c r="P1017" s="736">
        <v>19034.990000000002</v>
      </c>
      <c r="Q1017" s="214"/>
    </row>
    <row r="1018" spans="1:17" ht="12" customHeight="1" x14ac:dyDescent="0.2">
      <c r="A1018" s="735" t="s">
        <v>2169</v>
      </c>
      <c r="B1018" s="735" t="s">
        <v>2170</v>
      </c>
      <c r="C1018" s="735" t="s">
        <v>451</v>
      </c>
      <c r="D1018" s="644" t="s">
        <v>5079</v>
      </c>
      <c r="E1018" s="736">
        <v>5500</v>
      </c>
      <c r="F1018" s="737" t="s">
        <v>5080</v>
      </c>
      <c r="G1018" s="738" t="s">
        <v>5081</v>
      </c>
      <c r="H1018" s="644" t="s">
        <v>5082</v>
      </c>
      <c r="I1018" s="636" t="s">
        <v>2250</v>
      </c>
      <c r="J1018" s="644" t="s">
        <v>2250</v>
      </c>
      <c r="K1018" s="739"/>
      <c r="L1018" s="735">
        <v>6</v>
      </c>
      <c r="M1018" s="736">
        <v>33834.800000000003</v>
      </c>
      <c r="N1018" s="735"/>
      <c r="O1018" s="735"/>
      <c r="P1018" s="736"/>
      <c r="Q1018" s="214"/>
    </row>
    <row r="1019" spans="1:17" ht="12" customHeight="1" x14ac:dyDescent="0.2">
      <c r="A1019" s="735" t="s">
        <v>2169</v>
      </c>
      <c r="B1019" s="735" t="s">
        <v>2170</v>
      </c>
      <c r="C1019" s="735" t="s">
        <v>451</v>
      </c>
      <c r="D1019" s="644" t="s">
        <v>4461</v>
      </c>
      <c r="E1019" s="736">
        <v>4500</v>
      </c>
      <c r="F1019" s="737" t="s">
        <v>5083</v>
      </c>
      <c r="G1019" s="738" t="s">
        <v>5084</v>
      </c>
      <c r="H1019" s="644" t="s">
        <v>4239</v>
      </c>
      <c r="I1019" s="636" t="s">
        <v>2228</v>
      </c>
      <c r="J1019" s="644" t="s">
        <v>4239</v>
      </c>
      <c r="K1019" s="739"/>
      <c r="L1019" s="735">
        <v>12</v>
      </c>
      <c r="M1019" s="736">
        <v>55847.400000000009</v>
      </c>
      <c r="N1019" s="735"/>
      <c r="O1019" s="735">
        <v>6</v>
      </c>
      <c r="P1019" s="736">
        <v>28030.35</v>
      </c>
      <c r="Q1019" s="214"/>
    </row>
    <row r="1020" spans="1:17" ht="12" customHeight="1" x14ac:dyDescent="0.2">
      <c r="A1020" s="735" t="s">
        <v>2169</v>
      </c>
      <c r="B1020" s="735" t="s">
        <v>2170</v>
      </c>
      <c r="C1020" s="735" t="s">
        <v>451</v>
      </c>
      <c r="D1020" s="644" t="s">
        <v>5085</v>
      </c>
      <c r="E1020" s="736">
        <v>10000</v>
      </c>
      <c r="F1020" s="737" t="s">
        <v>5086</v>
      </c>
      <c r="G1020" s="738" t="s">
        <v>5087</v>
      </c>
      <c r="H1020" s="644" t="s">
        <v>2189</v>
      </c>
      <c r="I1020" s="636" t="s">
        <v>2180</v>
      </c>
      <c r="J1020" s="644" t="s">
        <v>2180</v>
      </c>
      <c r="K1020" s="739"/>
      <c r="L1020" s="735">
        <v>4</v>
      </c>
      <c r="M1020" s="736">
        <v>40453.599999999999</v>
      </c>
      <c r="N1020" s="735"/>
      <c r="O1020" s="735"/>
      <c r="P1020" s="736"/>
      <c r="Q1020" s="214"/>
    </row>
    <row r="1021" spans="1:17" ht="12" customHeight="1" x14ac:dyDescent="0.2">
      <c r="A1021" s="735" t="s">
        <v>2169</v>
      </c>
      <c r="B1021" s="735" t="s">
        <v>2170</v>
      </c>
      <c r="C1021" s="735" t="s">
        <v>451</v>
      </c>
      <c r="D1021" s="644" t="s">
        <v>2909</v>
      </c>
      <c r="E1021" s="736">
        <v>3000</v>
      </c>
      <c r="F1021" s="737" t="s">
        <v>5088</v>
      </c>
      <c r="G1021" s="738" t="s">
        <v>5089</v>
      </c>
      <c r="H1021" s="644" t="s">
        <v>3388</v>
      </c>
      <c r="I1021" s="636" t="s">
        <v>2334</v>
      </c>
      <c r="J1021" s="644" t="s">
        <v>3388</v>
      </c>
      <c r="K1021" s="739"/>
      <c r="L1021" s="735">
        <v>12</v>
      </c>
      <c r="M1021" s="736">
        <v>37847.400000000009</v>
      </c>
      <c r="N1021" s="735"/>
      <c r="O1021" s="735">
        <v>6</v>
      </c>
      <c r="P1021" s="736">
        <v>19038.439999999999</v>
      </c>
      <c r="Q1021" s="214"/>
    </row>
    <row r="1022" spans="1:17" ht="12" customHeight="1" x14ac:dyDescent="0.2">
      <c r="A1022" s="735" t="s">
        <v>2169</v>
      </c>
      <c r="B1022" s="735" t="s">
        <v>2170</v>
      </c>
      <c r="C1022" s="735" t="s">
        <v>451</v>
      </c>
      <c r="D1022" s="644" t="s">
        <v>5090</v>
      </c>
      <c r="E1022" s="736">
        <v>8000</v>
      </c>
      <c r="F1022" s="737" t="s">
        <v>5091</v>
      </c>
      <c r="G1022" s="738" t="s">
        <v>5092</v>
      </c>
      <c r="H1022" s="644" t="s">
        <v>2201</v>
      </c>
      <c r="I1022" s="636" t="s">
        <v>2201</v>
      </c>
      <c r="J1022" s="644"/>
      <c r="K1022" s="739"/>
      <c r="L1022" s="735">
        <v>2</v>
      </c>
      <c r="M1022" s="736">
        <v>7960.1299999999992</v>
      </c>
      <c r="N1022" s="735"/>
      <c r="O1022" s="735"/>
      <c r="P1022" s="736"/>
      <c r="Q1022" s="214"/>
    </row>
    <row r="1023" spans="1:17" ht="12" customHeight="1" x14ac:dyDescent="0.2">
      <c r="A1023" s="735" t="s">
        <v>2169</v>
      </c>
      <c r="B1023" s="735" t="s">
        <v>2170</v>
      </c>
      <c r="C1023" s="735" t="s">
        <v>451</v>
      </c>
      <c r="D1023" s="644" t="s">
        <v>3870</v>
      </c>
      <c r="E1023" s="736">
        <v>5000</v>
      </c>
      <c r="F1023" s="737" t="s">
        <v>5093</v>
      </c>
      <c r="G1023" s="738" t="s">
        <v>5094</v>
      </c>
      <c r="H1023" s="644" t="s">
        <v>2201</v>
      </c>
      <c r="I1023" s="636"/>
      <c r="J1023" s="644"/>
      <c r="K1023" s="739"/>
      <c r="L1023" s="735">
        <v>12</v>
      </c>
      <c r="M1023" s="736">
        <v>63375.80000000001</v>
      </c>
      <c r="N1023" s="735"/>
      <c r="O1023" s="735">
        <v>6</v>
      </c>
      <c r="P1023" s="736">
        <v>31044.9</v>
      </c>
      <c r="Q1023" s="214"/>
    </row>
    <row r="1024" spans="1:17" ht="12" customHeight="1" x14ac:dyDescent="0.2">
      <c r="A1024" s="735" t="s">
        <v>2169</v>
      </c>
      <c r="B1024" s="735" t="s">
        <v>2170</v>
      </c>
      <c r="C1024" s="735" t="s">
        <v>451</v>
      </c>
      <c r="D1024" s="644" t="s">
        <v>5095</v>
      </c>
      <c r="E1024" s="736">
        <v>8000</v>
      </c>
      <c r="F1024" s="737" t="s">
        <v>5096</v>
      </c>
      <c r="G1024" s="738" t="s">
        <v>5097</v>
      </c>
      <c r="H1024" s="644" t="s">
        <v>4411</v>
      </c>
      <c r="I1024" s="636" t="s">
        <v>2228</v>
      </c>
      <c r="J1024" s="644"/>
      <c r="K1024" s="739"/>
      <c r="L1024" s="735">
        <v>1</v>
      </c>
      <c r="M1024" s="736">
        <v>5180.07</v>
      </c>
      <c r="N1024" s="735"/>
      <c r="O1024" s="735">
        <v>6</v>
      </c>
      <c r="P1024" s="736">
        <v>49044.9</v>
      </c>
      <c r="Q1024" s="214"/>
    </row>
    <row r="1025" spans="1:17" ht="12" customHeight="1" x14ac:dyDescent="0.2">
      <c r="A1025" s="735" t="s">
        <v>2169</v>
      </c>
      <c r="B1025" s="735" t="s">
        <v>2170</v>
      </c>
      <c r="C1025" s="735" t="s">
        <v>451</v>
      </c>
      <c r="D1025" s="644" t="s">
        <v>2548</v>
      </c>
      <c r="E1025" s="736">
        <v>3500</v>
      </c>
      <c r="F1025" s="737" t="s">
        <v>5098</v>
      </c>
      <c r="G1025" s="738" t="s">
        <v>5099</v>
      </c>
      <c r="H1025" s="644" t="s">
        <v>5100</v>
      </c>
      <c r="I1025" s="636" t="s">
        <v>2385</v>
      </c>
      <c r="J1025" s="644" t="s">
        <v>2385</v>
      </c>
      <c r="K1025" s="739"/>
      <c r="L1025" s="735">
        <v>12</v>
      </c>
      <c r="M1025" s="736">
        <v>43960.80000000001</v>
      </c>
      <c r="N1025" s="735"/>
      <c r="O1025" s="735">
        <v>6</v>
      </c>
      <c r="P1025" s="736">
        <v>22041.38</v>
      </c>
      <c r="Q1025" s="214"/>
    </row>
    <row r="1026" spans="1:17" ht="12" customHeight="1" x14ac:dyDescent="0.2">
      <c r="A1026" s="735" t="s">
        <v>2169</v>
      </c>
      <c r="B1026" s="735" t="s">
        <v>2170</v>
      </c>
      <c r="C1026" s="735" t="s">
        <v>451</v>
      </c>
      <c r="D1026" s="644" t="s">
        <v>2190</v>
      </c>
      <c r="E1026" s="736">
        <v>3000</v>
      </c>
      <c r="F1026" s="737" t="s">
        <v>5101</v>
      </c>
      <c r="G1026" s="738" t="s">
        <v>5102</v>
      </c>
      <c r="H1026" s="644" t="s">
        <v>2201</v>
      </c>
      <c r="I1026" s="636"/>
      <c r="J1026" s="644"/>
      <c r="K1026" s="739"/>
      <c r="L1026" s="735">
        <v>12</v>
      </c>
      <c r="M1026" s="736">
        <v>37960.80000000001</v>
      </c>
      <c r="N1026" s="735"/>
      <c r="O1026" s="735">
        <v>6</v>
      </c>
      <c r="P1026" s="736">
        <v>19044.900000000001</v>
      </c>
      <c r="Q1026" s="214"/>
    </row>
    <row r="1027" spans="1:17" ht="12" customHeight="1" x14ac:dyDescent="0.2">
      <c r="A1027" s="735" t="s">
        <v>2169</v>
      </c>
      <c r="B1027" s="735" t="s">
        <v>2170</v>
      </c>
      <c r="C1027" s="735" t="s">
        <v>451</v>
      </c>
      <c r="D1027" s="644" t="s">
        <v>5103</v>
      </c>
      <c r="E1027" s="736">
        <v>6000</v>
      </c>
      <c r="F1027" s="737" t="s">
        <v>5104</v>
      </c>
      <c r="G1027" s="738" t="s">
        <v>5105</v>
      </c>
      <c r="H1027" s="644" t="s">
        <v>2445</v>
      </c>
      <c r="I1027" s="636" t="s">
        <v>2228</v>
      </c>
      <c r="J1027" s="644" t="s">
        <v>2445</v>
      </c>
      <c r="K1027" s="739"/>
      <c r="L1027" s="735">
        <v>12</v>
      </c>
      <c r="M1027" s="736">
        <v>73647.400000000009</v>
      </c>
      <c r="N1027" s="735"/>
      <c r="O1027" s="735">
        <v>6</v>
      </c>
      <c r="P1027" s="736">
        <v>36844.9</v>
      </c>
      <c r="Q1027" s="214"/>
    </row>
    <row r="1028" spans="1:17" ht="12" customHeight="1" x14ac:dyDescent="0.2">
      <c r="A1028" s="735" t="s">
        <v>2169</v>
      </c>
      <c r="B1028" s="735" t="s">
        <v>2170</v>
      </c>
      <c r="C1028" s="735" t="s">
        <v>451</v>
      </c>
      <c r="D1028" s="644" t="s">
        <v>5106</v>
      </c>
      <c r="E1028" s="736">
        <v>5500</v>
      </c>
      <c r="F1028" s="737" t="s">
        <v>5107</v>
      </c>
      <c r="G1028" s="738" t="s">
        <v>5108</v>
      </c>
      <c r="H1028" s="644" t="s">
        <v>2174</v>
      </c>
      <c r="I1028" s="636" t="s">
        <v>2250</v>
      </c>
      <c r="J1028" s="644" t="s">
        <v>2250</v>
      </c>
      <c r="K1028" s="739"/>
      <c r="L1028" s="735">
        <v>12</v>
      </c>
      <c r="M1028" s="736">
        <v>67960.800000000003</v>
      </c>
      <c r="N1028" s="735"/>
      <c r="O1028" s="735">
        <v>6</v>
      </c>
      <c r="P1028" s="736">
        <v>34044.9</v>
      </c>
      <c r="Q1028" s="214"/>
    </row>
    <row r="1029" spans="1:17" ht="12" customHeight="1" x14ac:dyDescent="0.2">
      <c r="A1029" s="735" t="s">
        <v>2169</v>
      </c>
      <c r="B1029" s="735" t="s">
        <v>2170</v>
      </c>
      <c r="C1029" s="735" t="s">
        <v>451</v>
      </c>
      <c r="D1029" s="644" t="s">
        <v>5109</v>
      </c>
      <c r="E1029" s="736">
        <v>9000</v>
      </c>
      <c r="F1029" s="737" t="s">
        <v>5110</v>
      </c>
      <c r="G1029" s="738" t="s">
        <v>5111</v>
      </c>
      <c r="H1029" s="644" t="s">
        <v>2179</v>
      </c>
      <c r="I1029" s="636" t="s">
        <v>2180</v>
      </c>
      <c r="J1029" s="644" t="s">
        <v>2180</v>
      </c>
      <c r="K1029" s="739"/>
      <c r="L1029" s="735">
        <v>12</v>
      </c>
      <c r="M1029" s="736">
        <v>110710.79999999997</v>
      </c>
      <c r="N1029" s="735"/>
      <c r="O1029" s="735">
        <v>7</v>
      </c>
      <c r="P1029" s="736">
        <v>70452.009999999995</v>
      </c>
      <c r="Q1029" s="214"/>
    </row>
    <row r="1030" spans="1:17" ht="12" customHeight="1" x14ac:dyDescent="0.2">
      <c r="A1030" s="735" t="s">
        <v>2169</v>
      </c>
      <c r="B1030" s="735" t="s">
        <v>2170</v>
      </c>
      <c r="C1030" s="735" t="s">
        <v>451</v>
      </c>
      <c r="D1030" s="644" t="s">
        <v>5112</v>
      </c>
      <c r="E1030" s="736">
        <v>5000</v>
      </c>
      <c r="F1030" s="737" t="s">
        <v>5113</v>
      </c>
      <c r="G1030" s="738" t="s">
        <v>5114</v>
      </c>
      <c r="H1030" s="644">
        <v>0</v>
      </c>
      <c r="I1030" s="636">
        <v>0</v>
      </c>
      <c r="J1030" s="644">
        <v>0</v>
      </c>
      <c r="K1030" s="739"/>
      <c r="L1030" s="735">
        <v>3</v>
      </c>
      <c r="M1030" s="736">
        <v>15340.199999999999</v>
      </c>
      <c r="N1030" s="735"/>
      <c r="O1030" s="735"/>
      <c r="P1030" s="736"/>
      <c r="Q1030" s="214"/>
    </row>
    <row r="1031" spans="1:17" ht="12" customHeight="1" x14ac:dyDescent="0.2">
      <c r="A1031" s="735" t="s">
        <v>2169</v>
      </c>
      <c r="B1031" s="735" t="s">
        <v>2170</v>
      </c>
      <c r="C1031" s="735" t="s">
        <v>451</v>
      </c>
      <c r="D1031" s="644" t="s">
        <v>5115</v>
      </c>
      <c r="E1031" s="736">
        <v>4500</v>
      </c>
      <c r="F1031" s="737" t="s">
        <v>5116</v>
      </c>
      <c r="G1031" s="738" t="s">
        <v>5117</v>
      </c>
      <c r="H1031" s="644" t="s">
        <v>2985</v>
      </c>
      <c r="I1031" s="636" t="s">
        <v>3025</v>
      </c>
      <c r="J1031" s="644" t="s">
        <v>2985</v>
      </c>
      <c r="K1031" s="739"/>
      <c r="L1031" s="735">
        <v>12</v>
      </c>
      <c r="M1031" s="736">
        <v>56766.320000000007</v>
      </c>
      <c r="N1031" s="735"/>
      <c r="O1031" s="735">
        <v>6</v>
      </c>
      <c r="P1031" s="736">
        <v>28043.279999999999</v>
      </c>
      <c r="Q1031" s="214"/>
    </row>
    <row r="1032" spans="1:17" ht="12" customHeight="1" x14ac:dyDescent="0.2">
      <c r="A1032" s="735" t="s">
        <v>2169</v>
      </c>
      <c r="B1032" s="735" t="s">
        <v>2170</v>
      </c>
      <c r="C1032" s="735" t="s">
        <v>451</v>
      </c>
      <c r="D1032" s="644" t="s">
        <v>5118</v>
      </c>
      <c r="E1032" s="736">
        <v>7000</v>
      </c>
      <c r="F1032" s="737" t="s">
        <v>5119</v>
      </c>
      <c r="G1032" s="738" t="s">
        <v>5120</v>
      </c>
      <c r="H1032" s="644" t="s">
        <v>2189</v>
      </c>
      <c r="I1032" s="636" t="s">
        <v>2180</v>
      </c>
      <c r="J1032" s="644" t="s">
        <v>2180</v>
      </c>
      <c r="K1032" s="739"/>
      <c r="L1032" s="735">
        <v>7</v>
      </c>
      <c r="M1032" s="736">
        <v>49821.100000000006</v>
      </c>
      <c r="N1032" s="735"/>
      <c r="O1032" s="735"/>
      <c r="P1032" s="736"/>
      <c r="Q1032" s="214"/>
    </row>
    <row r="1033" spans="1:17" ht="12" customHeight="1" x14ac:dyDescent="0.2">
      <c r="A1033" s="735" t="s">
        <v>2169</v>
      </c>
      <c r="B1033" s="735" t="s">
        <v>2170</v>
      </c>
      <c r="C1033" s="735" t="s">
        <v>451</v>
      </c>
      <c r="D1033" s="644" t="s">
        <v>5121</v>
      </c>
      <c r="E1033" s="736">
        <v>3000</v>
      </c>
      <c r="F1033" s="737" t="s">
        <v>5122</v>
      </c>
      <c r="G1033" s="738" t="s">
        <v>5123</v>
      </c>
      <c r="H1033" s="644" t="s">
        <v>2201</v>
      </c>
      <c r="I1033" s="636"/>
      <c r="J1033" s="644"/>
      <c r="K1033" s="739"/>
      <c r="L1033" s="735">
        <v>12</v>
      </c>
      <c r="M1033" s="736">
        <v>37960.80000000001</v>
      </c>
      <c r="N1033" s="735"/>
      <c r="O1033" s="735">
        <v>6</v>
      </c>
      <c r="P1033" s="736">
        <v>19044.900000000001</v>
      </c>
      <c r="Q1033" s="214"/>
    </row>
    <row r="1034" spans="1:17" ht="12" customHeight="1" x14ac:dyDescent="0.2">
      <c r="A1034" s="735" t="s">
        <v>2169</v>
      </c>
      <c r="B1034" s="735" t="s">
        <v>2170</v>
      </c>
      <c r="C1034" s="735" t="s">
        <v>451</v>
      </c>
      <c r="D1034" s="644" t="s">
        <v>5124</v>
      </c>
      <c r="E1034" s="736">
        <v>4200</v>
      </c>
      <c r="F1034" s="737" t="s">
        <v>5125</v>
      </c>
      <c r="G1034" s="738" t="s">
        <v>5126</v>
      </c>
      <c r="H1034" s="644" t="s">
        <v>2979</v>
      </c>
      <c r="I1034" s="636" t="s">
        <v>2241</v>
      </c>
      <c r="J1034" s="644" t="s">
        <v>2241</v>
      </c>
      <c r="K1034" s="739"/>
      <c r="L1034" s="735">
        <v>12</v>
      </c>
      <c r="M1034" s="736">
        <v>52352.80000000001</v>
      </c>
      <c r="N1034" s="735"/>
      <c r="O1034" s="735">
        <v>6</v>
      </c>
      <c r="P1034" s="736">
        <v>26232.83</v>
      </c>
      <c r="Q1034" s="214"/>
    </row>
    <row r="1035" spans="1:17" ht="12" customHeight="1" x14ac:dyDescent="0.2">
      <c r="A1035" s="735" t="s">
        <v>2169</v>
      </c>
      <c r="B1035" s="735" t="s">
        <v>2232</v>
      </c>
      <c r="C1035" s="735" t="s">
        <v>451</v>
      </c>
      <c r="D1035" s="644" t="s">
        <v>5127</v>
      </c>
      <c r="E1035" s="736">
        <v>11000</v>
      </c>
      <c r="F1035" s="737" t="s">
        <v>5128</v>
      </c>
      <c r="G1035" s="738" t="s">
        <v>5129</v>
      </c>
      <c r="H1035" s="644" t="s">
        <v>2208</v>
      </c>
      <c r="I1035" s="636" t="s">
        <v>2180</v>
      </c>
      <c r="J1035" s="644" t="s">
        <v>2180</v>
      </c>
      <c r="K1035" s="739"/>
      <c r="L1035" s="735">
        <v>11</v>
      </c>
      <c r="M1035" s="736">
        <v>122914.06999999996</v>
      </c>
      <c r="N1035" s="735"/>
      <c r="O1035" s="735">
        <v>5</v>
      </c>
      <c r="P1035" s="736">
        <v>55856.530000000006</v>
      </c>
      <c r="Q1035" s="214"/>
    </row>
    <row r="1036" spans="1:17" ht="12" customHeight="1" x14ac:dyDescent="0.2">
      <c r="A1036" s="735" t="s">
        <v>2169</v>
      </c>
      <c r="B1036" s="735" t="s">
        <v>2170</v>
      </c>
      <c r="C1036" s="735" t="s">
        <v>451</v>
      </c>
      <c r="D1036" s="644" t="s">
        <v>3061</v>
      </c>
      <c r="E1036" s="736">
        <v>8000</v>
      </c>
      <c r="F1036" s="737" t="s">
        <v>5130</v>
      </c>
      <c r="G1036" s="738" t="s">
        <v>5131</v>
      </c>
      <c r="H1036" s="644" t="s">
        <v>2323</v>
      </c>
      <c r="I1036" s="636" t="s">
        <v>2175</v>
      </c>
      <c r="J1036" s="644" t="s">
        <v>2323</v>
      </c>
      <c r="K1036" s="739"/>
      <c r="L1036" s="735">
        <v>12</v>
      </c>
      <c r="M1036" s="736">
        <v>99934.189999999973</v>
      </c>
      <c r="N1036" s="735"/>
      <c r="O1036" s="735">
        <v>6</v>
      </c>
      <c r="P1036" s="736">
        <v>49004.090000000004</v>
      </c>
      <c r="Q1036" s="214"/>
    </row>
    <row r="1037" spans="1:17" ht="12" customHeight="1" x14ac:dyDescent="0.2">
      <c r="A1037" s="735" t="s">
        <v>2169</v>
      </c>
      <c r="B1037" s="735" t="s">
        <v>2232</v>
      </c>
      <c r="C1037" s="735" t="s">
        <v>451</v>
      </c>
      <c r="D1037" s="644" t="s">
        <v>2272</v>
      </c>
      <c r="E1037" s="736">
        <v>9500</v>
      </c>
      <c r="F1037" s="737" t="s">
        <v>5132</v>
      </c>
      <c r="G1037" s="738" t="s">
        <v>5133</v>
      </c>
      <c r="H1037" s="644" t="s">
        <v>3057</v>
      </c>
      <c r="I1037" s="636" t="s">
        <v>2250</v>
      </c>
      <c r="J1037" s="644" t="s">
        <v>2250</v>
      </c>
      <c r="K1037" s="739"/>
      <c r="L1037" s="735">
        <v>11</v>
      </c>
      <c r="M1037" s="736">
        <v>106047.39999999998</v>
      </c>
      <c r="N1037" s="735"/>
      <c r="O1037" s="735">
        <v>5</v>
      </c>
      <c r="P1037" s="736">
        <v>48370.75</v>
      </c>
      <c r="Q1037" s="214"/>
    </row>
    <row r="1038" spans="1:17" ht="12" customHeight="1" x14ac:dyDescent="0.2">
      <c r="A1038" s="735" t="s">
        <v>2169</v>
      </c>
      <c r="B1038" s="735" t="s">
        <v>2170</v>
      </c>
      <c r="C1038" s="735" t="s">
        <v>451</v>
      </c>
      <c r="D1038" s="644" t="s">
        <v>2630</v>
      </c>
      <c r="E1038" s="736">
        <v>8000</v>
      </c>
      <c r="F1038" s="737" t="s">
        <v>5134</v>
      </c>
      <c r="G1038" s="738" t="s">
        <v>5135</v>
      </c>
      <c r="H1038" s="644" t="s">
        <v>2317</v>
      </c>
      <c r="I1038" s="636" t="s">
        <v>2250</v>
      </c>
      <c r="J1038" s="644" t="s">
        <v>2250</v>
      </c>
      <c r="K1038" s="739"/>
      <c r="L1038" s="735">
        <v>9</v>
      </c>
      <c r="M1038" s="736">
        <v>73518.34</v>
      </c>
      <c r="N1038" s="735"/>
      <c r="O1038" s="735"/>
      <c r="P1038" s="736"/>
      <c r="Q1038" s="214"/>
    </row>
    <row r="1039" spans="1:17" ht="12" customHeight="1" x14ac:dyDescent="0.2">
      <c r="A1039" s="735" t="s">
        <v>2169</v>
      </c>
      <c r="B1039" s="735" t="s">
        <v>2170</v>
      </c>
      <c r="C1039" s="735" t="s">
        <v>451</v>
      </c>
      <c r="D1039" s="644" t="s">
        <v>3891</v>
      </c>
      <c r="E1039" s="736">
        <v>3000</v>
      </c>
      <c r="F1039" s="737" t="s">
        <v>5136</v>
      </c>
      <c r="G1039" s="738" t="s">
        <v>5137</v>
      </c>
      <c r="H1039" s="644" t="s">
        <v>2745</v>
      </c>
      <c r="I1039" s="636" t="s">
        <v>2385</v>
      </c>
      <c r="J1039" s="644" t="s">
        <v>2385</v>
      </c>
      <c r="K1039" s="739"/>
      <c r="L1039" s="735">
        <v>12</v>
      </c>
      <c r="M1039" s="736">
        <v>38870.1</v>
      </c>
      <c r="N1039" s="735"/>
      <c r="O1039" s="735">
        <v>6</v>
      </c>
      <c r="P1039" s="736">
        <v>19028.310000000001</v>
      </c>
      <c r="Q1039" s="214"/>
    </row>
    <row r="1040" spans="1:17" ht="12" customHeight="1" x14ac:dyDescent="0.2">
      <c r="A1040" s="735" t="s">
        <v>2169</v>
      </c>
      <c r="B1040" s="735" t="s">
        <v>2170</v>
      </c>
      <c r="C1040" s="735" t="s">
        <v>451</v>
      </c>
      <c r="D1040" s="644" t="s">
        <v>2446</v>
      </c>
      <c r="E1040" s="736">
        <v>2500</v>
      </c>
      <c r="F1040" s="737" t="s">
        <v>5138</v>
      </c>
      <c r="G1040" s="738" t="s">
        <v>5139</v>
      </c>
      <c r="H1040" s="644" t="s">
        <v>2504</v>
      </c>
      <c r="I1040" s="636" t="s">
        <v>3709</v>
      </c>
      <c r="J1040" s="644" t="s">
        <v>3709</v>
      </c>
      <c r="K1040" s="739"/>
      <c r="L1040" s="735">
        <v>12</v>
      </c>
      <c r="M1040" s="736">
        <v>31960.800000000007</v>
      </c>
      <c r="N1040" s="735"/>
      <c r="O1040" s="735">
        <v>6</v>
      </c>
      <c r="P1040" s="736">
        <v>15961.57</v>
      </c>
      <c r="Q1040" s="214"/>
    </row>
    <row r="1041" spans="1:17" ht="12" customHeight="1" x14ac:dyDescent="0.2">
      <c r="A1041" s="735" t="s">
        <v>2169</v>
      </c>
      <c r="B1041" s="735" t="s">
        <v>2170</v>
      </c>
      <c r="C1041" s="735" t="s">
        <v>451</v>
      </c>
      <c r="D1041" s="644" t="s">
        <v>2772</v>
      </c>
      <c r="E1041" s="736">
        <v>4000</v>
      </c>
      <c r="F1041" s="737" t="s">
        <v>5140</v>
      </c>
      <c r="G1041" s="738" t="s">
        <v>5141</v>
      </c>
      <c r="H1041" s="644" t="s">
        <v>2201</v>
      </c>
      <c r="I1041" s="636" t="s">
        <v>2201</v>
      </c>
      <c r="J1041" s="644"/>
      <c r="K1041" s="739"/>
      <c r="L1041" s="735">
        <v>4</v>
      </c>
      <c r="M1041" s="736">
        <v>17173.53</v>
      </c>
      <c r="N1041" s="735"/>
      <c r="O1041" s="735">
        <v>6</v>
      </c>
      <c r="P1041" s="736">
        <v>24911.57</v>
      </c>
      <c r="Q1041" s="214"/>
    </row>
    <row r="1042" spans="1:17" ht="12" customHeight="1" x14ac:dyDescent="0.2">
      <c r="A1042" s="735" t="s">
        <v>2169</v>
      </c>
      <c r="B1042" s="735" t="s">
        <v>2170</v>
      </c>
      <c r="C1042" s="735" t="s">
        <v>451</v>
      </c>
      <c r="D1042" s="644" t="s">
        <v>5142</v>
      </c>
      <c r="E1042" s="736">
        <v>8000</v>
      </c>
      <c r="F1042" s="737" t="s">
        <v>5143</v>
      </c>
      <c r="G1042" s="738" t="s">
        <v>5144</v>
      </c>
      <c r="H1042" s="644" t="s">
        <v>2189</v>
      </c>
      <c r="I1042" s="636" t="s">
        <v>2180</v>
      </c>
      <c r="J1042" s="644" t="s">
        <v>2180</v>
      </c>
      <c r="K1042" s="739"/>
      <c r="L1042" s="735">
        <v>12</v>
      </c>
      <c r="M1042" s="736">
        <v>97960.799999999988</v>
      </c>
      <c r="N1042" s="735"/>
      <c r="O1042" s="735">
        <v>6</v>
      </c>
      <c r="P1042" s="736">
        <v>49044.9</v>
      </c>
      <c r="Q1042" s="214"/>
    </row>
    <row r="1043" spans="1:17" ht="12" customHeight="1" x14ac:dyDescent="0.2">
      <c r="A1043" s="735" t="s">
        <v>2169</v>
      </c>
      <c r="B1043" s="735" t="s">
        <v>2170</v>
      </c>
      <c r="C1043" s="735" t="s">
        <v>451</v>
      </c>
      <c r="D1043" s="644" t="s">
        <v>2261</v>
      </c>
      <c r="E1043" s="736">
        <v>4500</v>
      </c>
      <c r="F1043" s="737" t="s">
        <v>5145</v>
      </c>
      <c r="G1043" s="738" t="s">
        <v>5146</v>
      </c>
      <c r="H1043" s="644" t="s">
        <v>5147</v>
      </c>
      <c r="I1043" s="636" t="s">
        <v>2385</v>
      </c>
      <c r="J1043" s="644" t="s">
        <v>2385</v>
      </c>
      <c r="K1043" s="739"/>
      <c r="L1043" s="735">
        <v>12</v>
      </c>
      <c r="M1043" s="736">
        <v>55959.98000000001</v>
      </c>
      <c r="N1043" s="735"/>
      <c r="O1043" s="735">
        <v>6</v>
      </c>
      <c r="P1043" s="736">
        <v>27892.309999999998</v>
      </c>
      <c r="Q1043" s="214"/>
    </row>
    <row r="1044" spans="1:17" ht="12" customHeight="1" x14ac:dyDescent="0.2">
      <c r="A1044" s="735" t="s">
        <v>2169</v>
      </c>
      <c r="B1044" s="735" t="s">
        <v>2170</v>
      </c>
      <c r="C1044" s="735" t="s">
        <v>451</v>
      </c>
      <c r="D1044" s="644" t="s">
        <v>2417</v>
      </c>
      <c r="E1044" s="736">
        <v>9000</v>
      </c>
      <c r="F1044" s="737" t="s">
        <v>5148</v>
      </c>
      <c r="G1044" s="738" t="s">
        <v>5149</v>
      </c>
      <c r="H1044" s="644" t="s">
        <v>2420</v>
      </c>
      <c r="I1044" s="636" t="s">
        <v>2246</v>
      </c>
      <c r="J1044" s="644" t="s">
        <v>2420</v>
      </c>
      <c r="K1044" s="739"/>
      <c r="L1044" s="735">
        <v>12</v>
      </c>
      <c r="M1044" s="736">
        <v>109958.34999999998</v>
      </c>
      <c r="N1044" s="735"/>
      <c r="O1044" s="735">
        <v>6</v>
      </c>
      <c r="P1044" s="736">
        <v>55030.68</v>
      </c>
      <c r="Q1044" s="214"/>
    </row>
    <row r="1045" spans="1:17" ht="12" customHeight="1" x14ac:dyDescent="0.2">
      <c r="A1045" s="735" t="s">
        <v>2169</v>
      </c>
      <c r="B1045" s="735" t="s">
        <v>2170</v>
      </c>
      <c r="C1045" s="735" t="s">
        <v>451</v>
      </c>
      <c r="D1045" s="644" t="s">
        <v>2511</v>
      </c>
      <c r="E1045" s="736">
        <v>3500</v>
      </c>
      <c r="F1045" s="737" t="s">
        <v>5150</v>
      </c>
      <c r="G1045" s="738" t="s">
        <v>5151</v>
      </c>
      <c r="H1045" s="644" t="s">
        <v>2184</v>
      </c>
      <c r="I1045" s="636" t="s">
        <v>2254</v>
      </c>
      <c r="J1045" s="644" t="s">
        <v>2254</v>
      </c>
      <c r="K1045" s="739"/>
      <c r="L1045" s="735">
        <v>12</v>
      </c>
      <c r="M1045" s="736">
        <v>44077.470000000008</v>
      </c>
      <c r="N1045" s="735"/>
      <c r="O1045" s="735">
        <v>6</v>
      </c>
      <c r="P1045" s="736">
        <v>22044.9</v>
      </c>
      <c r="Q1045" s="214"/>
    </row>
    <row r="1046" spans="1:17" ht="12" customHeight="1" x14ac:dyDescent="0.2">
      <c r="A1046" s="735" t="s">
        <v>2169</v>
      </c>
      <c r="B1046" s="735" t="s">
        <v>2170</v>
      </c>
      <c r="C1046" s="735" t="s">
        <v>451</v>
      </c>
      <c r="D1046" s="644" t="s">
        <v>3118</v>
      </c>
      <c r="E1046" s="736">
        <v>5500</v>
      </c>
      <c r="F1046" s="737" t="s">
        <v>5152</v>
      </c>
      <c r="G1046" s="738" t="s">
        <v>5153</v>
      </c>
      <c r="H1046" s="644" t="s">
        <v>2174</v>
      </c>
      <c r="I1046" s="636" t="s">
        <v>2228</v>
      </c>
      <c r="J1046" s="644" t="s">
        <v>2174</v>
      </c>
      <c r="K1046" s="739"/>
      <c r="L1046" s="735">
        <v>12</v>
      </c>
      <c r="M1046" s="736">
        <v>68144.13</v>
      </c>
      <c r="N1046" s="735"/>
      <c r="O1046" s="735">
        <v>6</v>
      </c>
      <c r="P1046" s="736">
        <v>34044.9</v>
      </c>
      <c r="Q1046" s="214"/>
    </row>
    <row r="1047" spans="1:17" ht="12" customHeight="1" x14ac:dyDescent="0.2">
      <c r="A1047" s="735" t="s">
        <v>2169</v>
      </c>
      <c r="B1047" s="735" t="s">
        <v>2170</v>
      </c>
      <c r="C1047" s="735" t="s">
        <v>451</v>
      </c>
      <c r="D1047" s="644" t="s">
        <v>3460</v>
      </c>
      <c r="E1047" s="736">
        <v>2500</v>
      </c>
      <c r="F1047" s="737" t="s">
        <v>5154</v>
      </c>
      <c r="G1047" s="738" t="s">
        <v>5155</v>
      </c>
      <c r="H1047" s="644" t="s">
        <v>2268</v>
      </c>
      <c r="I1047" s="636" t="s">
        <v>2175</v>
      </c>
      <c r="J1047" s="644" t="s">
        <v>2268</v>
      </c>
      <c r="K1047" s="739"/>
      <c r="L1047" s="735">
        <v>12</v>
      </c>
      <c r="M1047" s="736">
        <v>31764.070000000007</v>
      </c>
      <c r="N1047" s="735"/>
      <c r="O1047" s="735">
        <v>6</v>
      </c>
      <c r="P1047" s="736">
        <v>10518.15</v>
      </c>
      <c r="Q1047" s="214"/>
    </row>
    <row r="1048" spans="1:17" ht="12" customHeight="1" x14ac:dyDescent="0.2">
      <c r="A1048" s="735" t="s">
        <v>2169</v>
      </c>
      <c r="B1048" s="735" t="s">
        <v>2170</v>
      </c>
      <c r="C1048" s="735" t="s">
        <v>451</v>
      </c>
      <c r="D1048" s="644" t="s">
        <v>5156</v>
      </c>
      <c r="E1048" s="736">
        <v>13500</v>
      </c>
      <c r="F1048" s="737" t="s">
        <v>5157</v>
      </c>
      <c r="G1048" s="738" t="s">
        <v>5158</v>
      </c>
      <c r="H1048" s="644" t="s">
        <v>2201</v>
      </c>
      <c r="I1048" s="636"/>
      <c r="J1048" s="644"/>
      <c r="K1048" s="739"/>
      <c r="L1048" s="735">
        <v>8</v>
      </c>
      <c r="M1048" s="736">
        <v>109207.19999999998</v>
      </c>
      <c r="N1048" s="735"/>
      <c r="O1048" s="735"/>
      <c r="P1048" s="736"/>
      <c r="Q1048" s="214"/>
    </row>
    <row r="1049" spans="1:17" ht="12" customHeight="1" x14ac:dyDescent="0.2">
      <c r="A1049" s="735" t="s">
        <v>2169</v>
      </c>
      <c r="B1049" s="735" t="s">
        <v>2170</v>
      </c>
      <c r="C1049" s="735" t="s">
        <v>451</v>
      </c>
      <c r="D1049" s="644" t="s">
        <v>2417</v>
      </c>
      <c r="E1049" s="736">
        <v>9000</v>
      </c>
      <c r="F1049" s="737" t="s">
        <v>5159</v>
      </c>
      <c r="G1049" s="738" t="s">
        <v>5160</v>
      </c>
      <c r="H1049" s="644" t="s">
        <v>2201</v>
      </c>
      <c r="I1049" s="636" t="s">
        <v>2201</v>
      </c>
      <c r="J1049" s="644"/>
      <c r="K1049" s="739"/>
      <c r="L1049" s="735">
        <v>2</v>
      </c>
      <c r="M1049" s="736">
        <v>21526.799999999999</v>
      </c>
      <c r="N1049" s="735"/>
      <c r="O1049" s="735"/>
      <c r="P1049" s="736"/>
      <c r="Q1049" s="214"/>
    </row>
    <row r="1050" spans="1:17" ht="12" customHeight="1" x14ac:dyDescent="0.2">
      <c r="A1050" s="735" t="s">
        <v>2169</v>
      </c>
      <c r="B1050" s="735" t="s">
        <v>2170</v>
      </c>
      <c r="C1050" s="735" t="s">
        <v>451</v>
      </c>
      <c r="D1050" s="644" t="s">
        <v>5161</v>
      </c>
      <c r="E1050" s="736">
        <v>8000</v>
      </c>
      <c r="F1050" s="737" t="s">
        <v>5162</v>
      </c>
      <c r="G1050" s="738" t="s">
        <v>5163</v>
      </c>
      <c r="H1050" s="644" t="s">
        <v>2179</v>
      </c>
      <c r="I1050" s="636" t="s">
        <v>2250</v>
      </c>
      <c r="J1050" s="644" t="s">
        <v>2250</v>
      </c>
      <c r="K1050" s="739"/>
      <c r="L1050" s="735">
        <v>12</v>
      </c>
      <c r="M1050" s="736">
        <v>102360.79999999999</v>
      </c>
      <c r="N1050" s="735"/>
      <c r="O1050" s="735">
        <v>6</v>
      </c>
      <c r="P1050" s="736">
        <v>60877.520000000004</v>
      </c>
      <c r="Q1050" s="214"/>
    </row>
    <row r="1051" spans="1:17" ht="12" customHeight="1" x14ac:dyDescent="0.2">
      <c r="A1051" s="735" t="s">
        <v>2169</v>
      </c>
      <c r="B1051" s="735" t="s">
        <v>2170</v>
      </c>
      <c r="C1051" s="735" t="s">
        <v>451</v>
      </c>
      <c r="D1051" s="644" t="s">
        <v>3464</v>
      </c>
      <c r="E1051" s="736">
        <v>2700</v>
      </c>
      <c r="F1051" s="737" t="s">
        <v>5164</v>
      </c>
      <c r="G1051" s="738" t="s">
        <v>5165</v>
      </c>
      <c r="H1051" s="644" t="s">
        <v>2253</v>
      </c>
      <c r="I1051" s="636" t="s">
        <v>2254</v>
      </c>
      <c r="J1051" s="644" t="s">
        <v>2254</v>
      </c>
      <c r="K1051" s="739"/>
      <c r="L1051" s="735">
        <v>12</v>
      </c>
      <c r="M1051" s="736">
        <v>34360.80000000001</v>
      </c>
      <c r="N1051" s="735"/>
      <c r="O1051" s="735">
        <v>6</v>
      </c>
      <c r="P1051" s="736">
        <v>17243.93</v>
      </c>
      <c r="Q1051" s="214"/>
    </row>
    <row r="1052" spans="1:17" ht="12" customHeight="1" x14ac:dyDescent="0.2">
      <c r="A1052" s="735" t="s">
        <v>2169</v>
      </c>
      <c r="B1052" s="735" t="s">
        <v>2170</v>
      </c>
      <c r="C1052" s="735" t="s">
        <v>451</v>
      </c>
      <c r="D1052" s="644" t="s">
        <v>2261</v>
      </c>
      <c r="E1052" s="736">
        <v>5500</v>
      </c>
      <c r="F1052" s="737" t="s">
        <v>5166</v>
      </c>
      <c r="G1052" s="738" t="s">
        <v>5167</v>
      </c>
      <c r="H1052" s="644" t="s">
        <v>2201</v>
      </c>
      <c r="I1052" s="636"/>
      <c r="J1052" s="644"/>
      <c r="K1052" s="739"/>
      <c r="L1052" s="735">
        <v>12</v>
      </c>
      <c r="M1052" s="736">
        <v>68487.850000000006</v>
      </c>
      <c r="N1052" s="735"/>
      <c r="O1052" s="735">
        <v>6</v>
      </c>
      <c r="P1052" s="736">
        <v>33519.320000000007</v>
      </c>
      <c r="Q1052" s="214"/>
    </row>
    <row r="1053" spans="1:17" ht="12" customHeight="1" x14ac:dyDescent="0.2">
      <c r="A1053" s="735" t="s">
        <v>2169</v>
      </c>
      <c r="B1053" s="735" t="s">
        <v>2170</v>
      </c>
      <c r="C1053" s="735" t="s">
        <v>451</v>
      </c>
      <c r="D1053" s="644" t="s">
        <v>5168</v>
      </c>
      <c r="E1053" s="736">
        <v>7000</v>
      </c>
      <c r="F1053" s="737" t="s">
        <v>5169</v>
      </c>
      <c r="G1053" s="738" t="s">
        <v>5170</v>
      </c>
      <c r="H1053" s="644">
        <v>0</v>
      </c>
      <c r="I1053" s="636">
        <v>0</v>
      </c>
      <c r="J1053" s="644">
        <v>0</v>
      </c>
      <c r="K1053" s="739"/>
      <c r="L1053" s="735">
        <v>6</v>
      </c>
      <c r="M1053" s="736">
        <v>42248.340000000004</v>
      </c>
      <c r="N1053" s="735"/>
      <c r="O1053" s="735"/>
      <c r="P1053" s="736"/>
      <c r="Q1053" s="214"/>
    </row>
    <row r="1054" spans="1:17" ht="12" customHeight="1" x14ac:dyDescent="0.2">
      <c r="A1054" s="735" t="s">
        <v>2169</v>
      </c>
      <c r="B1054" s="735" t="s">
        <v>2170</v>
      </c>
      <c r="C1054" s="735" t="s">
        <v>451</v>
      </c>
      <c r="D1054" s="644" t="s">
        <v>5171</v>
      </c>
      <c r="E1054" s="736">
        <v>9500</v>
      </c>
      <c r="F1054" s="737" t="s">
        <v>5172</v>
      </c>
      <c r="G1054" s="738" t="s">
        <v>5173</v>
      </c>
      <c r="H1054" s="644" t="s">
        <v>2201</v>
      </c>
      <c r="I1054" s="636"/>
      <c r="J1054" s="644"/>
      <c r="K1054" s="739"/>
      <c r="L1054" s="735">
        <v>12</v>
      </c>
      <c r="M1054" s="736">
        <v>115960.79999999997</v>
      </c>
      <c r="N1054" s="735"/>
      <c r="O1054" s="735">
        <v>6</v>
      </c>
      <c r="P1054" s="736">
        <v>58044.9</v>
      </c>
      <c r="Q1054" s="214"/>
    </row>
    <row r="1055" spans="1:17" ht="12" customHeight="1" x14ac:dyDescent="0.2">
      <c r="A1055" s="735" t="s">
        <v>2169</v>
      </c>
      <c r="B1055" s="735" t="s">
        <v>2170</v>
      </c>
      <c r="C1055" s="735" t="s">
        <v>451</v>
      </c>
      <c r="D1055" s="644" t="s">
        <v>5174</v>
      </c>
      <c r="E1055" s="736">
        <v>9500</v>
      </c>
      <c r="F1055" s="737" t="s">
        <v>5175</v>
      </c>
      <c r="G1055" s="738" t="s">
        <v>5176</v>
      </c>
      <c r="H1055" s="644" t="s">
        <v>2317</v>
      </c>
      <c r="I1055" s="636" t="s">
        <v>2180</v>
      </c>
      <c r="J1055" s="644" t="s">
        <v>2180</v>
      </c>
      <c r="K1055" s="739"/>
      <c r="L1055" s="735">
        <v>9</v>
      </c>
      <c r="M1055" s="736">
        <v>82387.26999999999</v>
      </c>
      <c r="N1055" s="735"/>
      <c r="O1055" s="735">
        <v>6</v>
      </c>
      <c r="P1055" s="736">
        <v>57997.810000000005</v>
      </c>
      <c r="Q1055" s="214"/>
    </row>
    <row r="1056" spans="1:17" ht="12" customHeight="1" x14ac:dyDescent="0.2">
      <c r="A1056" s="735" t="s">
        <v>2169</v>
      </c>
      <c r="B1056" s="735" t="s">
        <v>2170</v>
      </c>
      <c r="C1056" s="735" t="s">
        <v>451</v>
      </c>
      <c r="D1056" s="644" t="s">
        <v>5177</v>
      </c>
      <c r="E1056" s="736">
        <v>6000</v>
      </c>
      <c r="F1056" s="737" t="s">
        <v>5178</v>
      </c>
      <c r="G1056" s="738" t="s">
        <v>5179</v>
      </c>
      <c r="H1056" s="644" t="s">
        <v>2924</v>
      </c>
      <c r="I1056" s="636" t="s">
        <v>2250</v>
      </c>
      <c r="J1056" s="644" t="s">
        <v>2250</v>
      </c>
      <c r="K1056" s="739"/>
      <c r="L1056" s="735">
        <v>12</v>
      </c>
      <c r="M1056" s="736">
        <v>73960.800000000003</v>
      </c>
      <c r="N1056" s="735"/>
      <c r="O1056" s="735">
        <v>6</v>
      </c>
      <c r="P1056" s="736">
        <v>37043.18</v>
      </c>
      <c r="Q1056" s="214"/>
    </row>
    <row r="1057" spans="1:17" ht="12" customHeight="1" x14ac:dyDescent="0.2">
      <c r="A1057" s="735" t="s">
        <v>2169</v>
      </c>
      <c r="B1057" s="735" t="s">
        <v>2170</v>
      </c>
      <c r="C1057" s="735" t="s">
        <v>451</v>
      </c>
      <c r="D1057" s="644" t="s">
        <v>2288</v>
      </c>
      <c r="E1057" s="736">
        <v>3000</v>
      </c>
      <c r="F1057" s="737" t="s">
        <v>5180</v>
      </c>
      <c r="G1057" s="738" t="s">
        <v>5181</v>
      </c>
      <c r="H1057" s="644" t="s">
        <v>2253</v>
      </c>
      <c r="I1057" s="636" t="s">
        <v>2254</v>
      </c>
      <c r="J1057" s="644" t="s">
        <v>2254</v>
      </c>
      <c r="K1057" s="739"/>
      <c r="L1057" s="735">
        <v>12</v>
      </c>
      <c r="M1057" s="736">
        <v>37960.80000000001</v>
      </c>
      <c r="N1057" s="735"/>
      <c r="O1057" s="735">
        <v>6</v>
      </c>
      <c r="P1057" s="736">
        <v>19044.900000000001</v>
      </c>
      <c r="Q1057" s="214"/>
    </row>
    <row r="1058" spans="1:17" ht="12" customHeight="1" x14ac:dyDescent="0.2">
      <c r="A1058" s="735" t="s">
        <v>2169</v>
      </c>
      <c r="B1058" s="735" t="s">
        <v>2170</v>
      </c>
      <c r="C1058" s="735" t="s">
        <v>451</v>
      </c>
      <c r="D1058" s="644" t="s">
        <v>5182</v>
      </c>
      <c r="E1058" s="736">
        <v>15600</v>
      </c>
      <c r="F1058" s="737" t="s">
        <v>5183</v>
      </c>
      <c r="G1058" s="738" t="s">
        <v>5184</v>
      </c>
      <c r="H1058" s="644" t="s">
        <v>2201</v>
      </c>
      <c r="I1058" s="636"/>
      <c r="J1058" s="644"/>
      <c r="K1058" s="739"/>
      <c r="L1058" s="735">
        <v>3</v>
      </c>
      <c r="M1058" s="736">
        <v>37780.199999999997</v>
      </c>
      <c r="N1058" s="735"/>
      <c r="O1058" s="735"/>
      <c r="P1058" s="736"/>
      <c r="Q1058" s="214"/>
    </row>
    <row r="1059" spans="1:17" ht="12" customHeight="1" x14ac:dyDescent="0.2">
      <c r="A1059" s="735" t="s">
        <v>2169</v>
      </c>
      <c r="B1059" s="735" t="s">
        <v>2170</v>
      </c>
      <c r="C1059" s="735" t="s">
        <v>451</v>
      </c>
      <c r="D1059" s="644" t="s">
        <v>5185</v>
      </c>
      <c r="E1059" s="736">
        <v>15600</v>
      </c>
      <c r="F1059" s="737" t="s">
        <v>5186</v>
      </c>
      <c r="G1059" s="738" t="s">
        <v>5187</v>
      </c>
      <c r="H1059" s="644" t="s">
        <v>2197</v>
      </c>
      <c r="I1059" s="636" t="s">
        <v>2180</v>
      </c>
      <c r="J1059" s="644" t="s">
        <v>2180</v>
      </c>
      <c r="K1059" s="739"/>
      <c r="L1059" s="735">
        <v>8</v>
      </c>
      <c r="M1059" s="736">
        <v>117267.19999999998</v>
      </c>
      <c r="N1059" s="735"/>
      <c r="O1059" s="735">
        <v>1</v>
      </c>
      <c r="P1059" s="736">
        <v>317.4799999999999</v>
      </c>
      <c r="Q1059" s="214"/>
    </row>
    <row r="1060" spans="1:17" ht="12" customHeight="1" x14ac:dyDescent="0.2">
      <c r="A1060" s="735" t="s">
        <v>2169</v>
      </c>
      <c r="B1060" s="735" t="s">
        <v>2170</v>
      </c>
      <c r="C1060" s="735" t="s">
        <v>451</v>
      </c>
      <c r="D1060" s="644" t="s">
        <v>5188</v>
      </c>
      <c r="E1060" s="736">
        <v>7000</v>
      </c>
      <c r="F1060" s="737" t="s">
        <v>5189</v>
      </c>
      <c r="G1060" s="738" t="s">
        <v>5190</v>
      </c>
      <c r="H1060" s="644" t="s">
        <v>2201</v>
      </c>
      <c r="I1060" s="636"/>
      <c r="J1060" s="644"/>
      <c r="K1060" s="739"/>
      <c r="L1060" s="735">
        <v>12</v>
      </c>
      <c r="M1060" s="736">
        <v>85691.909999999989</v>
      </c>
      <c r="N1060" s="735"/>
      <c r="O1060" s="735">
        <v>6</v>
      </c>
      <c r="P1060" s="736">
        <v>43021.770000000004</v>
      </c>
      <c r="Q1060" s="214"/>
    </row>
    <row r="1061" spans="1:17" ht="12" customHeight="1" x14ac:dyDescent="0.2">
      <c r="A1061" s="735" t="s">
        <v>2169</v>
      </c>
      <c r="B1061" s="735" t="s">
        <v>2170</v>
      </c>
      <c r="C1061" s="735" t="s">
        <v>451</v>
      </c>
      <c r="D1061" s="644" t="s">
        <v>5191</v>
      </c>
      <c r="E1061" s="736">
        <v>8000</v>
      </c>
      <c r="F1061" s="737" t="s">
        <v>5192</v>
      </c>
      <c r="G1061" s="738" t="s">
        <v>5193</v>
      </c>
      <c r="H1061" s="644" t="s">
        <v>2323</v>
      </c>
      <c r="I1061" s="636" t="s">
        <v>2250</v>
      </c>
      <c r="J1061" s="644" t="s">
        <v>2250</v>
      </c>
      <c r="K1061" s="739"/>
      <c r="L1061" s="735">
        <v>12</v>
      </c>
      <c r="M1061" s="736">
        <v>99392.919999999969</v>
      </c>
      <c r="N1061" s="735"/>
      <c r="O1061" s="735">
        <v>6</v>
      </c>
      <c r="P1061" s="736">
        <v>49044.9</v>
      </c>
      <c r="Q1061" s="214"/>
    </row>
    <row r="1062" spans="1:17" ht="12" customHeight="1" x14ac:dyDescent="0.2">
      <c r="A1062" s="735" t="s">
        <v>2169</v>
      </c>
      <c r="B1062" s="735" t="s">
        <v>2170</v>
      </c>
      <c r="C1062" s="735" t="s">
        <v>451</v>
      </c>
      <c r="D1062" s="644" t="s">
        <v>5194</v>
      </c>
      <c r="E1062" s="736">
        <v>10000</v>
      </c>
      <c r="F1062" s="737" t="s">
        <v>5195</v>
      </c>
      <c r="G1062" s="738" t="s">
        <v>5196</v>
      </c>
      <c r="H1062" s="644" t="s">
        <v>2201</v>
      </c>
      <c r="I1062" s="636" t="s">
        <v>2201</v>
      </c>
      <c r="J1062" s="644"/>
      <c r="K1062" s="739"/>
      <c r="L1062" s="735">
        <v>3</v>
      </c>
      <c r="M1062" s="736">
        <v>31673.53</v>
      </c>
      <c r="N1062" s="735"/>
      <c r="O1062" s="735"/>
      <c r="P1062" s="736"/>
      <c r="Q1062" s="214"/>
    </row>
    <row r="1063" spans="1:17" ht="12" customHeight="1" x14ac:dyDescent="0.2">
      <c r="A1063" s="735" t="s">
        <v>2169</v>
      </c>
      <c r="B1063" s="735" t="s">
        <v>2170</v>
      </c>
      <c r="C1063" s="735" t="s">
        <v>451</v>
      </c>
      <c r="D1063" s="644" t="s">
        <v>5197</v>
      </c>
      <c r="E1063" s="736">
        <v>6000</v>
      </c>
      <c r="F1063" s="737" t="s">
        <v>5198</v>
      </c>
      <c r="G1063" s="738" t="s">
        <v>5199</v>
      </c>
      <c r="H1063" s="644" t="s">
        <v>2201</v>
      </c>
      <c r="I1063" s="636"/>
      <c r="J1063" s="644"/>
      <c r="K1063" s="739"/>
      <c r="L1063" s="735">
        <v>12</v>
      </c>
      <c r="M1063" s="736">
        <v>75658.799999999988</v>
      </c>
      <c r="N1063" s="735"/>
      <c r="O1063" s="735">
        <v>6</v>
      </c>
      <c r="P1063" s="736">
        <v>37044.9</v>
      </c>
      <c r="Q1063" s="214"/>
    </row>
    <row r="1064" spans="1:17" ht="12" customHeight="1" x14ac:dyDescent="0.2">
      <c r="A1064" s="735" t="s">
        <v>2169</v>
      </c>
      <c r="B1064" s="735" t="s">
        <v>2170</v>
      </c>
      <c r="C1064" s="735" t="s">
        <v>451</v>
      </c>
      <c r="D1064" s="644" t="s">
        <v>5200</v>
      </c>
      <c r="E1064" s="736">
        <v>3000</v>
      </c>
      <c r="F1064" s="737" t="s">
        <v>5201</v>
      </c>
      <c r="G1064" s="738" t="s">
        <v>5202</v>
      </c>
      <c r="H1064" s="644" t="s">
        <v>2201</v>
      </c>
      <c r="I1064" s="636"/>
      <c r="J1064" s="644"/>
      <c r="K1064" s="739"/>
      <c r="L1064" s="735">
        <v>12</v>
      </c>
      <c r="M1064" s="736">
        <v>37960.80000000001</v>
      </c>
      <c r="N1064" s="735"/>
      <c r="O1064" s="735">
        <v>6</v>
      </c>
      <c r="P1064" s="736">
        <v>19044.900000000001</v>
      </c>
      <c r="Q1064" s="214"/>
    </row>
    <row r="1065" spans="1:17" ht="12" customHeight="1" x14ac:dyDescent="0.2">
      <c r="A1065" s="735" t="s">
        <v>2169</v>
      </c>
      <c r="B1065" s="735" t="s">
        <v>2170</v>
      </c>
      <c r="C1065" s="735" t="s">
        <v>451</v>
      </c>
      <c r="D1065" s="644" t="s">
        <v>5203</v>
      </c>
      <c r="E1065" s="736">
        <v>8000</v>
      </c>
      <c r="F1065" s="737" t="s">
        <v>5204</v>
      </c>
      <c r="G1065" s="738" t="s">
        <v>5205</v>
      </c>
      <c r="H1065" s="644" t="s">
        <v>2323</v>
      </c>
      <c r="I1065" s="636" t="s">
        <v>2180</v>
      </c>
      <c r="J1065" s="644" t="s">
        <v>2180</v>
      </c>
      <c r="K1065" s="739"/>
      <c r="L1065" s="735">
        <v>12</v>
      </c>
      <c r="M1065" s="736">
        <v>99401.599999999977</v>
      </c>
      <c r="N1065" s="735"/>
      <c r="O1065" s="735">
        <v>6</v>
      </c>
      <c r="P1065" s="736">
        <v>49044.9</v>
      </c>
      <c r="Q1065" s="214"/>
    </row>
    <row r="1066" spans="1:17" ht="12" customHeight="1" x14ac:dyDescent="0.2">
      <c r="A1066" s="735" t="s">
        <v>2169</v>
      </c>
      <c r="B1066" s="735" t="s">
        <v>2170</v>
      </c>
      <c r="C1066" s="735" t="s">
        <v>451</v>
      </c>
      <c r="D1066" s="644" t="s">
        <v>3852</v>
      </c>
      <c r="E1066" s="736">
        <v>9000</v>
      </c>
      <c r="F1066" s="737" t="s">
        <v>5206</v>
      </c>
      <c r="G1066" s="738" t="s">
        <v>5207</v>
      </c>
      <c r="H1066" s="644" t="s">
        <v>2174</v>
      </c>
      <c r="I1066" s="636" t="s">
        <v>2175</v>
      </c>
      <c r="J1066" s="644" t="s">
        <v>2174</v>
      </c>
      <c r="K1066" s="739"/>
      <c r="L1066" s="735">
        <v>8</v>
      </c>
      <c r="M1066" s="736">
        <v>73207.199999999997</v>
      </c>
      <c r="N1066" s="735"/>
      <c r="O1066" s="735"/>
      <c r="P1066" s="736"/>
      <c r="Q1066" s="214"/>
    </row>
    <row r="1067" spans="1:17" ht="12" customHeight="1" x14ac:dyDescent="0.2">
      <c r="A1067" s="735" t="s">
        <v>2169</v>
      </c>
      <c r="B1067" s="735" t="s">
        <v>2170</v>
      </c>
      <c r="C1067" s="735" t="s">
        <v>451</v>
      </c>
      <c r="D1067" s="644" t="s">
        <v>3891</v>
      </c>
      <c r="E1067" s="736">
        <v>3000</v>
      </c>
      <c r="F1067" s="737" t="s">
        <v>5208</v>
      </c>
      <c r="G1067" s="738" t="s">
        <v>5209</v>
      </c>
      <c r="H1067" s="644" t="s">
        <v>2253</v>
      </c>
      <c r="I1067" s="636" t="s">
        <v>2254</v>
      </c>
      <c r="J1067" s="644" t="s">
        <v>2254</v>
      </c>
      <c r="K1067" s="739"/>
      <c r="L1067" s="735">
        <v>12</v>
      </c>
      <c r="M1067" s="736">
        <v>38865.43</v>
      </c>
      <c r="N1067" s="735"/>
      <c r="O1067" s="735">
        <v>6</v>
      </c>
      <c r="P1067" s="736">
        <v>19022.71</v>
      </c>
      <c r="Q1067" s="214"/>
    </row>
    <row r="1068" spans="1:17" ht="12" customHeight="1" x14ac:dyDescent="0.2">
      <c r="A1068" s="735" t="s">
        <v>2169</v>
      </c>
      <c r="B1068" s="735" t="s">
        <v>2170</v>
      </c>
      <c r="C1068" s="735" t="s">
        <v>451</v>
      </c>
      <c r="D1068" s="644" t="s">
        <v>5210</v>
      </c>
      <c r="E1068" s="736">
        <v>8000</v>
      </c>
      <c r="F1068" s="737" t="s">
        <v>5211</v>
      </c>
      <c r="G1068" s="738" t="s">
        <v>5212</v>
      </c>
      <c r="H1068" s="644" t="s">
        <v>2201</v>
      </c>
      <c r="I1068" s="636" t="s">
        <v>2201</v>
      </c>
      <c r="J1068" s="644"/>
      <c r="K1068" s="739"/>
      <c r="L1068" s="735">
        <v>4</v>
      </c>
      <c r="M1068" s="736">
        <v>33706.870000000003</v>
      </c>
      <c r="N1068" s="735"/>
      <c r="O1068" s="735">
        <v>2</v>
      </c>
      <c r="P1068" s="736">
        <v>11669.38</v>
      </c>
      <c r="Q1068" s="214"/>
    </row>
    <row r="1069" spans="1:17" ht="12" customHeight="1" x14ac:dyDescent="0.2">
      <c r="A1069" s="735" t="s">
        <v>2169</v>
      </c>
      <c r="B1069" s="735" t="s">
        <v>2170</v>
      </c>
      <c r="C1069" s="735" t="s">
        <v>451</v>
      </c>
      <c r="D1069" s="644" t="s">
        <v>5213</v>
      </c>
      <c r="E1069" s="736">
        <v>8000</v>
      </c>
      <c r="F1069" s="737" t="s">
        <v>5214</v>
      </c>
      <c r="G1069" s="738" t="s">
        <v>5215</v>
      </c>
      <c r="H1069" s="644" t="s">
        <v>2201</v>
      </c>
      <c r="I1069" s="636"/>
      <c r="J1069" s="644"/>
      <c r="K1069" s="739"/>
      <c r="L1069" s="735">
        <v>12</v>
      </c>
      <c r="M1069" s="736">
        <v>97960.799999999988</v>
      </c>
      <c r="N1069" s="735"/>
      <c r="O1069" s="735">
        <v>6</v>
      </c>
      <c r="P1069" s="736">
        <v>49040.880000000005</v>
      </c>
      <c r="Q1069" s="214"/>
    </row>
    <row r="1070" spans="1:17" ht="12" customHeight="1" x14ac:dyDescent="0.2">
      <c r="A1070" s="735" t="s">
        <v>2169</v>
      </c>
      <c r="B1070" s="735" t="s">
        <v>2170</v>
      </c>
      <c r="C1070" s="735" t="s">
        <v>451</v>
      </c>
      <c r="D1070" s="644" t="s">
        <v>5216</v>
      </c>
      <c r="E1070" s="736">
        <v>15600</v>
      </c>
      <c r="F1070" s="737" t="s">
        <v>5217</v>
      </c>
      <c r="G1070" s="738" t="s">
        <v>5218</v>
      </c>
      <c r="H1070" s="644" t="s">
        <v>2179</v>
      </c>
      <c r="I1070" s="636" t="s">
        <v>2175</v>
      </c>
      <c r="J1070" s="644"/>
      <c r="K1070" s="739"/>
      <c r="L1070" s="735">
        <v>2</v>
      </c>
      <c r="M1070" s="736">
        <v>20506.8</v>
      </c>
      <c r="N1070" s="735"/>
      <c r="O1070" s="735"/>
      <c r="P1070" s="736"/>
      <c r="Q1070" s="214"/>
    </row>
    <row r="1071" spans="1:17" ht="12" customHeight="1" x14ac:dyDescent="0.2">
      <c r="A1071" s="735" t="s">
        <v>2169</v>
      </c>
      <c r="B1071" s="735" t="s">
        <v>2170</v>
      </c>
      <c r="C1071" s="735" t="s">
        <v>451</v>
      </c>
      <c r="D1071" s="644" t="s">
        <v>5219</v>
      </c>
      <c r="E1071" s="736">
        <v>9500</v>
      </c>
      <c r="F1071" s="737" t="s">
        <v>5220</v>
      </c>
      <c r="G1071" s="738" t="s">
        <v>5221</v>
      </c>
      <c r="H1071" s="644" t="s">
        <v>2208</v>
      </c>
      <c r="I1071" s="636" t="s">
        <v>2180</v>
      </c>
      <c r="J1071" s="644" t="s">
        <v>2180</v>
      </c>
      <c r="K1071" s="739"/>
      <c r="L1071" s="735">
        <v>12</v>
      </c>
      <c r="M1071" s="736">
        <v>115960.79999999997</v>
      </c>
      <c r="N1071" s="735"/>
      <c r="O1071" s="735">
        <v>6</v>
      </c>
      <c r="P1071" s="736">
        <v>57823.780000000006</v>
      </c>
      <c r="Q1071" s="214"/>
    </row>
    <row r="1072" spans="1:17" ht="12" customHeight="1" x14ac:dyDescent="0.2">
      <c r="A1072" s="735" t="s">
        <v>2169</v>
      </c>
      <c r="B1072" s="735" t="s">
        <v>2170</v>
      </c>
      <c r="C1072" s="735" t="s">
        <v>451</v>
      </c>
      <c r="D1072" s="644" t="s">
        <v>5222</v>
      </c>
      <c r="E1072" s="736">
        <v>4600</v>
      </c>
      <c r="F1072" s="737" t="s">
        <v>5223</v>
      </c>
      <c r="G1072" s="738" t="s">
        <v>5224</v>
      </c>
      <c r="H1072" s="644" t="s">
        <v>2184</v>
      </c>
      <c r="I1072" s="636" t="s">
        <v>2185</v>
      </c>
      <c r="J1072" s="644"/>
      <c r="K1072" s="739"/>
      <c r="L1072" s="735">
        <v>2</v>
      </c>
      <c r="M1072" s="736">
        <v>9833.4699999999993</v>
      </c>
      <c r="N1072" s="735"/>
      <c r="O1072" s="735">
        <v>6</v>
      </c>
      <c r="P1072" s="736">
        <v>28644.9</v>
      </c>
      <c r="Q1072" s="214"/>
    </row>
    <row r="1073" spans="1:17" ht="12" customHeight="1" x14ac:dyDescent="0.2">
      <c r="A1073" s="735" t="s">
        <v>2169</v>
      </c>
      <c r="B1073" s="735" t="s">
        <v>2170</v>
      </c>
      <c r="C1073" s="735" t="s">
        <v>451</v>
      </c>
      <c r="D1073" s="644" t="s">
        <v>5225</v>
      </c>
      <c r="E1073" s="736">
        <v>12500</v>
      </c>
      <c r="F1073" s="737" t="s">
        <v>5226</v>
      </c>
      <c r="G1073" s="738" t="s">
        <v>5227</v>
      </c>
      <c r="H1073" s="644" t="s">
        <v>2752</v>
      </c>
      <c r="I1073" s="636" t="s">
        <v>2544</v>
      </c>
      <c r="J1073" s="644" t="s">
        <v>2544</v>
      </c>
      <c r="K1073" s="739"/>
      <c r="L1073" s="735">
        <v>12</v>
      </c>
      <c r="M1073" s="736">
        <v>151841.72999999998</v>
      </c>
      <c r="N1073" s="735"/>
      <c r="O1073" s="735">
        <v>6</v>
      </c>
      <c r="P1073" s="736">
        <v>76032.33</v>
      </c>
      <c r="Q1073" s="214"/>
    </row>
    <row r="1074" spans="1:17" ht="12" customHeight="1" x14ac:dyDescent="0.2">
      <c r="A1074" s="735" t="s">
        <v>2169</v>
      </c>
      <c r="B1074" s="735" t="s">
        <v>2170</v>
      </c>
      <c r="C1074" s="735" t="s">
        <v>451</v>
      </c>
      <c r="D1074" s="644" t="s">
        <v>2724</v>
      </c>
      <c r="E1074" s="736">
        <v>5000</v>
      </c>
      <c r="F1074" s="737" t="s">
        <v>5228</v>
      </c>
      <c r="G1074" s="738" t="s">
        <v>5229</v>
      </c>
      <c r="H1074" s="644" t="s">
        <v>2217</v>
      </c>
      <c r="I1074" s="636" t="s">
        <v>2246</v>
      </c>
      <c r="J1074" s="644" t="s">
        <v>2217</v>
      </c>
      <c r="K1074" s="739"/>
      <c r="L1074" s="735">
        <v>12</v>
      </c>
      <c r="M1074" s="736">
        <v>61847.400000000009</v>
      </c>
      <c r="N1074" s="735"/>
      <c r="O1074" s="735">
        <v>6</v>
      </c>
      <c r="P1074" s="736">
        <v>31044.9</v>
      </c>
      <c r="Q1074" s="214"/>
    </row>
    <row r="1075" spans="1:17" ht="12" customHeight="1" x14ac:dyDescent="0.2">
      <c r="A1075" s="735" t="s">
        <v>2169</v>
      </c>
      <c r="B1075" s="735" t="s">
        <v>2170</v>
      </c>
      <c r="C1075" s="735" t="s">
        <v>451</v>
      </c>
      <c r="D1075" s="644" t="s">
        <v>2369</v>
      </c>
      <c r="E1075" s="736">
        <v>4000</v>
      </c>
      <c r="F1075" s="737" t="s">
        <v>5230</v>
      </c>
      <c r="G1075" s="738" t="s">
        <v>5231</v>
      </c>
      <c r="H1075" s="644" t="s">
        <v>2863</v>
      </c>
      <c r="I1075" s="636" t="s">
        <v>2296</v>
      </c>
      <c r="J1075" s="644" t="s">
        <v>2296</v>
      </c>
      <c r="K1075" s="739"/>
      <c r="L1075" s="735">
        <v>12</v>
      </c>
      <c r="M1075" s="736">
        <v>49935.040000000008</v>
      </c>
      <c r="N1075" s="735"/>
      <c r="O1075" s="735">
        <v>2</v>
      </c>
      <c r="P1075" s="736">
        <v>11975.32</v>
      </c>
      <c r="Q1075" s="214"/>
    </row>
    <row r="1076" spans="1:17" ht="12" customHeight="1" x14ac:dyDescent="0.2">
      <c r="A1076" s="735" t="s">
        <v>2169</v>
      </c>
      <c r="B1076" s="735" t="s">
        <v>2170</v>
      </c>
      <c r="C1076" s="735" t="s">
        <v>451</v>
      </c>
      <c r="D1076" s="644" t="s">
        <v>5232</v>
      </c>
      <c r="E1076" s="736">
        <v>15600</v>
      </c>
      <c r="F1076" s="737" t="s">
        <v>5233</v>
      </c>
      <c r="G1076" s="738" t="s">
        <v>5234</v>
      </c>
      <c r="H1076" s="644" t="s">
        <v>2201</v>
      </c>
      <c r="I1076" s="636" t="s">
        <v>2201</v>
      </c>
      <c r="J1076" s="644"/>
      <c r="K1076" s="739"/>
      <c r="L1076" s="735">
        <v>6</v>
      </c>
      <c r="M1076" s="736">
        <v>80860.399999999994</v>
      </c>
      <c r="N1076" s="735"/>
      <c r="O1076" s="735"/>
      <c r="P1076" s="736"/>
      <c r="Q1076" s="214"/>
    </row>
    <row r="1077" spans="1:17" ht="12" customHeight="1" x14ac:dyDescent="0.2">
      <c r="A1077" s="735" t="s">
        <v>2169</v>
      </c>
      <c r="B1077" s="735" t="s">
        <v>2170</v>
      </c>
      <c r="C1077" s="735" t="s">
        <v>451</v>
      </c>
      <c r="D1077" s="644" t="s">
        <v>2560</v>
      </c>
      <c r="E1077" s="736">
        <v>3800</v>
      </c>
      <c r="F1077" s="737" t="s">
        <v>5235</v>
      </c>
      <c r="G1077" s="738" t="s">
        <v>5236</v>
      </c>
      <c r="H1077" s="644" t="s">
        <v>4812</v>
      </c>
      <c r="I1077" s="636" t="s">
        <v>2250</v>
      </c>
      <c r="J1077" s="644" t="s">
        <v>2250</v>
      </c>
      <c r="K1077" s="739"/>
      <c r="L1077" s="735">
        <v>12</v>
      </c>
      <c r="M1077" s="736">
        <v>47560.80000000001</v>
      </c>
      <c r="N1077" s="735"/>
      <c r="O1077" s="735">
        <v>1</v>
      </c>
      <c r="P1077" s="736">
        <v>4037.48</v>
      </c>
      <c r="Q1077" s="214"/>
    </row>
    <row r="1078" spans="1:17" ht="12" customHeight="1" x14ac:dyDescent="0.2">
      <c r="A1078" s="735" t="s">
        <v>2169</v>
      </c>
      <c r="B1078" s="735" t="s">
        <v>2170</v>
      </c>
      <c r="C1078" s="735" t="s">
        <v>451</v>
      </c>
      <c r="D1078" s="644" t="s">
        <v>5237</v>
      </c>
      <c r="E1078" s="736">
        <v>3500</v>
      </c>
      <c r="F1078" s="737" t="s">
        <v>5238</v>
      </c>
      <c r="G1078" s="738" t="s">
        <v>5239</v>
      </c>
      <c r="H1078" s="644" t="s">
        <v>2184</v>
      </c>
      <c r="I1078" s="636" t="s">
        <v>2334</v>
      </c>
      <c r="J1078" s="644" t="s">
        <v>2184</v>
      </c>
      <c r="K1078" s="739"/>
      <c r="L1078" s="735">
        <v>12</v>
      </c>
      <c r="M1078" s="736">
        <v>44077.470000000008</v>
      </c>
      <c r="N1078" s="735"/>
      <c r="O1078" s="735">
        <v>6</v>
      </c>
      <c r="P1078" s="736">
        <v>22044.15</v>
      </c>
      <c r="Q1078" s="214"/>
    </row>
    <row r="1079" spans="1:17" ht="12" customHeight="1" x14ac:dyDescent="0.2">
      <c r="A1079" s="735" t="s">
        <v>2169</v>
      </c>
      <c r="B1079" s="735" t="s">
        <v>2170</v>
      </c>
      <c r="C1079" s="735" t="s">
        <v>451</v>
      </c>
      <c r="D1079" s="644" t="s">
        <v>2410</v>
      </c>
      <c r="E1079" s="736">
        <v>5000</v>
      </c>
      <c r="F1079" s="737" t="s">
        <v>5240</v>
      </c>
      <c r="G1079" s="738" t="s">
        <v>5241</v>
      </c>
      <c r="H1079" s="644" t="s">
        <v>2268</v>
      </c>
      <c r="I1079" s="636" t="s">
        <v>2228</v>
      </c>
      <c r="J1079" s="644" t="s">
        <v>2268</v>
      </c>
      <c r="K1079" s="739"/>
      <c r="L1079" s="735">
        <v>12</v>
      </c>
      <c r="M1079" s="736">
        <v>61960.80000000001</v>
      </c>
      <c r="N1079" s="735"/>
      <c r="O1079" s="735">
        <v>2</v>
      </c>
      <c r="P1079" s="736">
        <v>10776.579999999998</v>
      </c>
      <c r="Q1079" s="214"/>
    </row>
    <row r="1080" spans="1:17" ht="12" customHeight="1" x14ac:dyDescent="0.2">
      <c r="A1080" s="735" t="s">
        <v>2169</v>
      </c>
      <c r="B1080" s="735" t="s">
        <v>2170</v>
      </c>
      <c r="C1080" s="735" t="s">
        <v>451</v>
      </c>
      <c r="D1080" s="644" t="s">
        <v>3661</v>
      </c>
      <c r="E1080" s="736">
        <v>11000</v>
      </c>
      <c r="F1080" s="737" t="s">
        <v>5242</v>
      </c>
      <c r="G1080" s="738" t="s">
        <v>5243</v>
      </c>
      <c r="H1080" s="644" t="s">
        <v>5244</v>
      </c>
      <c r="I1080" s="636" t="s">
        <v>2228</v>
      </c>
      <c r="J1080" s="644" t="s">
        <v>5244</v>
      </c>
      <c r="K1080" s="739"/>
      <c r="L1080" s="735">
        <v>12</v>
      </c>
      <c r="M1080" s="736">
        <v>133960.79999999996</v>
      </c>
      <c r="N1080" s="735"/>
      <c r="O1080" s="735">
        <v>6</v>
      </c>
      <c r="P1080" s="736">
        <v>66609.48</v>
      </c>
      <c r="Q1080" s="214"/>
    </row>
    <row r="1081" spans="1:17" ht="12" customHeight="1" x14ac:dyDescent="0.2">
      <c r="A1081" s="735" t="s">
        <v>2169</v>
      </c>
      <c r="B1081" s="735" t="s">
        <v>2170</v>
      </c>
      <c r="C1081" s="735" t="s">
        <v>451</v>
      </c>
      <c r="D1081" s="644" t="s">
        <v>2602</v>
      </c>
      <c r="E1081" s="736">
        <v>3500</v>
      </c>
      <c r="F1081" s="737" t="s">
        <v>5245</v>
      </c>
      <c r="G1081" s="738" t="s">
        <v>5246</v>
      </c>
      <c r="H1081" s="644" t="s">
        <v>2346</v>
      </c>
      <c r="I1081" s="636" t="s">
        <v>2284</v>
      </c>
      <c r="J1081" s="644" t="s">
        <v>2284</v>
      </c>
      <c r="K1081" s="739"/>
      <c r="L1081" s="735">
        <v>12</v>
      </c>
      <c r="M1081" s="736">
        <v>43937.310000000012</v>
      </c>
      <c r="N1081" s="735"/>
      <c r="O1081" s="735">
        <v>6</v>
      </c>
      <c r="P1081" s="736">
        <v>21982.54</v>
      </c>
      <c r="Q1081" s="214"/>
    </row>
    <row r="1082" spans="1:17" ht="12" customHeight="1" x14ac:dyDescent="0.2">
      <c r="A1082" s="735" t="s">
        <v>2169</v>
      </c>
      <c r="B1082" s="735" t="s">
        <v>2170</v>
      </c>
      <c r="C1082" s="735" t="s">
        <v>451</v>
      </c>
      <c r="D1082" s="644" t="s">
        <v>5247</v>
      </c>
      <c r="E1082" s="736">
        <v>14500</v>
      </c>
      <c r="F1082" s="737" t="s">
        <v>5248</v>
      </c>
      <c r="G1082" s="738" t="s">
        <v>5249</v>
      </c>
      <c r="H1082" s="644" t="s">
        <v>2985</v>
      </c>
      <c r="I1082" s="636" t="s">
        <v>2175</v>
      </c>
      <c r="J1082" s="644"/>
      <c r="K1082" s="739"/>
      <c r="L1082" s="735">
        <v>2</v>
      </c>
      <c r="M1082" s="736">
        <v>21493.47</v>
      </c>
      <c r="N1082" s="735"/>
      <c r="O1082" s="735">
        <v>6</v>
      </c>
      <c r="P1082" s="736">
        <v>88044.9</v>
      </c>
      <c r="Q1082" s="214"/>
    </row>
    <row r="1083" spans="1:17" ht="12" customHeight="1" x14ac:dyDescent="0.2">
      <c r="A1083" s="735" t="s">
        <v>2169</v>
      </c>
      <c r="B1083" s="735" t="s">
        <v>2170</v>
      </c>
      <c r="C1083" s="735" t="s">
        <v>451</v>
      </c>
      <c r="D1083" s="644" t="s">
        <v>5250</v>
      </c>
      <c r="E1083" s="736">
        <v>7500</v>
      </c>
      <c r="F1083" s="737" t="s">
        <v>5251</v>
      </c>
      <c r="G1083" s="738" t="s">
        <v>5252</v>
      </c>
      <c r="H1083" s="644" t="s">
        <v>4239</v>
      </c>
      <c r="I1083" s="636" t="s">
        <v>2228</v>
      </c>
      <c r="J1083" s="644" t="s">
        <v>4239</v>
      </c>
      <c r="K1083" s="739"/>
      <c r="L1083" s="735">
        <v>12</v>
      </c>
      <c r="M1083" s="736">
        <v>91960.799999999988</v>
      </c>
      <c r="N1083" s="735"/>
      <c r="O1083" s="735">
        <v>6</v>
      </c>
      <c r="P1083" s="736">
        <v>46004.490000000005</v>
      </c>
      <c r="Q1083" s="214"/>
    </row>
    <row r="1084" spans="1:17" ht="12" customHeight="1" x14ac:dyDescent="0.2">
      <c r="A1084" s="735" t="s">
        <v>2169</v>
      </c>
      <c r="B1084" s="735" t="s">
        <v>2170</v>
      </c>
      <c r="C1084" s="735" t="s">
        <v>451</v>
      </c>
      <c r="D1084" s="644" t="s">
        <v>2181</v>
      </c>
      <c r="E1084" s="736">
        <v>2700</v>
      </c>
      <c r="F1084" s="737" t="s">
        <v>5253</v>
      </c>
      <c r="G1084" s="738" t="s">
        <v>5254</v>
      </c>
      <c r="H1084" s="644" t="s">
        <v>2253</v>
      </c>
      <c r="I1084" s="636" t="s">
        <v>2254</v>
      </c>
      <c r="J1084" s="644" t="s">
        <v>2254</v>
      </c>
      <c r="K1084" s="739"/>
      <c r="L1084" s="735">
        <v>12</v>
      </c>
      <c r="M1084" s="736">
        <v>34360.80000000001</v>
      </c>
      <c r="N1084" s="735"/>
      <c r="O1084" s="735">
        <v>6</v>
      </c>
      <c r="P1084" s="736">
        <v>17064.900000000001</v>
      </c>
      <c r="Q1084" s="214"/>
    </row>
    <row r="1085" spans="1:17" ht="12" customHeight="1" x14ac:dyDescent="0.2">
      <c r="A1085" s="735" t="s">
        <v>2169</v>
      </c>
      <c r="B1085" s="735" t="s">
        <v>2170</v>
      </c>
      <c r="C1085" s="735" t="s">
        <v>451</v>
      </c>
      <c r="D1085" s="644" t="s">
        <v>5255</v>
      </c>
      <c r="E1085" s="736">
        <v>9500</v>
      </c>
      <c r="F1085" s="737" t="s">
        <v>5256</v>
      </c>
      <c r="G1085" s="738" t="s">
        <v>5257</v>
      </c>
      <c r="H1085" s="644" t="s">
        <v>2201</v>
      </c>
      <c r="I1085" s="636"/>
      <c r="J1085" s="644"/>
      <c r="K1085" s="739"/>
      <c r="L1085" s="735">
        <v>12</v>
      </c>
      <c r="M1085" s="736">
        <v>115847.39999999998</v>
      </c>
      <c r="N1085" s="735"/>
      <c r="O1085" s="735">
        <v>6</v>
      </c>
      <c r="P1085" s="736">
        <v>57354.240000000005</v>
      </c>
      <c r="Q1085" s="214"/>
    </row>
    <row r="1086" spans="1:17" ht="12" customHeight="1" x14ac:dyDescent="0.2">
      <c r="A1086" s="735" t="s">
        <v>2169</v>
      </c>
      <c r="B1086" s="735" t="s">
        <v>2170</v>
      </c>
      <c r="C1086" s="735" t="s">
        <v>451</v>
      </c>
      <c r="D1086" s="644" t="s">
        <v>2966</v>
      </c>
      <c r="E1086" s="736">
        <v>2500</v>
      </c>
      <c r="F1086" s="737" t="s">
        <v>5258</v>
      </c>
      <c r="G1086" s="738" t="s">
        <v>5259</v>
      </c>
      <c r="H1086" s="644" t="s">
        <v>2201</v>
      </c>
      <c r="I1086" s="636"/>
      <c r="J1086" s="644"/>
      <c r="K1086" s="739"/>
      <c r="L1086" s="735">
        <v>12</v>
      </c>
      <c r="M1086" s="736">
        <v>31847.400000000005</v>
      </c>
      <c r="N1086" s="735"/>
      <c r="O1086" s="735">
        <v>6</v>
      </c>
      <c r="P1086" s="736">
        <v>16044.9</v>
      </c>
      <c r="Q1086" s="214"/>
    </row>
    <row r="1087" spans="1:17" ht="12" customHeight="1" x14ac:dyDescent="0.2">
      <c r="A1087" s="735" t="s">
        <v>2169</v>
      </c>
      <c r="B1087" s="735" t="s">
        <v>2170</v>
      </c>
      <c r="C1087" s="735" t="s">
        <v>451</v>
      </c>
      <c r="D1087" s="644" t="s">
        <v>2488</v>
      </c>
      <c r="E1087" s="736">
        <v>8000</v>
      </c>
      <c r="F1087" s="737" t="s">
        <v>5260</v>
      </c>
      <c r="G1087" s="738" t="s">
        <v>5261</v>
      </c>
      <c r="H1087" s="644" t="s">
        <v>2420</v>
      </c>
      <c r="I1087" s="636" t="s">
        <v>2175</v>
      </c>
      <c r="J1087" s="644"/>
      <c r="K1087" s="739"/>
      <c r="L1087" s="735">
        <v>2</v>
      </c>
      <c r="M1087" s="736">
        <v>15160.13</v>
      </c>
      <c r="N1087" s="735"/>
      <c r="O1087" s="735">
        <v>6</v>
      </c>
      <c r="P1087" s="736">
        <v>48768.46</v>
      </c>
      <c r="Q1087" s="214"/>
    </row>
    <row r="1088" spans="1:17" ht="12" customHeight="1" x14ac:dyDescent="0.2">
      <c r="A1088" s="735" t="s">
        <v>2169</v>
      </c>
      <c r="B1088" s="735" t="s">
        <v>2170</v>
      </c>
      <c r="C1088" s="735" t="s">
        <v>451</v>
      </c>
      <c r="D1088" s="644" t="s">
        <v>2991</v>
      </c>
      <c r="E1088" s="736">
        <v>8000</v>
      </c>
      <c r="F1088" s="737" t="s">
        <v>5262</v>
      </c>
      <c r="G1088" s="738" t="s">
        <v>5263</v>
      </c>
      <c r="H1088" s="644" t="s">
        <v>2201</v>
      </c>
      <c r="I1088" s="636"/>
      <c r="J1088" s="644"/>
      <c r="K1088" s="739"/>
      <c r="L1088" s="735">
        <v>8</v>
      </c>
      <c r="M1088" s="736">
        <v>57710.83</v>
      </c>
      <c r="N1088" s="735"/>
      <c r="O1088" s="735"/>
      <c r="P1088" s="736"/>
      <c r="Q1088" s="214"/>
    </row>
    <row r="1089" spans="1:17" ht="12" customHeight="1" x14ac:dyDescent="0.2">
      <c r="A1089" s="735" t="s">
        <v>2169</v>
      </c>
      <c r="B1089" s="735" t="s">
        <v>2170</v>
      </c>
      <c r="C1089" s="735" t="s">
        <v>451</v>
      </c>
      <c r="D1089" s="644" t="s">
        <v>2608</v>
      </c>
      <c r="E1089" s="736">
        <v>4000</v>
      </c>
      <c r="F1089" s="737" t="s">
        <v>5264</v>
      </c>
      <c r="G1089" s="738" t="s">
        <v>5265</v>
      </c>
      <c r="H1089" s="644" t="s">
        <v>2392</v>
      </c>
      <c r="I1089" s="636" t="s">
        <v>3025</v>
      </c>
      <c r="J1089" s="644"/>
      <c r="K1089" s="739"/>
      <c r="L1089" s="735">
        <v>4</v>
      </c>
      <c r="M1089" s="736">
        <v>15873.529999999999</v>
      </c>
      <c r="N1089" s="735"/>
      <c r="O1089" s="735">
        <v>6</v>
      </c>
      <c r="P1089" s="736">
        <v>25044.9</v>
      </c>
      <c r="Q1089" s="214"/>
    </row>
    <row r="1090" spans="1:17" ht="12" customHeight="1" x14ac:dyDescent="0.2">
      <c r="A1090" s="735" t="s">
        <v>2169</v>
      </c>
      <c r="B1090" s="735" t="s">
        <v>2170</v>
      </c>
      <c r="C1090" s="735" t="s">
        <v>451</v>
      </c>
      <c r="D1090" s="644" t="s">
        <v>4298</v>
      </c>
      <c r="E1090" s="736">
        <v>8000</v>
      </c>
      <c r="F1090" s="737" t="s">
        <v>5266</v>
      </c>
      <c r="G1090" s="738" t="s">
        <v>5267</v>
      </c>
      <c r="H1090" s="644" t="s">
        <v>2323</v>
      </c>
      <c r="I1090" s="636" t="s">
        <v>2250</v>
      </c>
      <c r="J1090" s="644" t="s">
        <v>2250</v>
      </c>
      <c r="K1090" s="739"/>
      <c r="L1090" s="735">
        <v>12</v>
      </c>
      <c r="M1090" s="736">
        <v>97951.369999999981</v>
      </c>
      <c r="N1090" s="735"/>
      <c r="O1090" s="735">
        <v>6</v>
      </c>
      <c r="P1090" s="736">
        <v>48942.600000000006</v>
      </c>
      <c r="Q1090" s="214"/>
    </row>
    <row r="1091" spans="1:17" ht="12" customHeight="1" x14ac:dyDescent="0.2">
      <c r="A1091" s="735" t="s">
        <v>2169</v>
      </c>
      <c r="B1091" s="735" t="s">
        <v>2170</v>
      </c>
      <c r="C1091" s="735" t="s">
        <v>451</v>
      </c>
      <c r="D1091" s="644" t="s">
        <v>2225</v>
      </c>
      <c r="E1091" s="736">
        <v>7000</v>
      </c>
      <c r="F1091" s="737" t="s">
        <v>5268</v>
      </c>
      <c r="G1091" s="738" t="s">
        <v>5269</v>
      </c>
      <c r="H1091" s="644" t="s">
        <v>2201</v>
      </c>
      <c r="I1091" s="636" t="s">
        <v>2201</v>
      </c>
      <c r="J1091" s="644"/>
      <c r="K1091" s="739"/>
      <c r="L1091" s="735">
        <v>6</v>
      </c>
      <c r="M1091" s="736">
        <v>44267</v>
      </c>
      <c r="N1091" s="735"/>
      <c r="O1091" s="735">
        <v>6</v>
      </c>
      <c r="P1091" s="736">
        <v>42484.200000000004</v>
      </c>
      <c r="Q1091" s="214"/>
    </row>
    <row r="1092" spans="1:17" ht="12" customHeight="1" x14ac:dyDescent="0.2">
      <c r="A1092" s="735" t="s">
        <v>2169</v>
      </c>
      <c r="B1092" s="735" t="s">
        <v>2170</v>
      </c>
      <c r="C1092" s="735" t="s">
        <v>451</v>
      </c>
      <c r="D1092" s="644" t="s">
        <v>5270</v>
      </c>
      <c r="E1092" s="736">
        <v>8000</v>
      </c>
      <c r="F1092" s="737" t="s">
        <v>5271</v>
      </c>
      <c r="G1092" s="738" t="s">
        <v>5272</v>
      </c>
      <c r="H1092" s="644" t="s">
        <v>2420</v>
      </c>
      <c r="I1092" s="636" t="s">
        <v>2175</v>
      </c>
      <c r="J1092" s="644"/>
      <c r="K1092" s="739"/>
      <c r="L1092" s="735">
        <v>1</v>
      </c>
      <c r="M1092" s="736">
        <v>7846.73</v>
      </c>
      <c r="N1092" s="735"/>
      <c r="O1092" s="735">
        <v>6</v>
      </c>
      <c r="P1092" s="736">
        <v>49043.75</v>
      </c>
      <c r="Q1092" s="214"/>
    </row>
    <row r="1093" spans="1:17" ht="12" customHeight="1" x14ac:dyDescent="0.2">
      <c r="A1093" s="735" t="s">
        <v>2169</v>
      </c>
      <c r="B1093" s="735" t="s">
        <v>2170</v>
      </c>
      <c r="C1093" s="735" t="s">
        <v>451</v>
      </c>
      <c r="D1093" s="644" t="s">
        <v>5273</v>
      </c>
      <c r="E1093" s="736">
        <v>8000</v>
      </c>
      <c r="F1093" s="737" t="s">
        <v>5274</v>
      </c>
      <c r="G1093" s="738" t="s">
        <v>5275</v>
      </c>
      <c r="H1093" s="644" t="s">
        <v>3757</v>
      </c>
      <c r="I1093" s="636" t="s">
        <v>2250</v>
      </c>
      <c r="J1093" s="644" t="s">
        <v>2250</v>
      </c>
      <c r="K1093" s="739"/>
      <c r="L1093" s="735">
        <v>12</v>
      </c>
      <c r="M1093" s="736">
        <v>97903.479999999981</v>
      </c>
      <c r="N1093" s="735"/>
      <c r="O1093" s="735">
        <v>6</v>
      </c>
      <c r="P1093" s="736">
        <v>49020.76</v>
      </c>
      <c r="Q1093" s="214"/>
    </row>
    <row r="1094" spans="1:17" ht="12" customHeight="1" x14ac:dyDescent="0.2">
      <c r="A1094" s="735" t="s">
        <v>2169</v>
      </c>
      <c r="B1094" s="735" t="s">
        <v>2170</v>
      </c>
      <c r="C1094" s="735" t="s">
        <v>451</v>
      </c>
      <c r="D1094" s="644" t="s">
        <v>3211</v>
      </c>
      <c r="E1094" s="736">
        <v>7000</v>
      </c>
      <c r="F1094" s="737" t="s">
        <v>5276</v>
      </c>
      <c r="G1094" s="738" t="s">
        <v>5277</v>
      </c>
      <c r="H1094" s="644" t="s">
        <v>2174</v>
      </c>
      <c r="I1094" s="636" t="s">
        <v>2175</v>
      </c>
      <c r="J1094" s="644"/>
      <c r="K1094" s="739"/>
      <c r="L1094" s="735">
        <v>6</v>
      </c>
      <c r="M1094" s="736">
        <v>39133.67</v>
      </c>
      <c r="N1094" s="735"/>
      <c r="O1094" s="735">
        <v>6</v>
      </c>
      <c r="P1094" s="736">
        <v>43019.75</v>
      </c>
      <c r="Q1094" s="214"/>
    </row>
    <row r="1095" spans="1:17" ht="12" customHeight="1" x14ac:dyDescent="0.2">
      <c r="A1095" s="735" t="s">
        <v>2169</v>
      </c>
      <c r="B1095" s="735" t="s">
        <v>2232</v>
      </c>
      <c r="C1095" s="735" t="s">
        <v>451</v>
      </c>
      <c r="D1095" s="644" t="s">
        <v>5278</v>
      </c>
      <c r="E1095" s="736">
        <v>9500</v>
      </c>
      <c r="F1095" s="737" t="s">
        <v>5279</v>
      </c>
      <c r="G1095" s="738" t="s">
        <v>5280</v>
      </c>
      <c r="H1095" s="644" t="s">
        <v>4874</v>
      </c>
      <c r="I1095" s="636" t="s">
        <v>2175</v>
      </c>
      <c r="J1095" s="644" t="s">
        <v>4874</v>
      </c>
      <c r="K1095" s="739"/>
      <c r="L1095" s="735">
        <v>11</v>
      </c>
      <c r="M1095" s="736">
        <v>106047.39999999998</v>
      </c>
      <c r="N1095" s="735"/>
      <c r="O1095" s="735">
        <v>5</v>
      </c>
      <c r="P1095" s="736">
        <v>48370.75</v>
      </c>
      <c r="Q1095" s="214"/>
    </row>
    <row r="1096" spans="1:17" ht="12" customHeight="1" x14ac:dyDescent="0.2">
      <c r="A1096" s="735" t="s">
        <v>2169</v>
      </c>
      <c r="B1096" s="735" t="s">
        <v>2170</v>
      </c>
      <c r="C1096" s="735" t="s">
        <v>451</v>
      </c>
      <c r="D1096" s="644" t="s">
        <v>5281</v>
      </c>
      <c r="E1096" s="736">
        <v>12000</v>
      </c>
      <c r="F1096" s="737" t="s">
        <v>5282</v>
      </c>
      <c r="G1096" s="738" t="s">
        <v>5283</v>
      </c>
      <c r="H1096" s="644" t="s">
        <v>5284</v>
      </c>
      <c r="I1096" s="636" t="s">
        <v>2428</v>
      </c>
      <c r="J1096" s="644"/>
      <c r="K1096" s="739"/>
      <c r="L1096" s="735">
        <v>7</v>
      </c>
      <c r="M1096" s="736">
        <v>80293.799999999988</v>
      </c>
      <c r="N1096" s="735"/>
      <c r="O1096" s="735">
        <v>6</v>
      </c>
      <c r="P1096" s="736">
        <v>72443.179999999993</v>
      </c>
      <c r="Q1096" s="214"/>
    </row>
    <row r="1097" spans="1:17" ht="12" customHeight="1" x14ac:dyDescent="0.2">
      <c r="A1097" s="735" t="s">
        <v>2169</v>
      </c>
      <c r="B1097" s="735" t="s">
        <v>2170</v>
      </c>
      <c r="C1097" s="735" t="s">
        <v>451</v>
      </c>
      <c r="D1097" s="644" t="s">
        <v>2446</v>
      </c>
      <c r="E1097" s="736">
        <v>2500</v>
      </c>
      <c r="F1097" s="737" t="s">
        <v>5285</v>
      </c>
      <c r="G1097" s="738" t="s">
        <v>5286</v>
      </c>
      <c r="H1097" s="644" t="s">
        <v>2253</v>
      </c>
      <c r="I1097" s="636" t="s">
        <v>2254</v>
      </c>
      <c r="J1097" s="644" t="s">
        <v>2254</v>
      </c>
      <c r="K1097" s="739"/>
      <c r="L1097" s="735">
        <v>12</v>
      </c>
      <c r="M1097" s="736">
        <v>31913.180000000008</v>
      </c>
      <c r="N1097" s="735"/>
      <c r="O1097" s="735">
        <v>6</v>
      </c>
      <c r="P1097" s="736">
        <v>15992.46</v>
      </c>
      <c r="Q1097" s="214"/>
    </row>
    <row r="1098" spans="1:17" ht="12" customHeight="1" x14ac:dyDescent="0.2">
      <c r="A1098" s="735" t="s">
        <v>2169</v>
      </c>
      <c r="B1098" s="735" t="s">
        <v>2170</v>
      </c>
      <c r="C1098" s="735" t="s">
        <v>451</v>
      </c>
      <c r="D1098" s="644" t="s">
        <v>5287</v>
      </c>
      <c r="E1098" s="736">
        <v>15600</v>
      </c>
      <c r="F1098" s="737" t="s">
        <v>5288</v>
      </c>
      <c r="G1098" s="738" t="s">
        <v>5289</v>
      </c>
      <c r="H1098" s="644" t="s">
        <v>2236</v>
      </c>
      <c r="I1098" s="636" t="s">
        <v>2175</v>
      </c>
      <c r="J1098" s="644" t="s">
        <v>2236</v>
      </c>
      <c r="K1098" s="739"/>
      <c r="L1098" s="735">
        <v>12</v>
      </c>
      <c r="M1098" s="736">
        <v>189160.79999999996</v>
      </c>
      <c r="N1098" s="735"/>
      <c r="O1098" s="735">
        <v>6</v>
      </c>
      <c r="P1098" s="736">
        <v>93084.9</v>
      </c>
      <c r="Q1098" s="214"/>
    </row>
    <row r="1099" spans="1:17" ht="12" customHeight="1" x14ac:dyDescent="0.2">
      <c r="A1099" s="735" t="s">
        <v>2169</v>
      </c>
      <c r="B1099" s="735" t="s">
        <v>2170</v>
      </c>
      <c r="C1099" s="735" t="s">
        <v>451</v>
      </c>
      <c r="D1099" s="644" t="s">
        <v>3170</v>
      </c>
      <c r="E1099" s="736">
        <v>4000</v>
      </c>
      <c r="F1099" s="737" t="s">
        <v>5290</v>
      </c>
      <c r="G1099" s="738" t="s">
        <v>5291</v>
      </c>
      <c r="H1099" s="644" t="s">
        <v>3162</v>
      </c>
      <c r="I1099" s="636" t="s">
        <v>2385</v>
      </c>
      <c r="J1099" s="644" t="s">
        <v>2385</v>
      </c>
      <c r="K1099" s="739"/>
      <c r="L1099" s="735">
        <v>12</v>
      </c>
      <c r="M1099" s="736">
        <v>49957.530000000006</v>
      </c>
      <c r="N1099" s="735"/>
      <c r="O1099" s="735">
        <v>6</v>
      </c>
      <c r="P1099" s="736">
        <v>25171.910000000003</v>
      </c>
      <c r="Q1099" s="214"/>
    </row>
    <row r="1100" spans="1:17" ht="12" customHeight="1" x14ac:dyDescent="0.2">
      <c r="A1100" s="735" t="s">
        <v>2169</v>
      </c>
      <c r="B1100" s="735" t="s">
        <v>2170</v>
      </c>
      <c r="C1100" s="735" t="s">
        <v>451</v>
      </c>
      <c r="D1100" s="644" t="s">
        <v>5292</v>
      </c>
      <c r="E1100" s="736">
        <v>3000</v>
      </c>
      <c r="F1100" s="737" t="s">
        <v>5293</v>
      </c>
      <c r="G1100" s="738" t="s">
        <v>5294</v>
      </c>
      <c r="H1100" s="644" t="s">
        <v>2201</v>
      </c>
      <c r="I1100" s="636"/>
      <c r="J1100" s="644"/>
      <c r="K1100" s="739"/>
      <c r="L1100" s="735">
        <v>12</v>
      </c>
      <c r="M1100" s="736">
        <v>37960.80000000001</v>
      </c>
      <c r="N1100" s="735"/>
      <c r="O1100" s="735">
        <v>2</v>
      </c>
      <c r="P1100" s="736">
        <v>6699.08</v>
      </c>
      <c r="Q1100" s="214"/>
    </row>
    <row r="1101" spans="1:17" ht="12" customHeight="1" x14ac:dyDescent="0.2">
      <c r="A1101" s="735" t="s">
        <v>2169</v>
      </c>
      <c r="B1101" s="735" t="s">
        <v>2170</v>
      </c>
      <c r="C1101" s="735" t="s">
        <v>451</v>
      </c>
      <c r="D1101" s="644" t="s">
        <v>2630</v>
      </c>
      <c r="E1101" s="736">
        <v>8000</v>
      </c>
      <c r="F1101" s="737" t="s">
        <v>5295</v>
      </c>
      <c r="G1101" s="738" t="s">
        <v>5296</v>
      </c>
      <c r="H1101" s="644" t="s">
        <v>2201</v>
      </c>
      <c r="I1101" s="636"/>
      <c r="J1101" s="644"/>
      <c r="K1101" s="739"/>
      <c r="L1101" s="735">
        <v>12</v>
      </c>
      <c r="M1101" s="736">
        <v>97694.12999999999</v>
      </c>
      <c r="N1101" s="735"/>
      <c r="O1101" s="735">
        <v>6</v>
      </c>
      <c r="P1101" s="736">
        <v>48747.770000000004</v>
      </c>
      <c r="Q1101" s="214"/>
    </row>
    <row r="1102" spans="1:17" ht="12" customHeight="1" x14ac:dyDescent="0.2">
      <c r="A1102" s="735" t="s">
        <v>2169</v>
      </c>
      <c r="B1102" s="735" t="s">
        <v>2170</v>
      </c>
      <c r="C1102" s="735" t="s">
        <v>451</v>
      </c>
      <c r="D1102" s="644" t="s">
        <v>5297</v>
      </c>
      <c r="E1102" s="736">
        <v>15600</v>
      </c>
      <c r="F1102" s="737" t="s">
        <v>5298</v>
      </c>
      <c r="G1102" s="738" t="s">
        <v>5299</v>
      </c>
      <c r="H1102" s="644" t="s">
        <v>2201</v>
      </c>
      <c r="I1102" s="636" t="s">
        <v>2201</v>
      </c>
      <c r="J1102" s="644"/>
      <c r="K1102" s="739"/>
      <c r="L1102" s="735">
        <v>2</v>
      </c>
      <c r="M1102" s="736">
        <v>21126.799999999999</v>
      </c>
      <c r="N1102" s="735"/>
      <c r="O1102" s="735"/>
      <c r="P1102" s="736"/>
      <c r="Q1102" s="214"/>
    </row>
    <row r="1103" spans="1:17" ht="12" customHeight="1" x14ac:dyDescent="0.2">
      <c r="A1103" s="735" t="s">
        <v>2169</v>
      </c>
      <c r="B1103" s="735" t="s">
        <v>2170</v>
      </c>
      <c r="C1103" s="735" t="s">
        <v>451</v>
      </c>
      <c r="D1103" s="644" t="s">
        <v>3037</v>
      </c>
      <c r="E1103" s="736">
        <v>8000</v>
      </c>
      <c r="F1103" s="737" t="s">
        <v>5300</v>
      </c>
      <c r="G1103" s="738" t="s">
        <v>5301</v>
      </c>
      <c r="H1103" s="644">
        <v>0</v>
      </c>
      <c r="I1103" s="636">
        <v>0</v>
      </c>
      <c r="J1103" s="644">
        <v>0</v>
      </c>
      <c r="K1103" s="739"/>
      <c r="L1103" s="735">
        <v>3</v>
      </c>
      <c r="M1103" s="736">
        <v>24340.199999999997</v>
      </c>
      <c r="N1103" s="735"/>
      <c r="O1103" s="735"/>
      <c r="P1103" s="736"/>
      <c r="Q1103" s="214"/>
    </row>
    <row r="1104" spans="1:17" ht="12" customHeight="1" x14ac:dyDescent="0.2">
      <c r="A1104" s="735" t="s">
        <v>2169</v>
      </c>
      <c r="B1104" s="735" t="s">
        <v>2170</v>
      </c>
      <c r="C1104" s="735" t="s">
        <v>451</v>
      </c>
      <c r="D1104" s="644" t="s">
        <v>3061</v>
      </c>
      <c r="E1104" s="736">
        <v>8000</v>
      </c>
      <c r="F1104" s="737" t="s">
        <v>5302</v>
      </c>
      <c r="G1104" s="738" t="s">
        <v>5303</v>
      </c>
      <c r="H1104" s="644" t="s">
        <v>2985</v>
      </c>
      <c r="I1104" s="636" t="s">
        <v>2228</v>
      </c>
      <c r="J1104" s="644" t="s">
        <v>2985</v>
      </c>
      <c r="K1104" s="739"/>
      <c r="L1104" s="735">
        <v>12</v>
      </c>
      <c r="M1104" s="736">
        <v>99395.299999999974</v>
      </c>
      <c r="N1104" s="735"/>
      <c r="O1104" s="735">
        <v>6</v>
      </c>
      <c r="P1104" s="736">
        <v>49002.37</v>
      </c>
      <c r="Q1104" s="214"/>
    </row>
    <row r="1105" spans="1:17" ht="12" customHeight="1" x14ac:dyDescent="0.2">
      <c r="A1105" s="735" t="s">
        <v>2169</v>
      </c>
      <c r="B1105" s="735" t="s">
        <v>2170</v>
      </c>
      <c r="C1105" s="735" t="s">
        <v>451</v>
      </c>
      <c r="D1105" s="644" t="s">
        <v>5304</v>
      </c>
      <c r="E1105" s="736">
        <v>10000</v>
      </c>
      <c r="F1105" s="737" t="s">
        <v>5305</v>
      </c>
      <c r="G1105" s="738" t="s">
        <v>5306</v>
      </c>
      <c r="H1105" s="644" t="s">
        <v>2201</v>
      </c>
      <c r="I1105" s="636" t="s">
        <v>2201</v>
      </c>
      <c r="J1105" s="644"/>
      <c r="K1105" s="739"/>
      <c r="L1105" s="735">
        <v>11</v>
      </c>
      <c r="M1105" s="736">
        <v>100400.66999999998</v>
      </c>
      <c r="N1105" s="735"/>
      <c r="O1105" s="735">
        <v>6</v>
      </c>
      <c r="P1105" s="736">
        <v>61001.08</v>
      </c>
      <c r="Q1105" s="214"/>
    </row>
    <row r="1106" spans="1:17" ht="12" customHeight="1" x14ac:dyDescent="0.2">
      <c r="A1106" s="735" t="s">
        <v>2169</v>
      </c>
      <c r="B1106" s="735" t="s">
        <v>2170</v>
      </c>
      <c r="C1106" s="735" t="s">
        <v>451</v>
      </c>
      <c r="D1106" s="644" t="s">
        <v>5307</v>
      </c>
      <c r="E1106" s="736">
        <v>8000</v>
      </c>
      <c r="F1106" s="737" t="s">
        <v>5308</v>
      </c>
      <c r="G1106" s="738" t="s">
        <v>5309</v>
      </c>
      <c r="H1106" s="644" t="s">
        <v>2201</v>
      </c>
      <c r="I1106" s="636"/>
      <c r="J1106" s="644"/>
      <c r="K1106" s="739"/>
      <c r="L1106" s="735">
        <v>12</v>
      </c>
      <c r="M1106" s="736">
        <v>108684.79999999997</v>
      </c>
      <c r="N1106" s="735"/>
      <c r="O1106" s="735">
        <v>6</v>
      </c>
      <c r="P1106" s="736">
        <v>73044.899999999994</v>
      </c>
      <c r="Q1106" s="214"/>
    </row>
    <row r="1107" spans="1:17" ht="12" customHeight="1" x14ac:dyDescent="0.2">
      <c r="A1107" s="735" t="s">
        <v>2169</v>
      </c>
      <c r="B1107" s="735" t="s">
        <v>2170</v>
      </c>
      <c r="C1107" s="735" t="s">
        <v>451</v>
      </c>
      <c r="D1107" s="644" t="s">
        <v>5310</v>
      </c>
      <c r="E1107" s="736">
        <v>15600</v>
      </c>
      <c r="F1107" s="737" t="s">
        <v>5311</v>
      </c>
      <c r="G1107" s="738" t="s">
        <v>5312</v>
      </c>
      <c r="H1107" s="644" t="s">
        <v>2189</v>
      </c>
      <c r="I1107" s="636" t="s">
        <v>2180</v>
      </c>
      <c r="J1107" s="644" t="s">
        <v>2180</v>
      </c>
      <c r="K1107" s="739"/>
      <c r="L1107" s="735">
        <v>12</v>
      </c>
      <c r="M1107" s="736">
        <v>168780.78999999995</v>
      </c>
      <c r="N1107" s="735"/>
      <c r="O1107" s="735">
        <v>6</v>
      </c>
      <c r="P1107" s="736">
        <v>93084.9</v>
      </c>
      <c r="Q1107" s="214"/>
    </row>
    <row r="1108" spans="1:17" ht="12" customHeight="1" x14ac:dyDescent="0.2">
      <c r="A1108" s="735" t="s">
        <v>2169</v>
      </c>
      <c r="B1108" s="735" t="s">
        <v>2170</v>
      </c>
      <c r="C1108" s="735" t="s">
        <v>451</v>
      </c>
      <c r="D1108" s="644" t="s">
        <v>2229</v>
      </c>
      <c r="E1108" s="736">
        <v>4600</v>
      </c>
      <c r="F1108" s="737" t="s">
        <v>5313</v>
      </c>
      <c r="G1108" s="738" t="s">
        <v>5314</v>
      </c>
      <c r="H1108" s="644" t="s">
        <v>2253</v>
      </c>
      <c r="I1108" s="636" t="s">
        <v>2254</v>
      </c>
      <c r="J1108" s="644" t="s">
        <v>2254</v>
      </c>
      <c r="K1108" s="739"/>
      <c r="L1108" s="735">
        <v>12</v>
      </c>
      <c r="M1108" s="736">
        <v>58462.600000000013</v>
      </c>
      <c r="N1108" s="735"/>
      <c r="O1108" s="735">
        <v>6</v>
      </c>
      <c r="P1108" s="736">
        <v>28644.9</v>
      </c>
      <c r="Q1108" s="214"/>
    </row>
    <row r="1109" spans="1:17" ht="12" customHeight="1" x14ac:dyDescent="0.2">
      <c r="A1109" s="735" t="s">
        <v>2169</v>
      </c>
      <c r="B1109" s="735" t="s">
        <v>2170</v>
      </c>
      <c r="C1109" s="735" t="s">
        <v>451</v>
      </c>
      <c r="D1109" s="644" t="s">
        <v>2630</v>
      </c>
      <c r="E1109" s="736">
        <v>8000</v>
      </c>
      <c r="F1109" s="737" t="s">
        <v>5315</v>
      </c>
      <c r="G1109" s="738" t="s">
        <v>5316</v>
      </c>
      <c r="H1109" s="644" t="s">
        <v>2420</v>
      </c>
      <c r="I1109" s="636" t="s">
        <v>2228</v>
      </c>
      <c r="J1109" s="644"/>
      <c r="K1109" s="739"/>
      <c r="L1109" s="735">
        <v>2</v>
      </c>
      <c r="M1109" s="736">
        <v>17926.8</v>
      </c>
      <c r="N1109" s="735"/>
      <c r="O1109" s="735">
        <v>6</v>
      </c>
      <c r="P1109" s="736">
        <v>48213.29</v>
      </c>
      <c r="Q1109" s="214"/>
    </row>
    <row r="1110" spans="1:17" ht="12" customHeight="1" x14ac:dyDescent="0.2">
      <c r="A1110" s="735" t="s">
        <v>2169</v>
      </c>
      <c r="B1110" s="735" t="s">
        <v>2170</v>
      </c>
      <c r="C1110" s="735" t="s">
        <v>451</v>
      </c>
      <c r="D1110" s="644" t="s">
        <v>2225</v>
      </c>
      <c r="E1110" s="736">
        <v>12000</v>
      </c>
      <c r="F1110" s="737" t="s">
        <v>5317</v>
      </c>
      <c r="G1110" s="738" t="s">
        <v>5318</v>
      </c>
      <c r="H1110" s="644" t="s">
        <v>2201</v>
      </c>
      <c r="I1110" s="636" t="s">
        <v>2201</v>
      </c>
      <c r="J1110" s="644"/>
      <c r="K1110" s="739"/>
      <c r="L1110" s="735">
        <v>5</v>
      </c>
      <c r="M1110" s="736">
        <v>50867</v>
      </c>
      <c r="N1110" s="735"/>
      <c r="O1110" s="735">
        <v>3</v>
      </c>
      <c r="P1110" s="736">
        <v>30600.04</v>
      </c>
      <c r="Q1110" s="214"/>
    </row>
    <row r="1111" spans="1:17" ht="12" customHeight="1" x14ac:dyDescent="0.2">
      <c r="A1111" s="735" t="s">
        <v>2169</v>
      </c>
      <c r="B1111" s="735" t="s">
        <v>2170</v>
      </c>
      <c r="C1111" s="735" t="s">
        <v>451</v>
      </c>
      <c r="D1111" s="644" t="s">
        <v>5319</v>
      </c>
      <c r="E1111" s="736">
        <v>6000</v>
      </c>
      <c r="F1111" s="737" t="s">
        <v>5320</v>
      </c>
      <c r="G1111" s="738" t="s">
        <v>5321</v>
      </c>
      <c r="H1111" s="644" t="s">
        <v>5322</v>
      </c>
      <c r="I1111" s="636" t="s">
        <v>2241</v>
      </c>
      <c r="J1111" s="644" t="s">
        <v>2241</v>
      </c>
      <c r="K1111" s="739"/>
      <c r="L1111" s="735">
        <v>6</v>
      </c>
      <c r="M1111" s="736">
        <v>36630.880000000005</v>
      </c>
      <c r="N1111" s="735"/>
      <c r="O1111" s="735"/>
      <c r="P1111" s="736"/>
      <c r="Q1111" s="214"/>
    </row>
    <row r="1112" spans="1:17" ht="12" customHeight="1" x14ac:dyDescent="0.2">
      <c r="A1112" s="735" t="s">
        <v>2169</v>
      </c>
      <c r="B1112" s="735" t="s">
        <v>2170</v>
      </c>
      <c r="C1112" s="735" t="s">
        <v>451</v>
      </c>
      <c r="D1112" s="644" t="s">
        <v>5323</v>
      </c>
      <c r="E1112" s="736">
        <v>10000</v>
      </c>
      <c r="F1112" s="737" t="s">
        <v>5324</v>
      </c>
      <c r="G1112" s="738" t="s">
        <v>5325</v>
      </c>
      <c r="H1112" s="644" t="s">
        <v>2201</v>
      </c>
      <c r="I1112" s="636"/>
      <c r="J1112" s="644"/>
      <c r="K1112" s="739"/>
      <c r="L1112" s="735">
        <v>12</v>
      </c>
      <c r="M1112" s="736">
        <v>122240.61999999997</v>
      </c>
      <c r="N1112" s="735"/>
      <c r="O1112" s="735">
        <v>6</v>
      </c>
      <c r="P1112" s="736">
        <v>61024.78</v>
      </c>
      <c r="Q1112" s="214"/>
    </row>
    <row r="1113" spans="1:17" ht="12" customHeight="1" x14ac:dyDescent="0.2">
      <c r="A1113" s="735" t="s">
        <v>2169</v>
      </c>
      <c r="B1113" s="735" t="s">
        <v>2170</v>
      </c>
      <c r="C1113" s="735" t="s">
        <v>451</v>
      </c>
      <c r="D1113" s="644" t="s">
        <v>2171</v>
      </c>
      <c r="E1113" s="736">
        <v>6000</v>
      </c>
      <c r="F1113" s="737" t="s">
        <v>5326</v>
      </c>
      <c r="G1113" s="738" t="s">
        <v>5327</v>
      </c>
      <c r="H1113" s="644" t="s">
        <v>2189</v>
      </c>
      <c r="I1113" s="636" t="s">
        <v>2175</v>
      </c>
      <c r="J1113" s="644"/>
      <c r="K1113" s="739"/>
      <c r="L1113" s="735">
        <v>6</v>
      </c>
      <c r="M1113" s="736">
        <v>38180.400000000001</v>
      </c>
      <c r="N1113" s="735"/>
      <c r="O1113" s="735">
        <v>6</v>
      </c>
      <c r="P1113" s="736">
        <v>37032.83</v>
      </c>
      <c r="Q1113" s="214"/>
    </row>
    <row r="1114" spans="1:17" ht="12" customHeight="1" x14ac:dyDescent="0.2">
      <c r="A1114" s="735" t="s">
        <v>2169</v>
      </c>
      <c r="B1114" s="735" t="s">
        <v>2170</v>
      </c>
      <c r="C1114" s="735" t="s">
        <v>451</v>
      </c>
      <c r="D1114" s="644" t="s">
        <v>5328</v>
      </c>
      <c r="E1114" s="736">
        <v>10000</v>
      </c>
      <c r="F1114" s="737" t="s">
        <v>5329</v>
      </c>
      <c r="G1114" s="738" t="s">
        <v>5330</v>
      </c>
      <c r="H1114" s="644" t="s">
        <v>2416</v>
      </c>
      <c r="I1114" s="636" t="s">
        <v>2250</v>
      </c>
      <c r="J1114" s="644" t="s">
        <v>2250</v>
      </c>
      <c r="K1114" s="739"/>
      <c r="L1114" s="735">
        <v>12</v>
      </c>
      <c r="M1114" s="736">
        <v>121886.41999999997</v>
      </c>
      <c r="N1114" s="735"/>
      <c r="O1114" s="735">
        <v>7</v>
      </c>
      <c r="P1114" s="736">
        <v>74134.700000000012</v>
      </c>
      <c r="Q1114" s="214"/>
    </row>
    <row r="1115" spans="1:17" ht="12" customHeight="1" x14ac:dyDescent="0.2">
      <c r="A1115" s="735" t="s">
        <v>2169</v>
      </c>
      <c r="B1115" s="735" t="s">
        <v>2170</v>
      </c>
      <c r="C1115" s="735" t="s">
        <v>451</v>
      </c>
      <c r="D1115" s="644" t="s">
        <v>5331</v>
      </c>
      <c r="E1115" s="736">
        <v>15000</v>
      </c>
      <c r="F1115" s="737" t="s">
        <v>5332</v>
      </c>
      <c r="G1115" s="738" t="s">
        <v>5333</v>
      </c>
      <c r="H1115" s="644" t="s">
        <v>2796</v>
      </c>
      <c r="I1115" s="636" t="s">
        <v>2175</v>
      </c>
      <c r="J1115" s="644" t="s">
        <v>2796</v>
      </c>
      <c r="K1115" s="739"/>
      <c r="L1115" s="735">
        <v>4</v>
      </c>
      <c r="M1115" s="736">
        <v>50753.599999999999</v>
      </c>
      <c r="N1115" s="735"/>
      <c r="O1115" s="735"/>
      <c r="P1115" s="736"/>
      <c r="Q1115" s="214"/>
    </row>
    <row r="1116" spans="1:17" ht="12" customHeight="1" x14ac:dyDescent="0.2">
      <c r="A1116" s="735" t="s">
        <v>2169</v>
      </c>
      <c r="B1116" s="735" t="s">
        <v>2170</v>
      </c>
      <c r="C1116" s="735" t="s">
        <v>451</v>
      </c>
      <c r="D1116" s="644" t="s">
        <v>2446</v>
      </c>
      <c r="E1116" s="736">
        <v>2500</v>
      </c>
      <c r="F1116" s="737" t="s">
        <v>5334</v>
      </c>
      <c r="G1116" s="738" t="s">
        <v>5335</v>
      </c>
      <c r="H1116" s="644" t="s">
        <v>2253</v>
      </c>
      <c r="I1116" s="636" t="s">
        <v>2254</v>
      </c>
      <c r="J1116" s="644" t="s">
        <v>2254</v>
      </c>
      <c r="K1116" s="739"/>
      <c r="L1116" s="735">
        <v>12</v>
      </c>
      <c r="M1116" s="736">
        <v>31960.800000000007</v>
      </c>
      <c r="N1116" s="735"/>
      <c r="O1116" s="735">
        <v>6</v>
      </c>
      <c r="P1116" s="736">
        <v>16031.609999999999</v>
      </c>
      <c r="Q1116" s="214"/>
    </row>
    <row r="1117" spans="1:17" ht="12" customHeight="1" x14ac:dyDescent="0.2">
      <c r="A1117" s="735" t="s">
        <v>2169</v>
      </c>
      <c r="B1117" s="735" t="s">
        <v>2170</v>
      </c>
      <c r="C1117" s="735" t="s">
        <v>451</v>
      </c>
      <c r="D1117" s="644" t="s">
        <v>2190</v>
      </c>
      <c r="E1117" s="736">
        <v>3000</v>
      </c>
      <c r="F1117" s="737" t="s">
        <v>5336</v>
      </c>
      <c r="G1117" s="738" t="s">
        <v>5337</v>
      </c>
      <c r="H1117" s="644" t="s">
        <v>2253</v>
      </c>
      <c r="I1117" s="636" t="s">
        <v>2254</v>
      </c>
      <c r="J1117" s="644" t="s">
        <v>2254</v>
      </c>
      <c r="K1117" s="739"/>
      <c r="L1117" s="735">
        <v>12</v>
      </c>
      <c r="M1117" s="736">
        <v>37960.80000000001</v>
      </c>
      <c r="N1117" s="735"/>
      <c r="O1117" s="735">
        <v>6</v>
      </c>
      <c r="P1117" s="736">
        <v>19044.900000000001</v>
      </c>
      <c r="Q1117" s="214"/>
    </row>
    <row r="1118" spans="1:17" ht="12" customHeight="1" x14ac:dyDescent="0.2">
      <c r="A1118" s="735" t="s">
        <v>2169</v>
      </c>
      <c r="B1118" s="735" t="s">
        <v>2170</v>
      </c>
      <c r="C1118" s="735" t="s">
        <v>451</v>
      </c>
      <c r="D1118" s="644" t="s">
        <v>5338</v>
      </c>
      <c r="E1118" s="736">
        <v>7000</v>
      </c>
      <c r="F1118" s="737" t="s">
        <v>5339</v>
      </c>
      <c r="G1118" s="738" t="s">
        <v>5340</v>
      </c>
      <c r="H1118" s="644" t="s">
        <v>3339</v>
      </c>
      <c r="I1118" s="636" t="s">
        <v>2180</v>
      </c>
      <c r="J1118" s="644" t="s">
        <v>2180</v>
      </c>
      <c r="K1118" s="739"/>
      <c r="L1118" s="735">
        <v>11</v>
      </c>
      <c r="M1118" s="736">
        <v>79247.399999999994</v>
      </c>
      <c r="N1118" s="735"/>
      <c r="O1118" s="735"/>
      <c r="P1118" s="736"/>
      <c r="Q1118" s="214"/>
    </row>
    <row r="1119" spans="1:17" ht="12" customHeight="1" x14ac:dyDescent="0.2">
      <c r="A1119" s="735" t="s">
        <v>2169</v>
      </c>
      <c r="B1119" s="735" t="s">
        <v>2170</v>
      </c>
      <c r="C1119" s="735" t="s">
        <v>451</v>
      </c>
      <c r="D1119" s="644" t="s">
        <v>5341</v>
      </c>
      <c r="E1119" s="736">
        <v>10000</v>
      </c>
      <c r="F1119" s="737" t="s">
        <v>5342</v>
      </c>
      <c r="G1119" s="738" t="s">
        <v>5343</v>
      </c>
      <c r="H1119" s="644" t="s">
        <v>5344</v>
      </c>
      <c r="I1119" s="636" t="s">
        <v>2284</v>
      </c>
      <c r="J1119" s="644" t="s">
        <v>2284</v>
      </c>
      <c r="K1119" s="739"/>
      <c r="L1119" s="735">
        <v>12</v>
      </c>
      <c r="M1119" s="736">
        <v>122627.46999999997</v>
      </c>
      <c r="N1119" s="735"/>
      <c r="O1119" s="735">
        <v>6</v>
      </c>
      <c r="P1119" s="736">
        <v>61044.9</v>
      </c>
      <c r="Q1119" s="214"/>
    </row>
    <row r="1120" spans="1:17" ht="12" customHeight="1" x14ac:dyDescent="0.2">
      <c r="A1120" s="735" t="s">
        <v>2169</v>
      </c>
      <c r="B1120" s="735" t="s">
        <v>2170</v>
      </c>
      <c r="C1120" s="735" t="s">
        <v>451</v>
      </c>
      <c r="D1120" s="644" t="s">
        <v>5345</v>
      </c>
      <c r="E1120" s="736">
        <v>5500</v>
      </c>
      <c r="F1120" s="737" t="s">
        <v>5346</v>
      </c>
      <c r="G1120" s="738" t="s">
        <v>5347</v>
      </c>
      <c r="H1120" s="644" t="s">
        <v>5348</v>
      </c>
      <c r="I1120" s="636" t="s">
        <v>2250</v>
      </c>
      <c r="J1120" s="644" t="s">
        <v>2250</v>
      </c>
      <c r="K1120" s="739"/>
      <c r="L1120" s="735">
        <v>12</v>
      </c>
      <c r="M1120" s="736">
        <v>68070.25</v>
      </c>
      <c r="N1120" s="735"/>
      <c r="O1120" s="735">
        <v>6</v>
      </c>
      <c r="P1120" s="736">
        <v>34032.25</v>
      </c>
      <c r="Q1120" s="214"/>
    </row>
    <row r="1121" spans="1:17" ht="12" customHeight="1" x14ac:dyDescent="0.2">
      <c r="A1121" s="735" t="s">
        <v>2169</v>
      </c>
      <c r="B1121" s="735" t="s">
        <v>2170</v>
      </c>
      <c r="C1121" s="735" t="s">
        <v>451</v>
      </c>
      <c r="D1121" s="644" t="s">
        <v>5349</v>
      </c>
      <c r="E1121" s="736">
        <v>6000</v>
      </c>
      <c r="F1121" s="737" t="s">
        <v>5350</v>
      </c>
      <c r="G1121" s="738" t="s">
        <v>5351</v>
      </c>
      <c r="H1121" s="644" t="s">
        <v>2310</v>
      </c>
      <c r="I1121" s="636" t="s">
        <v>2180</v>
      </c>
      <c r="J1121" s="644" t="s">
        <v>2180</v>
      </c>
      <c r="K1121" s="739"/>
      <c r="L1121" s="735">
        <v>3</v>
      </c>
      <c r="M1121" s="736">
        <v>18336.39</v>
      </c>
      <c r="N1121" s="735"/>
      <c r="O1121" s="735"/>
      <c r="P1121" s="736"/>
      <c r="Q1121" s="214"/>
    </row>
    <row r="1122" spans="1:17" ht="12" customHeight="1" x14ac:dyDescent="0.2">
      <c r="A1122" s="735" t="s">
        <v>2169</v>
      </c>
      <c r="B1122" s="735" t="s">
        <v>2170</v>
      </c>
      <c r="C1122" s="735" t="s">
        <v>451</v>
      </c>
      <c r="D1122" s="644" t="s">
        <v>5352</v>
      </c>
      <c r="E1122" s="736">
        <v>12000</v>
      </c>
      <c r="F1122" s="737" t="s">
        <v>5353</v>
      </c>
      <c r="G1122" s="738" t="s">
        <v>5354</v>
      </c>
      <c r="H1122" s="644" t="s">
        <v>2201</v>
      </c>
      <c r="I1122" s="636"/>
      <c r="J1122" s="644"/>
      <c r="K1122" s="739"/>
      <c r="L1122" s="735">
        <v>12</v>
      </c>
      <c r="M1122" s="736">
        <v>145960.79999999996</v>
      </c>
      <c r="N1122" s="735"/>
      <c r="O1122" s="735">
        <v>6</v>
      </c>
      <c r="P1122" s="736">
        <v>82078.23000000001</v>
      </c>
      <c r="Q1122" s="214"/>
    </row>
    <row r="1123" spans="1:17" ht="12" customHeight="1" x14ac:dyDescent="0.2">
      <c r="A1123" s="735" t="s">
        <v>2169</v>
      </c>
      <c r="B1123" s="735" t="s">
        <v>2170</v>
      </c>
      <c r="C1123" s="735" t="s">
        <v>451</v>
      </c>
      <c r="D1123" s="644" t="s">
        <v>5355</v>
      </c>
      <c r="E1123" s="736">
        <v>8000</v>
      </c>
      <c r="F1123" s="737" t="s">
        <v>5356</v>
      </c>
      <c r="G1123" s="738" t="s">
        <v>5357</v>
      </c>
      <c r="H1123" s="644" t="s">
        <v>2201</v>
      </c>
      <c r="I1123" s="636"/>
      <c r="J1123" s="644"/>
      <c r="K1123" s="739"/>
      <c r="L1123" s="735">
        <v>12</v>
      </c>
      <c r="M1123" s="736">
        <v>97960.799999999988</v>
      </c>
      <c r="N1123" s="735"/>
      <c r="O1123" s="735">
        <v>6</v>
      </c>
      <c r="P1123" s="736">
        <v>49044.9</v>
      </c>
      <c r="Q1123" s="214"/>
    </row>
    <row r="1124" spans="1:17" ht="12" customHeight="1" x14ac:dyDescent="0.2">
      <c r="A1124" s="735" t="s">
        <v>2169</v>
      </c>
      <c r="B1124" s="735" t="s">
        <v>2170</v>
      </c>
      <c r="C1124" s="735" t="s">
        <v>451</v>
      </c>
      <c r="D1124" s="644" t="s">
        <v>5358</v>
      </c>
      <c r="E1124" s="736">
        <v>6000</v>
      </c>
      <c r="F1124" s="737" t="s">
        <v>5359</v>
      </c>
      <c r="G1124" s="738" t="s">
        <v>5360</v>
      </c>
      <c r="H1124" s="644" t="s">
        <v>2796</v>
      </c>
      <c r="I1124" s="636" t="s">
        <v>2246</v>
      </c>
      <c r="J1124" s="644" t="s">
        <v>2796</v>
      </c>
      <c r="K1124" s="739"/>
      <c r="L1124" s="735">
        <v>12</v>
      </c>
      <c r="M1124" s="736">
        <v>74160.800000000003</v>
      </c>
      <c r="N1124" s="735"/>
      <c r="O1124" s="735">
        <v>6</v>
      </c>
      <c r="P1124" s="736">
        <v>36994.03</v>
      </c>
      <c r="Q1124" s="214"/>
    </row>
    <row r="1125" spans="1:17" ht="12" customHeight="1" x14ac:dyDescent="0.2">
      <c r="A1125" s="735" t="s">
        <v>2169</v>
      </c>
      <c r="B1125" s="735" t="s">
        <v>2170</v>
      </c>
      <c r="C1125" s="735" t="s">
        <v>451</v>
      </c>
      <c r="D1125" s="644" t="s">
        <v>2424</v>
      </c>
      <c r="E1125" s="736">
        <v>9000</v>
      </c>
      <c r="F1125" s="737" t="s">
        <v>5361</v>
      </c>
      <c r="G1125" s="738" t="s">
        <v>5362</v>
      </c>
      <c r="H1125" s="644" t="s">
        <v>2268</v>
      </c>
      <c r="I1125" s="636" t="s">
        <v>2228</v>
      </c>
      <c r="J1125" s="644" t="s">
        <v>2268</v>
      </c>
      <c r="K1125" s="739"/>
      <c r="L1125" s="735">
        <v>12</v>
      </c>
      <c r="M1125" s="736">
        <v>111347.39999999998</v>
      </c>
      <c r="N1125" s="735"/>
      <c r="O1125" s="735">
        <v>1</v>
      </c>
      <c r="P1125" s="736">
        <v>9474.15</v>
      </c>
      <c r="Q1125" s="214"/>
    </row>
    <row r="1126" spans="1:17" ht="12" customHeight="1" x14ac:dyDescent="0.2">
      <c r="A1126" s="735" t="s">
        <v>2169</v>
      </c>
      <c r="B1126" s="735" t="s">
        <v>2170</v>
      </c>
      <c r="C1126" s="735" t="s">
        <v>451</v>
      </c>
      <c r="D1126" s="644" t="s">
        <v>5363</v>
      </c>
      <c r="E1126" s="736">
        <v>8000</v>
      </c>
      <c r="F1126" s="737" t="s">
        <v>5364</v>
      </c>
      <c r="G1126" s="738" t="s">
        <v>5365</v>
      </c>
      <c r="H1126" s="644" t="s">
        <v>2184</v>
      </c>
      <c r="I1126" s="636" t="s">
        <v>5366</v>
      </c>
      <c r="J1126" s="644"/>
      <c r="K1126" s="739"/>
      <c r="L1126" s="739"/>
      <c r="M1126" s="735"/>
      <c r="N1126" s="735"/>
      <c r="O1126" s="735">
        <v>4</v>
      </c>
      <c r="P1126" s="736">
        <v>32429.93</v>
      </c>
      <c r="Q1126" s="214"/>
    </row>
    <row r="1127" spans="1:17" ht="12" customHeight="1" x14ac:dyDescent="0.2">
      <c r="A1127" s="735" t="s">
        <v>2169</v>
      </c>
      <c r="B1127" s="735" t="s">
        <v>2170</v>
      </c>
      <c r="C1127" s="735" t="s">
        <v>451</v>
      </c>
      <c r="D1127" s="644" t="s">
        <v>5367</v>
      </c>
      <c r="E1127" s="736">
        <v>5000</v>
      </c>
      <c r="F1127" s="737" t="s">
        <v>5368</v>
      </c>
      <c r="G1127" s="738" t="s">
        <v>5369</v>
      </c>
      <c r="H1127" s="644" t="s">
        <v>2184</v>
      </c>
      <c r="I1127" s="636" t="s">
        <v>2185</v>
      </c>
      <c r="J1127" s="644"/>
      <c r="K1127" s="739"/>
      <c r="L1127" s="739"/>
      <c r="M1127" s="735"/>
      <c r="N1127" s="735"/>
      <c r="O1127" s="735">
        <v>4</v>
      </c>
      <c r="P1127" s="736">
        <v>20529.93</v>
      </c>
      <c r="Q1127" s="214"/>
    </row>
    <row r="1128" spans="1:17" ht="12" customHeight="1" x14ac:dyDescent="0.2">
      <c r="A1128" s="735" t="s">
        <v>2169</v>
      </c>
      <c r="B1128" s="735" t="s">
        <v>2170</v>
      </c>
      <c r="C1128" s="735" t="s">
        <v>451</v>
      </c>
      <c r="D1128" s="644" t="s">
        <v>5370</v>
      </c>
      <c r="E1128" s="736">
        <v>5000</v>
      </c>
      <c r="F1128" s="737" t="s">
        <v>5371</v>
      </c>
      <c r="G1128" s="738" t="s">
        <v>5372</v>
      </c>
      <c r="H1128" s="644" t="s">
        <v>2184</v>
      </c>
      <c r="I1128" s="636" t="s">
        <v>5366</v>
      </c>
      <c r="J1128" s="644"/>
      <c r="K1128" s="739"/>
      <c r="L1128" s="739"/>
      <c r="M1128" s="735"/>
      <c r="N1128" s="735"/>
      <c r="O1128" s="735">
        <v>4</v>
      </c>
      <c r="P1128" s="736">
        <v>20529.93</v>
      </c>
      <c r="Q1128" s="214"/>
    </row>
    <row r="1129" spans="1:17" ht="12" customHeight="1" x14ac:dyDescent="0.2">
      <c r="A1129" s="735" t="s">
        <v>2169</v>
      </c>
      <c r="B1129" s="735" t="s">
        <v>2170</v>
      </c>
      <c r="C1129" s="735" t="s">
        <v>451</v>
      </c>
      <c r="D1129" s="644" t="s">
        <v>5373</v>
      </c>
      <c r="E1129" s="736">
        <v>5000</v>
      </c>
      <c r="F1129" s="737" t="s">
        <v>5374</v>
      </c>
      <c r="G1129" s="738" t="s">
        <v>5375</v>
      </c>
      <c r="H1129" s="644" t="s">
        <v>2184</v>
      </c>
      <c r="I1129" s="636" t="s">
        <v>5366</v>
      </c>
      <c r="J1129" s="644"/>
      <c r="K1129" s="739"/>
      <c r="L1129" s="739"/>
      <c r="M1129" s="735"/>
      <c r="N1129" s="735"/>
      <c r="O1129" s="735">
        <v>4</v>
      </c>
      <c r="P1129" s="736">
        <v>20529.93</v>
      </c>
      <c r="Q1129" s="214"/>
    </row>
    <row r="1130" spans="1:17" ht="12" customHeight="1" x14ac:dyDescent="0.2">
      <c r="A1130" s="735" t="s">
        <v>2169</v>
      </c>
      <c r="B1130" s="735" t="s">
        <v>2170</v>
      </c>
      <c r="C1130" s="735" t="s">
        <v>451</v>
      </c>
      <c r="D1130" s="644" t="s">
        <v>5376</v>
      </c>
      <c r="E1130" s="736">
        <v>8000</v>
      </c>
      <c r="F1130" s="737" t="s">
        <v>5377</v>
      </c>
      <c r="G1130" s="738" t="s">
        <v>5378</v>
      </c>
      <c r="H1130" s="644" t="s">
        <v>2184</v>
      </c>
      <c r="I1130" s="636" t="s">
        <v>5366</v>
      </c>
      <c r="J1130" s="644"/>
      <c r="K1130" s="739"/>
      <c r="L1130" s="739"/>
      <c r="M1130" s="735"/>
      <c r="N1130" s="735"/>
      <c r="O1130" s="735">
        <v>4</v>
      </c>
      <c r="P1130" s="736">
        <v>32429.93</v>
      </c>
      <c r="Q1130" s="214"/>
    </row>
    <row r="1131" spans="1:17" ht="12" customHeight="1" x14ac:dyDescent="0.2">
      <c r="A1131" s="735" t="s">
        <v>2169</v>
      </c>
      <c r="B1131" s="735" t="s">
        <v>2170</v>
      </c>
      <c r="C1131" s="735" t="s">
        <v>451</v>
      </c>
      <c r="D1131" s="644" t="s">
        <v>5379</v>
      </c>
      <c r="E1131" s="736">
        <v>15600</v>
      </c>
      <c r="F1131" s="737" t="s">
        <v>5380</v>
      </c>
      <c r="G1131" s="738" t="s">
        <v>5381</v>
      </c>
      <c r="H1131" s="644" t="s">
        <v>2201</v>
      </c>
      <c r="I1131" s="636" t="s">
        <v>2201</v>
      </c>
      <c r="J1131" s="644"/>
      <c r="K1131" s="739"/>
      <c r="L1131" s="739"/>
      <c r="M1131" s="735"/>
      <c r="N1131" s="735"/>
      <c r="O1131" s="735">
        <v>5</v>
      </c>
      <c r="P1131" s="736">
        <v>77310.75</v>
      </c>
      <c r="Q1131" s="214"/>
    </row>
    <row r="1132" spans="1:17" ht="12" customHeight="1" x14ac:dyDescent="0.2">
      <c r="A1132" s="735" t="s">
        <v>2169</v>
      </c>
      <c r="B1132" s="735" t="s">
        <v>2170</v>
      </c>
      <c r="C1132" s="735" t="s">
        <v>451</v>
      </c>
      <c r="D1132" s="644" t="s">
        <v>5382</v>
      </c>
      <c r="E1132" s="736">
        <v>13000</v>
      </c>
      <c r="F1132" s="737" t="s">
        <v>5383</v>
      </c>
      <c r="G1132" s="738" t="s">
        <v>5384</v>
      </c>
      <c r="H1132" s="644" t="s">
        <v>2420</v>
      </c>
      <c r="I1132" s="636" t="s">
        <v>2228</v>
      </c>
      <c r="J1132" s="644"/>
      <c r="K1132" s="739"/>
      <c r="L1132" s="739"/>
      <c r="M1132" s="735"/>
      <c r="N1132" s="735"/>
      <c r="O1132" s="735">
        <v>6</v>
      </c>
      <c r="P1132" s="736">
        <v>86403.16</v>
      </c>
      <c r="Q1132" s="214"/>
    </row>
    <row r="1133" spans="1:17" ht="12" customHeight="1" x14ac:dyDescent="0.2">
      <c r="A1133" s="735" t="s">
        <v>2169</v>
      </c>
      <c r="B1133" s="735" t="s">
        <v>2170</v>
      </c>
      <c r="C1133" s="735" t="s">
        <v>451</v>
      </c>
      <c r="D1133" s="644" t="s">
        <v>5385</v>
      </c>
      <c r="E1133" s="736">
        <v>8000</v>
      </c>
      <c r="F1133" s="737" t="s">
        <v>5386</v>
      </c>
      <c r="G1133" s="738" t="s">
        <v>5387</v>
      </c>
      <c r="H1133" s="644" t="s">
        <v>2796</v>
      </c>
      <c r="I1133" s="636" t="s">
        <v>2175</v>
      </c>
      <c r="J1133" s="644"/>
      <c r="K1133" s="739"/>
      <c r="L1133" s="739"/>
      <c r="M1133" s="735"/>
      <c r="N1133" s="735"/>
      <c r="O1133" s="735">
        <v>6</v>
      </c>
      <c r="P1133" s="736">
        <v>47702.950000000004</v>
      </c>
      <c r="Q1133" s="214"/>
    </row>
    <row r="1134" spans="1:17" ht="12" customHeight="1" x14ac:dyDescent="0.2">
      <c r="A1134" s="735" t="s">
        <v>2169</v>
      </c>
      <c r="B1134" s="735" t="s">
        <v>2170</v>
      </c>
      <c r="C1134" s="735" t="s">
        <v>451</v>
      </c>
      <c r="D1134" s="644" t="s">
        <v>5388</v>
      </c>
      <c r="E1134" s="736">
        <v>8000</v>
      </c>
      <c r="F1134" s="737" t="s">
        <v>5389</v>
      </c>
      <c r="G1134" s="738" t="s">
        <v>5390</v>
      </c>
      <c r="H1134" s="644" t="s">
        <v>3858</v>
      </c>
      <c r="I1134" s="636" t="s">
        <v>2228</v>
      </c>
      <c r="J1134" s="644"/>
      <c r="K1134" s="739"/>
      <c r="L1134" s="739"/>
      <c r="M1134" s="735"/>
      <c r="N1134" s="735"/>
      <c r="O1134" s="735">
        <v>6</v>
      </c>
      <c r="P1134" s="736">
        <v>52775.360000000001</v>
      </c>
      <c r="Q1134" s="214"/>
    </row>
    <row r="1135" spans="1:17" ht="12" customHeight="1" x14ac:dyDescent="0.2">
      <c r="A1135" s="735" t="s">
        <v>2169</v>
      </c>
      <c r="B1135" s="735" t="s">
        <v>2170</v>
      </c>
      <c r="C1135" s="735" t="s">
        <v>451</v>
      </c>
      <c r="D1135" s="644" t="s">
        <v>2225</v>
      </c>
      <c r="E1135" s="736">
        <v>12000</v>
      </c>
      <c r="F1135" s="737" t="s">
        <v>5391</v>
      </c>
      <c r="G1135" s="738" t="s">
        <v>5392</v>
      </c>
      <c r="H1135" s="644" t="s">
        <v>2179</v>
      </c>
      <c r="I1135" s="636" t="s">
        <v>2228</v>
      </c>
      <c r="J1135" s="644"/>
      <c r="K1135" s="739"/>
      <c r="L1135" s="739"/>
      <c r="M1135" s="735"/>
      <c r="N1135" s="735"/>
      <c r="O1135" s="735">
        <v>6</v>
      </c>
      <c r="P1135" s="736">
        <v>75532.83</v>
      </c>
      <c r="Q1135" s="214"/>
    </row>
    <row r="1136" spans="1:17" ht="12" customHeight="1" x14ac:dyDescent="0.2">
      <c r="A1136" s="735" t="s">
        <v>2169</v>
      </c>
      <c r="B1136" s="735" t="s">
        <v>2170</v>
      </c>
      <c r="C1136" s="735" t="s">
        <v>451</v>
      </c>
      <c r="D1136" s="644" t="s">
        <v>3504</v>
      </c>
      <c r="E1136" s="736">
        <v>8000</v>
      </c>
      <c r="F1136" s="737" t="s">
        <v>5393</v>
      </c>
      <c r="G1136" s="738" t="s">
        <v>5394</v>
      </c>
      <c r="H1136" s="644" t="s">
        <v>2236</v>
      </c>
      <c r="I1136" s="636" t="s">
        <v>2228</v>
      </c>
      <c r="J1136" s="644"/>
      <c r="K1136" s="739"/>
      <c r="L1136" s="739"/>
      <c r="M1136" s="735"/>
      <c r="N1136" s="735"/>
      <c r="O1136" s="735">
        <v>6</v>
      </c>
      <c r="P1136" s="736">
        <v>53017.880000000005</v>
      </c>
      <c r="Q1136" s="214"/>
    </row>
    <row r="1137" spans="1:17" ht="12" customHeight="1" x14ac:dyDescent="0.2">
      <c r="A1137" s="735" t="s">
        <v>2169</v>
      </c>
      <c r="B1137" s="735" t="s">
        <v>2170</v>
      </c>
      <c r="C1137" s="735" t="s">
        <v>451</v>
      </c>
      <c r="D1137" s="644" t="s">
        <v>5395</v>
      </c>
      <c r="E1137" s="736">
        <v>5000</v>
      </c>
      <c r="F1137" s="737" t="s">
        <v>5396</v>
      </c>
      <c r="G1137" s="738" t="s">
        <v>5397</v>
      </c>
      <c r="H1137" s="644" t="s">
        <v>5398</v>
      </c>
      <c r="I1137" s="636" t="s">
        <v>3256</v>
      </c>
      <c r="J1137" s="644"/>
      <c r="K1137" s="739"/>
      <c r="L1137" s="739"/>
      <c r="M1137" s="735"/>
      <c r="N1137" s="735"/>
      <c r="O1137" s="735">
        <v>6</v>
      </c>
      <c r="P1137" s="736">
        <v>33852</v>
      </c>
      <c r="Q1137" s="214"/>
    </row>
    <row r="1138" spans="1:17" ht="12" customHeight="1" x14ac:dyDescent="0.2">
      <c r="A1138" s="735" t="s">
        <v>2169</v>
      </c>
      <c r="B1138" s="735" t="s">
        <v>2170</v>
      </c>
      <c r="C1138" s="735" t="s">
        <v>451</v>
      </c>
      <c r="D1138" s="644" t="s">
        <v>5399</v>
      </c>
      <c r="E1138" s="736">
        <v>5000</v>
      </c>
      <c r="F1138" s="737" t="s">
        <v>5400</v>
      </c>
      <c r="G1138" s="738" t="s">
        <v>5401</v>
      </c>
      <c r="H1138" s="644" t="s">
        <v>2184</v>
      </c>
      <c r="I1138" s="636" t="s">
        <v>5366</v>
      </c>
      <c r="J1138" s="644"/>
      <c r="K1138" s="739"/>
      <c r="L1138" s="739"/>
      <c r="M1138" s="735"/>
      <c r="N1138" s="735"/>
      <c r="O1138" s="735">
        <v>4</v>
      </c>
      <c r="P1138" s="736">
        <v>18696.599999999999</v>
      </c>
      <c r="Q1138" s="214"/>
    </row>
    <row r="1139" spans="1:17" ht="12" customHeight="1" x14ac:dyDescent="0.2">
      <c r="A1139" s="735" t="s">
        <v>2169</v>
      </c>
      <c r="B1139" s="735" t="s">
        <v>2170</v>
      </c>
      <c r="C1139" s="735" t="s">
        <v>451</v>
      </c>
      <c r="D1139" s="644" t="s">
        <v>5402</v>
      </c>
      <c r="E1139" s="736">
        <v>15600</v>
      </c>
      <c r="F1139" s="737" t="s">
        <v>5403</v>
      </c>
      <c r="G1139" s="738" t="s">
        <v>5404</v>
      </c>
      <c r="H1139" s="644" t="s">
        <v>2236</v>
      </c>
      <c r="I1139" s="636" t="s">
        <v>2175</v>
      </c>
      <c r="J1139" s="644"/>
      <c r="K1139" s="739"/>
      <c r="L1139" s="739"/>
      <c r="M1139" s="735"/>
      <c r="N1139" s="735"/>
      <c r="O1139" s="735">
        <v>1</v>
      </c>
      <c r="P1139" s="736">
        <v>14214.15</v>
      </c>
      <c r="Q1139" s="214"/>
    </row>
    <row r="1140" spans="1:17" ht="12" customHeight="1" x14ac:dyDescent="0.2">
      <c r="A1140" s="735" t="s">
        <v>2169</v>
      </c>
      <c r="B1140" s="735" t="s">
        <v>2170</v>
      </c>
      <c r="C1140" s="735" t="s">
        <v>451</v>
      </c>
      <c r="D1140" s="644" t="s">
        <v>5405</v>
      </c>
      <c r="E1140" s="736">
        <v>15600</v>
      </c>
      <c r="F1140" s="737" t="s">
        <v>5406</v>
      </c>
      <c r="G1140" s="738" t="s">
        <v>5407</v>
      </c>
      <c r="H1140" s="644" t="s">
        <v>2245</v>
      </c>
      <c r="I1140" s="636" t="s">
        <v>2175</v>
      </c>
      <c r="J1140" s="644"/>
      <c r="K1140" s="739"/>
      <c r="L1140" s="739"/>
      <c r="M1140" s="735"/>
      <c r="N1140" s="735"/>
      <c r="O1140" s="735">
        <v>6</v>
      </c>
      <c r="P1140" s="736">
        <v>89964.9</v>
      </c>
      <c r="Q1140" s="214"/>
    </row>
    <row r="1141" spans="1:17" ht="12" customHeight="1" x14ac:dyDescent="0.2">
      <c r="A1141" s="735" t="s">
        <v>2169</v>
      </c>
      <c r="B1141" s="735" t="s">
        <v>2170</v>
      </c>
      <c r="C1141" s="735" t="s">
        <v>451</v>
      </c>
      <c r="D1141" s="644" t="s">
        <v>5408</v>
      </c>
      <c r="E1141" s="736">
        <v>15600</v>
      </c>
      <c r="F1141" s="737" t="s">
        <v>5409</v>
      </c>
      <c r="G1141" s="738" t="s">
        <v>5410</v>
      </c>
      <c r="H1141" s="644" t="s">
        <v>2201</v>
      </c>
      <c r="I1141" s="636" t="s">
        <v>2201</v>
      </c>
      <c r="J1141" s="644"/>
      <c r="K1141" s="739"/>
      <c r="L1141" s="739"/>
      <c r="M1141" s="735"/>
      <c r="N1141" s="735"/>
      <c r="O1141" s="735">
        <v>6</v>
      </c>
      <c r="P1141" s="736">
        <v>88404.9</v>
      </c>
      <c r="Q1141" s="214"/>
    </row>
    <row r="1142" spans="1:17" ht="12" customHeight="1" x14ac:dyDescent="0.2">
      <c r="A1142" s="735" t="s">
        <v>2169</v>
      </c>
      <c r="B1142" s="735" t="s">
        <v>2170</v>
      </c>
      <c r="C1142" s="735" t="s">
        <v>451</v>
      </c>
      <c r="D1142" s="644" t="s">
        <v>5411</v>
      </c>
      <c r="E1142" s="736">
        <v>5000</v>
      </c>
      <c r="F1142" s="737" t="s">
        <v>5412</v>
      </c>
      <c r="G1142" s="738" t="s">
        <v>5413</v>
      </c>
      <c r="H1142" s="644" t="s">
        <v>2184</v>
      </c>
      <c r="I1142" s="636" t="s">
        <v>5366</v>
      </c>
      <c r="J1142" s="644"/>
      <c r="K1142" s="739"/>
      <c r="L1142" s="739"/>
      <c r="M1142" s="735"/>
      <c r="N1142" s="735"/>
      <c r="O1142" s="735">
        <v>4</v>
      </c>
      <c r="P1142" s="736">
        <v>20529.93</v>
      </c>
      <c r="Q1142" s="214"/>
    </row>
    <row r="1143" spans="1:17" ht="12" customHeight="1" x14ac:dyDescent="0.2">
      <c r="A1143" s="735" t="s">
        <v>2169</v>
      </c>
      <c r="B1143" s="735" t="s">
        <v>2170</v>
      </c>
      <c r="C1143" s="735" t="s">
        <v>451</v>
      </c>
      <c r="D1143" s="644" t="s">
        <v>5414</v>
      </c>
      <c r="E1143" s="736">
        <v>12000</v>
      </c>
      <c r="F1143" s="737" t="s">
        <v>5415</v>
      </c>
      <c r="G1143" s="738" t="s">
        <v>5416</v>
      </c>
      <c r="H1143" s="644" t="s">
        <v>2201</v>
      </c>
      <c r="I1143" s="636" t="s">
        <v>2201</v>
      </c>
      <c r="J1143" s="644"/>
      <c r="K1143" s="739"/>
      <c r="L1143" s="739"/>
      <c r="M1143" s="735"/>
      <c r="N1143" s="735"/>
      <c r="O1143" s="735">
        <v>6</v>
      </c>
      <c r="P1143" s="736">
        <v>75588</v>
      </c>
      <c r="Q1143" s="214"/>
    </row>
    <row r="1144" spans="1:17" ht="12" customHeight="1" x14ac:dyDescent="0.2">
      <c r="A1144" s="735" t="s">
        <v>2169</v>
      </c>
      <c r="B1144" s="735" t="s">
        <v>2170</v>
      </c>
      <c r="C1144" s="735" t="s">
        <v>451</v>
      </c>
      <c r="D1144" s="644" t="s">
        <v>5417</v>
      </c>
      <c r="E1144" s="736">
        <v>5000</v>
      </c>
      <c r="F1144" s="737" t="s">
        <v>5418</v>
      </c>
      <c r="G1144" s="738" t="s">
        <v>5419</v>
      </c>
      <c r="H1144" s="644" t="s">
        <v>2184</v>
      </c>
      <c r="I1144" s="636" t="s">
        <v>5366</v>
      </c>
      <c r="J1144" s="644"/>
      <c r="K1144" s="739"/>
      <c r="L1144" s="739"/>
      <c r="M1144" s="735"/>
      <c r="N1144" s="735"/>
      <c r="O1144" s="735">
        <v>4</v>
      </c>
      <c r="P1144" s="736">
        <v>20529.93</v>
      </c>
      <c r="Q1144" s="214"/>
    </row>
    <row r="1145" spans="1:17" ht="12" customHeight="1" x14ac:dyDescent="0.2">
      <c r="A1145" s="735" t="s">
        <v>2169</v>
      </c>
      <c r="B1145" s="735" t="s">
        <v>2170</v>
      </c>
      <c r="C1145" s="735" t="s">
        <v>451</v>
      </c>
      <c r="D1145" s="644" t="s">
        <v>4282</v>
      </c>
      <c r="E1145" s="736">
        <v>9000</v>
      </c>
      <c r="F1145" s="737" t="s">
        <v>5420</v>
      </c>
      <c r="G1145" s="738" t="s">
        <v>5421</v>
      </c>
      <c r="H1145" s="644" t="s">
        <v>2208</v>
      </c>
      <c r="I1145" s="636" t="s">
        <v>2228</v>
      </c>
      <c r="J1145" s="644"/>
      <c r="K1145" s="739"/>
      <c r="L1145" s="739"/>
      <c r="M1145" s="735"/>
      <c r="N1145" s="735"/>
      <c r="O1145" s="735">
        <v>6</v>
      </c>
      <c r="P1145" s="736">
        <v>58344.9</v>
      </c>
      <c r="Q1145" s="214"/>
    </row>
    <row r="1146" spans="1:17" ht="12" customHeight="1" x14ac:dyDescent="0.2">
      <c r="A1146" s="735" t="s">
        <v>2169</v>
      </c>
      <c r="B1146" s="735" t="s">
        <v>2170</v>
      </c>
      <c r="C1146" s="735" t="s">
        <v>451</v>
      </c>
      <c r="D1146" s="644" t="s">
        <v>5422</v>
      </c>
      <c r="E1146" s="736">
        <v>9500</v>
      </c>
      <c r="F1146" s="737" t="s">
        <v>5423</v>
      </c>
      <c r="G1146" s="738" t="s">
        <v>5424</v>
      </c>
      <c r="H1146" s="644" t="s">
        <v>2201</v>
      </c>
      <c r="I1146" s="636" t="s">
        <v>2201</v>
      </c>
      <c r="J1146" s="644"/>
      <c r="K1146" s="739"/>
      <c r="L1146" s="739"/>
      <c r="M1146" s="735"/>
      <c r="N1146" s="735"/>
      <c r="O1146" s="735">
        <v>5</v>
      </c>
      <c r="P1146" s="736">
        <v>44281.770000000004</v>
      </c>
      <c r="Q1146" s="214"/>
    </row>
    <row r="1147" spans="1:17" ht="12" customHeight="1" x14ac:dyDescent="0.2">
      <c r="A1147" s="735" t="s">
        <v>2169</v>
      </c>
      <c r="B1147" s="735" t="s">
        <v>2170</v>
      </c>
      <c r="C1147" s="735" t="s">
        <v>451</v>
      </c>
      <c r="D1147" s="644" t="s">
        <v>5425</v>
      </c>
      <c r="E1147" s="736">
        <v>9000</v>
      </c>
      <c r="F1147" s="737" t="s">
        <v>5426</v>
      </c>
      <c r="G1147" s="738" t="s">
        <v>5427</v>
      </c>
      <c r="H1147" s="644" t="s">
        <v>2494</v>
      </c>
      <c r="I1147" s="636" t="s">
        <v>2246</v>
      </c>
      <c r="J1147" s="644"/>
      <c r="K1147" s="739"/>
      <c r="L1147" s="739"/>
      <c r="M1147" s="735"/>
      <c r="N1147" s="735"/>
      <c r="O1147" s="735">
        <v>4</v>
      </c>
      <c r="P1147" s="736">
        <v>36096.6</v>
      </c>
      <c r="Q1147" s="214"/>
    </row>
    <row r="1148" spans="1:17" ht="12" customHeight="1" x14ac:dyDescent="0.2">
      <c r="A1148" s="735" t="s">
        <v>2169</v>
      </c>
      <c r="B1148" s="735" t="s">
        <v>2170</v>
      </c>
      <c r="C1148" s="735" t="s">
        <v>451</v>
      </c>
      <c r="D1148" s="644" t="s">
        <v>5428</v>
      </c>
      <c r="E1148" s="736">
        <v>8000</v>
      </c>
      <c r="F1148" s="737" t="s">
        <v>5429</v>
      </c>
      <c r="G1148" s="738" t="s">
        <v>5430</v>
      </c>
      <c r="H1148" s="644" t="s">
        <v>2184</v>
      </c>
      <c r="I1148" s="636" t="s">
        <v>5366</v>
      </c>
      <c r="J1148" s="644"/>
      <c r="K1148" s="739"/>
      <c r="L1148" s="739"/>
      <c r="M1148" s="735"/>
      <c r="N1148" s="735"/>
      <c r="O1148" s="735">
        <v>4</v>
      </c>
      <c r="P1148" s="736">
        <v>32429.93</v>
      </c>
      <c r="Q1148" s="214"/>
    </row>
    <row r="1149" spans="1:17" ht="12" customHeight="1" x14ac:dyDescent="0.2">
      <c r="A1149" s="735" t="s">
        <v>2169</v>
      </c>
      <c r="B1149" s="735" t="s">
        <v>2170</v>
      </c>
      <c r="C1149" s="735" t="s">
        <v>451</v>
      </c>
      <c r="D1149" s="644" t="s">
        <v>5431</v>
      </c>
      <c r="E1149" s="736">
        <v>5000</v>
      </c>
      <c r="F1149" s="737" t="s">
        <v>5432</v>
      </c>
      <c r="G1149" s="738" t="s">
        <v>5433</v>
      </c>
      <c r="H1149" s="644" t="s">
        <v>2184</v>
      </c>
      <c r="I1149" s="636" t="s">
        <v>5366</v>
      </c>
      <c r="J1149" s="644"/>
      <c r="K1149" s="739"/>
      <c r="L1149" s="739"/>
      <c r="M1149" s="735"/>
      <c r="N1149" s="735"/>
      <c r="O1149" s="735">
        <v>4</v>
      </c>
      <c r="P1149" s="736">
        <v>20529.93</v>
      </c>
      <c r="Q1149" s="214"/>
    </row>
    <row r="1150" spans="1:17" ht="12" customHeight="1" x14ac:dyDescent="0.2">
      <c r="A1150" s="735" t="s">
        <v>2169</v>
      </c>
      <c r="B1150" s="735" t="s">
        <v>2170</v>
      </c>
      <c r="C1150" s="735" t="s">
        <v>451</v>
      </c>
      <c r="D1150" s="644" t="s">
        <v>5434</v>
      </c>
      <c r="E1150" s="736">
        <v>8000</v>
      </c>
      <c r="F1150" s="737" t="s">
        <v>5435</v>
      </c>
      <c r="G1150" s="738" t="s">
        <v>5436</v>
      </c>
      <c r="H1150" s="644" t="s">
        <v>2184</v>
      </c>
      <c r="I1150" s="636" t="s">
        <v>5366</v>
      </c>
      <c r="J1150" s="644"/>
      <c r="K1150" s="739"/>
      <c r="L1150" s="739"/>
      <c r="M1150" s="735"/>
      <c r="N1150" s="735"/>
      <c r="O1150" s="735">
        <v>4</v>
      </c>
      <c r="P1150" s="736">
        <v>32429.93</v>
      </c>
      <c r="Q1150" s="214"/>
    </row>
    <row r="1151" spans="1:17" ht="12" customHeight="1" x14ac:dyDescent="0.2">
      <c r="A1151" s="735" t="s">
        <v>2169</v>
      </c>
      <c r="B1151" s="735" t="s">
        <v>2170</v>
      </c>
      <c r="C1151" s="735" t="s">
        <v>451</v>
      </c>
      <c r="D1151" s="644" t="s">
        <v>5437</v>
      </c>
      <c r="E1151" s="736">
        <v>5000</v>
      </c>
      <c r="F1151" s="737" t="s">
        <v>5438</v>
      </c>
      <c r="G1151" s="738" t="s">
        <v>5439</v>
      </c>
      <c r="H1151" s="644" t="s">
        <v>2253</v>
      </c>
      <c r="I1151" s="636" t="s">
        <v>2185</v>
      </c>
      <c r="J1151" s="644"/>
      <c r="K1151" s="739"/>
      <c r="L1151" s="739"/>
      <c r="M1151" s="735"/>
      <c r="N1151" s="735"/>
      <c r="O1151" s="735">
        <v>4</v>
      </c>
      <c r="P1151" s="736">
        <v>20529.93</v>
      </c>
      <c r="Q1151" s="214"/>
    </row>
    <row r="1152" spans="1:17" ht="12" customHeight="1" x14ac:dyDescent="0.2">
      <c r="A1152" s="735" t="s">
        <v>2169</v>
      </c>
      <c r="B1152" s="735" t="s">
        <v>2170</v>
      </c>
      <c r="C1152" s="735" t="s">
        <v>451</v>
      </c>
      <c r="D1152" s="644" t="s">
        <v>3645</v>
      </c>
      <c r="E1152" s="736">
        <v>5000</v>
      </c>
      <c r="F1152" s="737" t="s">
        <v>5440</v>
      </c>
      <c r="G1152" s="738" t="s">
        <v>5441</v>
      </c>
      <c r="H1152" s="644" t="s">
        <v>2184</v>
      </c>
      <c r="I1152" s="636" t="s">
        <v>5366</v>
      </c>
      <c r="J1152" s="644"/>
      <c r="K1152" s="739"/>
      <c r="L1152" s="739"/>
      <c r="M1152" s="735"/>
      <c r="N1152" s="735"/>
      <c r="O1152" s="735">
        <v>4</v>
      </c>
      <c r="P1152" s="736">
        <v>20529.93</v>
      </c>
      <c r="Q1152" s="214"/>
    </row>
    <row r="1153" spans="1:17" ht="12" customHeight="1" x14ac:dyDescent="0.2">
      <c r="A1153" s="735" t="s">
        <v>2169</v>
      </c>
      <c r="B1153" s="735" t="s">
        <v>2170</v>
      </c>
      <c r="C1153" s="735" t="s">
        <v>451</v>
      </c>
      <c r="D1153" s="644" t="s">
        <v>3000</v>
      </c>
      <c r="E1153" s="736">
        <v>10000</v>
      </c>
      <c r="F1153" s="737" t="s">
        <v>5442</v>
      </c>
      <c r="G1153" s="738" t="s">
        <v>5443</v>
      </c>
      <c r="H1153" s="644" t="s">
        <v>2532</v>
      </c>
      <c r="I1153" s="636" t="s">
        <v>2228</v>
      </c>
      <c r="J1153" s="644"/>
      <c r="K1153" s="739"/>
      <c r="L1153" s="739"/>
      <c r="M1153" s="735"/>
      <c r="N1153" s="735"/>
      <c r="O1153" s="735">
        <v>6</v>
      </c>
      <c r="P1153" s="736">
        <v>64692.170000000006</v>
      </c>
      <c r="Q1153" s="214"/>
    </row>
    <row r="1154" spans="1:17" ht="12" customHeight="1" x14ac:dyDescent="0.2">
      <c r="A1154" s="735" t="s">
        <v>2169</v>
      </c>
      <c r="B1154" s="735" t="s">
        <v>2170</v>
      </c>
      <c r="C1154" s="735" t="s">
        <v>451</v>
      </c>
      <c r="D1154" s="644" t="s">
        <v>5444</v>
      </c>
      <c r="E1154" s="736">
        <v>5000</v>
      </c>
      <c r="F1154" s="737" t="s">
        <v>5445</v>
      </c>
      <c r="G1154" s="738" t="s">
        <v>5446</v>
      </c>
      <c r="H1154" s="644" t="s">
        <v>2184</v>
      </c>
      <c r="I1154" s="636" t="s">
        <v>5366</v>
      </c>
      <c r="J1154" s="644"/>
      <c r="K1154" s="739"/>
      <c r="L1154" s="739"/>
      <c r="M1154" s="735"/>
      <c r="N1154" s="735"/>
      <c r="O1154" s="735">
        <v>4</v>
      </c>
      <c r="P1154" s="736">
        <v>20529.93</v>
      </c>
      <c r="Q1154" s="214"/>
    </row>
    <row r="1155" spans="1:17" ht="12" customHeight="1" x14ac:dyDescent="0.2">
      <c r="A1155" s="735" t="s">
        <v>2169</v>
      </c>
      <c r="B1155" s="735" t="s">
        <v>2170</v>
      </c>
      <c r="C1155" s="735" t="s">
        <v>451</v>
      </c>
      <c r="D1155" s="644" t="s">
        <v>5447</v>
      </c>
      <c r="E1155" s="736">
        <v>8000</v>
      </c>
      <c r="F1155" s="737" t="s">
        <v>5448</v>
      </c>
      <c r="G1155" s="738" t="s">
        <v>5449</v>
      </c>
      <c r="H1155" s="644" t="s">
        <v>5450</v>
      </c>
      <c r="I1155" s="636" t="s">
        <v>2228</v>
      </c>
      <c r="J1155" s="644"/>
      <c r="K1155" s="739"/>
      <c r="L1155" s="739"/>
      <c r="M1155" s="735"/>
      <c r="N1155" s="735"/>
      <c r="O1155" s="735">
        <v>6</v>
      </c>
      <c r="P1155" s="736">
        <v>52511.570000000007</v>
      </c>
      <c r="Q1155" s="214"/>
    </row>
    <row r="1156" spans="1:17" ht="12" customHeight="1" x14ac:dyDescent="0.2">
      <c r="A1156" s="735" t="s">
        <v>2169</v>
      </c>
      <c r="B1156" s="735" t="s">
        <v>2170</v>
      </c>
      <c r="C1156" s="735" t="s">
        <v>451</v>
      </c>
      <c r="D1156" s="644" t="s">
        <v>5451</v>
      </c>
      <c r="E1156" s="736">
        <v>15600</v>
      </c>
      <c r="F1156" s="737" t="s">
        <v>5452</v>
      </c>
      <c r="G1156" s="738" t="s">
        <v>5453</v>
      </c>
      <c r="H1156" s="644" t="s">
        <v>2179</v>
      </c>
      <c r="I1156" s="636" t="s">
        <v>2175</v>
      </c>
      <c r="J1156" s="644"/>
      <c r="K1156" s="739"/>
      <c r="L1156" s="739"/>
      <c r="M1156" s="735"/>
      <c r="N1156" s="735"/>
      <c r="O1156" s="735">
        <v>4</v>
      </c>
      <c r="P1156" s="736">
        <v>61536.6</v>
      </c>
      <c r="Q1156" s="214"/>
    </row>
    <row r="1157" spans="1:17" ht="12" customHeight="1" x14ac:dyDescent="0.2">
      <c r="A1157" s="735" t="s">
        <v>2169</v>
      </c>
      <c r="B1157" s="735" t="s">
        <v>2170</v>
      </c>
      <c r="C1157" s="735" t="s">
        <v>451</v>
      </c>
      <c r="D1157" s="644" t="s">
        <v>5454</v>
      </c>
      <c r="E1157" s="736">
        <v>10000</v>
      </c>
      <c r="F1157" s="737" t="s">
        <v>5455</v>
      </c>
      <c r="G1157" s="738" t="s">
        <v>5456</v>
      </c>
      <c r="H1157" s="644" t="s">
        <v>2184</v>
      </c>
      <c r="I1157" s="636" t="s">
        <v>5366</v>
      </c>
      <c r="J1157" s="644"/>
      <c r="K1157" s="739"/>
      <c r="L1157" s="739"/>
      <c r="M1157" s="735"/>
      <c r="N1157" s="735"/>
      <c r="O1157" s="735">
        <v>4</v>
      </c>
      <c r="P1157" s="736">
        <v>37363.270000000004</v>
      </c>
      <c r="Q1157" s="214"/>
    </row>
    <row r="1158" spans="1:17" ht="12" customHeight="1" x14ac:dyDescent="0.2">
      <c r="A1158" s="735" t="s">
        <v>2169</v>
      </c>
      <c r="B1158" s="735" t="s">
        <v>2170</v>
      </c>
      <c r="C1158" s="735" t="s">
        <v>451</v>
      </c>
      <c r="D1158" s="644" t="s">
        <v>4372</v>
      </c>
      <c r="E1158" s="736">
        <v>12000</v>
      </c>
      <c r="F1158" s="737" t="s">
        <v>5457</v>
      </c>
      <c r="G1158" s="738" t="s">
        <v>5458</v>
      </c>
      <c r="H1158" s="644" t="s">
        <v>2236</v>
      </c>
      <c r="I1158" s="636" t="s">
        <v>2228</v>
      </c>
      <c r="J1158" s="644"/>
      <c r="K1158" s="739"/>
      <c r="L1158" s="739"/>
      <c r="M1158" s="735"/>
      <c r="N1158" s="735"/>
      <c r="O1158" s="735">
        <v>6</v>
      </c>
      <c r="P1158" s="736">
        <v>76226.81</v>
      </c>
      <c r="Q1158" s="214"/>
    </row>
    <row r="1159" spans="1:17" ht="12" customHeight="1" x14ac:dyDescent="0.2">
      <c r="A1159" s="735" t="s">
        <v>2169</v>
      </c>
      <c r="B1159" s="735" t="s">
        <v>2170</v>
      </c>
      <c r="C1159" s="735" t="s">
        <v>451</v>
      </c>
      <c r="D1159" s="644" t="s">
        <v>5459</v>
      </c>
      <c r="E1159" s="736">
        <v>5000</v>
      </c>
      <c r="F1159" s="737" t="s">
        <v>5460</v>
      </c>
      <c r="G1159" s="738" t="s">
        <v>5461</v>
      </c>
      <c r="H1159" s="644" t="s">
        <v>2253</v>
      </c>
      <c r="I1159" s="636" t="s">
        <v>2185</v>
      </c>
      <c r="J1159" s="644"/>
      <c r="K1159" s="739"/>
      <c r="L1159" s="739"/>
      <c r="M1159" s="735"/>
      <c r="N1159" s="735"/>
      <c r="O1159" s="735">
        <v>4</v>
      </c>
      <c r="P1159" s="736">
        <v>20529.93</v>
      </c>
      <c r="Q1159" s="214"/>
    </row>
    <row r="1160" spans="1:17" ht="12" customHeight="1" x14ac:dyDescent="0.2">
      <c r="A1160" s="735" t="s">
        <v>2169</v>
      </c>
      <c r="B1160" s="735" t="s">
        <v>2170</v>
      </c>
      <c r="C1160" s="735" t="s">
        <v>451</v>
      </c>
      <c r="D1160" s="644" t="s">
        <v>5462</v>
      </c>
      <c r="E1160" s="736">
        <v>8000</v>
      </c>
      <c r="F1160" s="737" t="s">
        <v>5463</v>
      </c>
      <c r="G1160" s="738" t="s">
        <v>5464</v>
      </c>
      <c r="H1160" s="644" t="s">
        <v>2275</v>
      </c>
      <c r="I1160" s="636" t="s">
        <v>2175</v>
      </c>
      <c r="J1160" s="644"/>
      <c r="K1160" s="739"/>
      <c r="L1160" s="739"/>
      <c r="M1160" s="735"/>
      <c r="N1160" s="735"/>
      <c r="O1160" s="735">
        <v>4</v>
      </c>
      <c r="P1160" s="736">
        <v>32429.93</v>
      </c>
      <c r="Q1160" s="214"/>
    </row>
    <row r="1161" spans="1:17" ht="12" customHeight="1" x14ac:dyDescent="0.2">
      <c r="A1161" s="735" t="s">
        <v>2169</v>
      </c>
      <c r="B1161" s="735" t="s">
        <v>2170</v>
      </c>
      <c r="C1161" s="735" t="s">
        <v>451</v>
      </c>
      <c r="D1161" s="644" t="s">
        <v>5465</v>
      </c>
      <c r="E1161" s="736">
        <v>8000</v>
      </c>
      <c r="F1161" s="737" t="s">
        <v>5466</v>
      </c>
      <c r="G1161" s="738" t="s">
        <v>5467</v>
      </c>
      <c r="H1161" s="644" t="s">
        <v>2184</v>
      </c>
      <c r="I1161" s="636" t="s">
        <v>5366</v>
      </c>
      <c r="J1161" s="644"/>
      <c r="K1161" s="739"/>
      <c r="L1161" s="739"/>
      <c r="M1161" s="735"/>
      <c r="N1161" s="735"/>
      <c r="O1161" s="735">
        <v>4</v>
      </c>
      <c r="P1161" s="736">
        <v>32429.93</v>
      </c>
      <c r="Q1161" s="214"/>
    </row>
    <row r="1162" spans="1:17" ht="12" customHeight="1" x14ac:dyDescent="0.2">
      <c r="A1162" s="735" t="s">
        <v>2169</v>
      </c>
      <c r="B1162" s="735" t="s">
        <v>2170</v>
      </c>
      <c r="C1162" s="735" t="s">
        <v>451</v>
      </c>
      <c r="D1162" s="644" t="s">
        <v>5468</v>
      </c>
      <c r="E1162" s="736">
        <v>5000</v>
      </c>
      <c r="F1162" s="737" t="s">
        <v>5469</v>
      </c>
      <c r="G1162" s="738" t="s">
        <v>5470</v>
      </c>
      <c r="H1162" s="644" t="s">
        <v>2184</v>
      </c>
      <c r="I1162" s="636" t="s">
        <v>5366</v>
      </c>
      <c r="J1162" s="644"/>
      <c r="K1162" s="739"/>
      <c r="L1162" s="739"/>
      <c r="M1162" s="735"/>
      <c r="N1162" s="735"/>
      <c r="O1162" s="735">
        <v>4</v>
      </c>
      <c r="P1162" s="736">
        <v>20529.93</v>
      </c>
      <c r="Q1162" s="214"/>
    </row>
    <row r="1163" spans="1:17" ht="12" customHeight="1" x14ac:dyDescent="0.2">
      <c r="A1163" s="735" t="s">
        <v>2169</v>
      </c>
      <c r="B1163" s="735" t="s">
        <v>2170</v>
      </c>
      <c r="C1163" s="735" t="s">
        <v>451</v>
      </c>
      <c r="D1163" s="644" t="s">
        <v>5471</v>
      </c>
      <c r="E1163" s="736">
        <v>8000</v>
      </c>
      <c r="F1163" s="737" t="s">
        <v>5472</v>
      </c>
      <c r="G1163" s="738" t="s">
        <v>5473</v>
      </c>
      <c r="H1163" s="644" t="s">
        <v>2420</v>
      </c>
      <c r="I1163" s="636" t="s">
        <v>2175</v>
      </c>
      <c r="J1163" s="644"/>
      <c r="K1163" s="739"/>
      <c r="L1163" s="739"/>
      <c r="M1163" s="735"/>
      <c r="N1163" s="735"/>
      <c r="O1163" s="735">
        <v>4</v>
      </c>
      <c r="P1163" s="736">
        <v>32429.93</v>
      </c>
      <c r="Q1163" s="214"/>
    </row>
    <row r="1164" spans="1:17" ht="12" customHeight="1" x14ac:dyDescent="0.2">
      <c r="A1164" s="735" t="s">
        <v>2169</v>
      </c>
      <c r="B1164" s="735" t="s">
        <v>2170</v>
      </c>
      <c r="C1164" s="735" t="s">
        <v>451</v>
      </c>
      <c r="D1164" s="644" t="s">
        <v>3630</v>
      </c>
      <c r="E1164" s="736">
        <v>8000</v>
      </c>
      <c r="F1164" s="737" t="s">
        <v>5474</v>
      </c>
      <c r="G1164" s="738" t="s">
        <v>5475</v>
      </c>
      <c r="H1164" s="644" t="s">
        <v>2796</v>
      </c>
      <c r="I1164" s="636" t="s">
        <v>2246</v>
      </c>
      <c r="J1164" s="644"/>
      <c r="K1164" s="739"/>
      <c r="L1164" s="739"/>
      <c r="M1164" s="735"/>
      <c r="N1164" s="735"/>
      <c r="O1164" s="735">
        <v>6</v>
      </c>
      <c r="P1164" s="736">
        <v>51177.66</v>
      </c>
      <c r="Q1164" s="214"/>
    </row>
    <row r="1165" spans="1:17" ht="12" customHeight="1" x14ac:dyDescent="0.2">
      <c r="A1165" s="735" t="s">
        <v>2169</v>
      </c>
      <c r="B1165" s="735" t="s">
        <v>2170</v>
      </c>
      <c r="C1165" s="735" t="s">
        <v>451</v>
      </c>
      <c r="D1165" s="644" t="s">
        <v>5476</v>
      </c>
      <c r="E1165" s="736">
        <v>5000</v>
      </c>
      <c r="F1165" s="737" t="s">
        <v>5477</v>
      </c>
      <c r="G1165" s="738" t="s">
        <v>5478</v>
      </c>
      <c r="H1165" s="644" t="s">
        <v>2184</v>
      </c>
      <c r="I1165" s="636" t="s">
        <v>5366</v>
      </c>
      <c r="J1165" s="644"/>
      <c r="K1165" s="739"/>
      <c r="L1165" s="739"/>
      <c r="M1165" s="735"/>
      <c r="N1165" s="735"/>
      <c r="O1165" s="735">
        <v>4</v>
      </c>
      <c r="P1165" s="736">
        <v>20529.93</v>
      </c>
      <c r="Q1165" s="214"/>
    </row>
    <row r="1166" spans="1:17" ht="12" customHeight="1" x14ac:dyDescent="0.2">
      <c r="A1166" s="735" t="s">
        <v>2169</v>
      </c>
      <c r="B1166" s="735" t="s">
        <v>2170</v>
      </c>
      <c r="C1166" s="735" t="s">
        <v>451</v>
      </c>
      <c r="D1166" s="644" t="s">
        <v>2482</v>
      </c>
      <c r="E1166" s="736">
        <v>9000</v>
      </c>
      <c r="F1166" s="737" t="s">
        <v>5479</v>
      </c>
      <c r="G1166" s="738" t="s">
        <v>5480</v>
      </c>
      <c r="H1166" s="644" t="s">
        <v>2189</v>
      </c>
      <c r="I1166" s="636" t="s">
        <v>2228</v>
      </c>
      <c r="J1166" s="644"/>
      <c r="K1166" s="739"/>
      <c r="L1166" s="739"/>
      <c r="M1166" s="735"/>
      <c r="N1166" s="735"/>
      <c r="O1166" s="735">
        <v>6</v>
      </c>
      <c r="P1166" s="736">
        <v>57408.69</v>
      </c>
      <c r="Q1166" s="214"/>
    </row>
    <row r="1167" spans="1:17" ht="12" customHeight="1" x14ac:dyDescent="0.2">
      <c r="A1167" s="735" t="s">
        <v>2169</v>
      </c>
      <c r="B1167" s="735" t="s">
        <v>2170</v>
      </c>
      <c r="C1167" s="735" t="s">
        <v>451</v>
      </c>
      <c r="D1167" s="644" t="s">
        <v>4633</v>
      </c>
      <c r="E1167" s="736">
        <v>3000</v>
      </c>
      <c r="F1167" s="737" t="s">
        <v>5481</v>
      </c>
      <c r="G1167" s="738" t="s">
        <v>5482</v>
      </c>
      <c r="H1167" s="644" t="s">
        <v>2184</v>
      </c>
      <c r="I1167" s="636" t="s">
        <v>5366</v>
      </c>
      <c r="J1167" s="644"/>
      <c r="K1167" s="739"/>
      <c r="L1167" s="739"/>
      <c r="M1167" s="735"/>
      <c r="N1167" s="735"/>
      <c r="O1167" s="735">
        <v>4</v>
      </c>
      <c r="P1167" s="736">
        <v>11157.449999999999</v>
      </c>
      <c r="Q1167" s="214"/>
    </row>
    <row r="1168" spans="1:17" ht="12" customHeight="1" x14ac:dyDescent="0.2">
      <c r="A1168" s="735" t="s">
        <v>2169</v>
      </c>
      <c r="B1168" s="735" t="s">
        <v>2170</v>
      </c>
      <c r="C1168" s="735" t="s">
        <v>451</v>
      </c>
      <c r="D1168" s="644" t="s">
        <v>5483</v>
      </c>
      <c r="E1168" s="736">
        <v>7000</v>
      </c>
      <c r="F1168" s="737" t="s">
        <v>5484</v>
      </c>
      <c r="G1168" s="738" t="s">
        <v>5485</v>
      </c>
      <c r="H1168" s="644" t="s">
        <v>2245</v>
      </c>
      <c r="I1168" s="636" t="s">
        <v>2175</v>
      </c>
      <c r="J1168" s="644"/>
      <c r="K1168" s="739"/>
      <c r="L1168" s="739"/>
      <c r="M1168" s="735"/>
      <c r="N1168" s="735"/>
      <c r="O1168" s="735">
        <v>6</v>
      </c>
      <c r="P1168" s="736">
        <v>46544.9</v>
      </c>
      <c r="Q1168" s="214"/>
    </row>
    <row r="1169" spans="1:17" ht="12" customHeight="1" x14ac:dyDescent="0.2">
      <c r="A1169" s="735" t="s">
        <v>2169</v>
      </c>
      <c r="B1169" s="735" t="s">
        <v>2170</v>
      </c>
      <c r="C1169" s="735" t="s">
        <v>451</v>
      </c>
      <c r="D1169" s="644" t="s">
        <v>3000</v>
      </c>
      <c r="E1169" s="736">
        <v>10000</v>
      </c>
      <c r="F1169" s="737" t="s">
        <v>5486</v>
      </c>
      <c r="G1169" s="738" t="s">
        <v>5487</v>
      </c>
      <c r="H1169" s="644" t="s">
        <v>2184</v>
      </c>
      <c r="I1169" s="636" t="s">
        <v>5366</v>
      </c>
      <c r="J1169" s="644"/>
      <c r="K1169" s="739"/>
      <c r="L1169" s="739"/>
      <c r="M1169" s="735"/>
      <c r="N1169" s="735"/>
      <c r="O1169" s="735">
        <v>4</v>
      </c>
      <c r="P1169" s="736">
        <v>44027.06</v>
      </c>
      <c r="Q1169" s="214"/>
    </row>
    <row r="1170" spans="1:17" ht="12" customHeight="1" x14ac:dyDescent="0.2">
      <c r="A1170" s="735" t="s">
        <v>2169</v>
      </c>
      <c r="B1170" s="735" t="s">
        <v>2170</v>
      </c>
      <c r="C1170" s="735" t="s">
        <v>451</v>
      </c>
      <c r="D1170" s="644" t="s">
        <v>5488</v>
      </c>
      <c r="E1170" s="736">
        <v>5000</v>
      </c>
      <c r="F1170" s="737" t="s">
        <v>5489</v>
      </c>
      <c r="G1170" s="738" t="s">
        <v>5490</v>
      </c>
      <c r="H1170" s="644" t="s">
        <v>2184</v>
      </c>
      <c r="I1170" s="636" t="s">
        <v>5366</v>
      </c>
      <c r="J1170" s="644"/>
      <c r="K1170" s="739"/>
      <c r="L1170" s="739"/>
      <c r="M1170" s="735"/>
      <c r="N1170" s="735"/>
      <c r="O1170" s="735">
        <v>4</v>
      </c>
      <c r="P1170" s="736">
        <v>20529.93</v>
      </c>
      <c r="Q1170" s="214"/>
    </row>
    <row r="1171" spans="1:17" ht="12" customHeight="1" x14ac:dyDescent="0.2">
      <c r="A1171" s="735" t="s">
        <v>2169</v>
      </c>
      <c r="B1171" s="735" t="s">
        <v>2170</v>
      </c>
      <c r="C1171" s="735" t="s">
        <v>451</v>
      </c>
      <c r="D1171" s="644" t="s">
        <v>5491</v>
      </c>
      <c r="E1171" s="736">
        <v>5000</v>
      </c>
      <c r="F1171" s="737" t="s">
        <v>5492</v>
      </c>
      <c r="G1171" s="738" t="s">
        <v>5493</v>
      </c>
      <c r="H1171" s="644" t="s">
        <v>2184</v>
      </c>
      <c r="I1171" s="636" t="s">
        <v>5366</v>
      </c>
      <c r="J1171" s="644"/>
      <c r="K1171" s="739"/>
      <c r="L1171" s="739"/>
      <c r="M1171" s="735"/>
      <c r="N1171" s="735"/>
      <c r="O1171" s="735">
        <v>4</v>
      </c>
      <c r="P1171" s="736">
        <v>20529.93</v>
      </c>
      <c r="Q1171" s="214"/>
    </row>
    <row r="1172" spans="1:17" ht="12" customHeight="1" x14ac:dyDescent="0.2">
      <c r="A1172" s="735" t="s">
        <v>2169</v>
      </c>
      <c r="B1172" s="735" t="s">
        <v>2170</v>
      </c>
      <c r="C1172" s="735" t="s">
        <v>451</v>
      </c>
      <c r="D1172" s="644" t="s">
        <v>5494</v>
      </c>
      <c r="E1172" s="736">
        <v>8000</v>
      </c>
      <c r="F1172" s="737" t="s">
        <v>5495</v>
      </c>
      <c r="G1172" s="738" t="s">
        <v>5496</v>
      </c>
      <c r="H1172" s="644" t="s">
        <v>2184</v>
      </c>
      <c r="I1172" s="636" t="s">
        <v>5366</v>
      </c>
      <c r="J1172" s="644"/>
      <c r="K1172" s="739"/>
      <c r="L1172" s="739"/>
      <c r="M1172" s="735"/>
      <c r="N1172" s="735"/>
      <c r="O1172" s="735">
        <v>4</v>
      </c>
      <c r="P1172" s="736">
        <v>32429.93</v>
      </c>
      <c r="Q1172" s="214"/>
    </row>
    <row r="1173" spans="1:17" ht="12" customHeight="1" x14ac:dyDescent="0.2">
      <c r="A1173" s="735" t="s">
        <v>5497</v>
      </c>
      <c r="B1173" s="735" t="s">
        <v>2170</v>
      </c>
      <c r="C1173" s="735" t="s">
        <v>451</v>
      </c>
      <c r="D1173" s="644" t="s">
        <v>5498</v>
      </c>
      <c r="E1173" s="736">
        <v>9000</v>
      </c>
      <c r="F1173" s="638" t="s">
        <v>5499</v>
      </c>
      <c r="G1173" s="636" t="s">
        <v>5500</v>
      </c>
      <c r="H1173" s="636" t="s">
        <v>5501</v>
      </c>
      <c r="I1173" s="636" t="s">
        <v>5502</v>
      </c>
      <c r="J1173" s="644"/>
      <c r="K1173" s="739"/>
      <c r="L1173" s="735">
        <v>9</v>
      </c>
      <c r="M1173" s="735">
        <v>80120.599999999991</v>
      </c>
      <c r="N1173" s="739"/>
      <c r="O1173" s="735">
        <v>2</v>
      </c>
      <c r="P1173" s="736">
        <v>16648.3</v>
      </c>
      <c r="Q1173" s="214"/>
    </row>
    <row r="1174" spans="1:17" ht="12" customHeight="1" x14ac:dyDescent="0.2">
      <c r="A1174" s="735" t="s">
        <v>5497</v>
      </c>
      <c r="B1174" s="735" t="s">
        <v>2170</v>
      </c>
      <c r="C1174" s="735" t="s">
        <v>451</v>
      </c>
      <c r="D1174" s="644" t="s">
        <v>5503</v>
      </c>
      <c r="E1174" s="736">
        <v>9000</v>
      </c>
      <c r="F1174" s="638" t="s">
        <v>5504</v>
      </c>
      <c r="G1174" s="636" t="s">
        <v>5505</v>
      </c>
      <c r="H1174" s="636" t="s">
        <v>5506</v>
      </c>
      <c r="I1174" s="636" t="s">
        <v>5502</v>
      </c>
      <c r="J1174" s="644"/>
      <c r="K1174" s="739"/>
      <c r="L1174" s="735">
        <v>12</v>
      </c>
      <c r="M1174" s="735">
        <v>109960.79999999997</v>
      </c>
      <c r="N1174" s="739"/>
      <c r="O1174" s="735">
        <v>6</v>
      </c>
      <c r="P1174" s="736">
        <v>55044.9</v>
      </c>
      <c r="Q1174" s="214"/>
    </row>
    <row r="1175" spans="1:17" ht="12" customHeight="1" x14ac:dyDescent="0.2">
      <c r="A1175" s="735" t="s">
        <v>5497</v>
      </c>
      <c r="B1175" s="735" t="s">
        <v>2170</v>
      </c>
      <c r="C1175" s="735" t="s">
        <v>451</v>
      </c>
      <c r="D1175" s="644" t="s">
        <v>5507</v>
      </c>
      <c r="E1175" s="736">
        <v>10000</v>
      </c>
      <c r="F1175" s="638" t="s">
        <v>5508</v>
      </c>
      <c r="G1175" s="636" t="s">
        <v>5509</v>
      </c>
      <c r="H1175" s="636" t="s">
        <v>5510</v>
      </c>
      <c r="I1175" s="636" t="s">
        <v>5502</v>
      </c>
      <c r="J1175" s="644"/>
      <c r="K1175" s="739"/>
      <c r="L1175" s="735">
        <v>10</v>
      </c>
      <c r="M1175" s="735">
        <v>83767.33</v>
      </c>
      <c r="N1175" s="739"/>
      <c r="O1175" s="735"/>
      <c r="P1175" s="736"/>
      <c r="Q1175" s="214"/>
    </row>
    <row r="1176" spans="1:17" ht="12" customHeight="1" x14ac:dyDescent="0.2">
      <c r="A1176" s="735" t="s">
        <v>5497</v>
      </c>
      <c r="B1176" s="735" t="s">
        <v>2170</v>
      </c>
      <c r="C1176" s="735" t="s">
        <v>451</v>
      </c>
      <c r="D1176" s="644" t="s">
        <v>5511</v>
      </c>
      <c r="E1176" s="736">
        <v>3000</v>
      </c>
      <c r="F1176" s="638" t="s">
        <v>5512</v>
      </c>
      <c r="G1176" s="636" t="s">
        <v>5513</v>
      </c>
      <c r="H1176" s="636" t="s">
        <v>5514</v>
      </c>
      <c r="I1176" s="636"/>
      <c r="J1176" s="644" t="s">
        <v>5515</v>
      </c>
      <c r="K1176" s="739"/>
      <c r="L1176" s="735">
        <v>12</v>
      </c>
      <c r="M1176" s="735">
        <v>37960.80000000001</v>
      </c>
      <c r="N1176" s="739"/>
      <c r="O1176" s="735">
        <v>6</v>
      </c>
      <c r="P1176" s="736">
        <v>19044.900000000001</v>
      </c>
      <c r="Q1176" s="214"/>
    </row>
    <row r="1177" spans="1:17" ht="12" customHeight="1" x14ac:dyDescent="0.2">
      <c r="A1177" s="735" t="s">
        <v>5497</v>
      </c>
      <c r="B1177" s="735" t="s">
        <v>2170</v>
      </c>
      <c r="C1177" s="735" t="s">
        <v>451</v>
      </c>
      <c r="D1177" s="644" t="s">
        <v>2261</v>
      </c>
      <c r="E1177" s="736">
        <v>3500</v>
      </c>
      <c r="F1177" s="638" t="s">
        <v>5516</v>
      </c>
      <c r="G1177" s="636" t="s">
        <v>5517</v>
      </c>
      <c r="H1177" s="636" t="s">
        <v>5518</v>
      </c>
      <c r="I1177" s="636"/>
      <c r="J1177" s="644" t="s">
        <v>5515</v>
      </c>
      <c r="K1177" s="739"/>
      <c r="L1177" s="735">
        <v>12</v>
      </c>
      <c r="M1177" s="735">
        <v>43960.80000000001</v>
      </c>
      <c r="N1177" s="739"/>
      <c r="O1177" s="735">
        <v>6</v>
      </c>
      <c r="P1177" s="736">
        <v>22044.9</v>
      </c>
      <c r="Q1177" s="214"/>
    </row>
    <row r="1178" spans="1:17" ht="12" customHeight="1" x14ac:dyDescent="0.2">
      <c r="A1178" s="735" t="s">
        <v>5497</v>
      </c>
      <c r="B1178" s="735" t="s">
        <v>2170</v>
      </c>
      <c r="C1178" s="735" t="s">
        <v>451</v>
      </c>
      <c r="D1178" s="644" t="s">
        <v>5519</v>
      </c>
      <c r="E1178" s="736">
        <v>9000</v>
      </c>
      <c r="F1178" s="638" t="s">
        <v>5520</v>
      </c>
      <c r="G1178" s="636" t="s">
        <v>5521</v>
      </c>
      <c r="H1178" s="636" t="s">
        <v>5501</v>
      </c>
      <c r="I1178" s="636" t="s">
        <v>5502</v>
      </c>
      <c r="J1178" s="644"/>
      <c r="K1178" s="739"/>
      <c r="L1178" s="735">
        <v>12</v>
      </c>
      <c r="M1178" s="735">
        <v>129360.79999999997</v>
      </c>
      <c r="N1178" s="739"/>
      <c r="O1178" s="735">
        <v>6</v>
      </c>
      <c r="P1178" s="736">
        <v>55044.9</v>
      </c>
      <c r="Q1178" s="214"/>
    </row>
    <row r="1179" spans="1:17" ht="12" customHeight="1" x14ac:dyDescent="0.2">
      <c r="A1179" s="735" t="s">
        <v>5497</v>
      </c>
      <c r="B1179" s="735" t="s">
        <v>2170</v>
      </c>
      <c r="C1179" s="735" t="s">
        <v>451</v>
      </c>
      <c r="D1179" s="644" t="s">
        <v>5522</v>
      </c>
      <c r="E1179" s="736">
        <v>9000</v>
      </c>
      <c r="F1179" s="638" t="s">
        <v>5523</v>
      </c>
      <c r="G1179" s="636" t="s">
        <v>5524</v>
      </c>
      <c r="H1179" s="636" t="s">
        <v>5506</v>
      </c>
      <c r="I1179" s="636" t="s">
        <v>5502</v>
      </c>
      <c r="J1179" s="644"/>
      <c r="K1179" s="739"/>
      <c r="L1179" s="735">
        <v>1</v>
      </c>
      <c r="M1179" s="735">
        <v>8813.4</v>
      </c>
      <c r="N1179" s="739"/>
      <c r="O1179" s="735">
        <v>6</v>
      </c>
      <c r="P1179" s="736">
        <v>55239.280000000006</v>
      </c>
      <c r="Q1179" s="214"/>
    </row>
    <row r="1180" spans="1:17" ht="12" customHeight="1" x14ac:dyDescent="0.2">
      <c r="A1180" s="735" t="s">
        <v>5497</v>
      </c>
      <c r="B1180" s="735" t="s">
        <v>2170</v>
      </c>
      <c r="C1180" s="735" t="s">
        <v>451</v>
      </c>
      <c r="D1180" s="644" t="s">
        <v>5503</v>
      </c>
      <c r="E1180" s="736">
        <v>9000</v>
      </c>
      <c r="F1180" s="638" t="s">
        <v>5525</v>
      </c>
      <c r="G1180" s="636" t="s">
        <v>5526</v>
      </c>
      <c r="H1180" s="636" t="s">
        <v>5501</v>
      </c>
      <c r="I1180" s="636" t="s">
        <v>5502</v>
      </c>
      <c r="J1180" s="644"/>
      <c r="K1180" s="739"/>
      <c r="L1180" s="735">
        <v>12</v>
      </c>
      <c r="M1180" s="735">
        <v>109960.79999999997</v>
      </c>
      <c r="N1180" s="739"/>
      <c r="O1180" s="735">
        <v>6</v>
      </c>
      <c r="P1180" s="736">
        <v>55044.9</v>
      </c>
      <c r="Q1180" s="214"/>
    </row>
    <row r="1181" spans="1:17" ht="12" customHeight="1" x14ac:dyDescent="0.2">
      <c r="A1181" s="735" t="s">
        <v>5497</v>
      </c>
      <c r="B1181" s="735" t="s">
        <v>2170</v>
      </c>
      <c r="C1181" s="735" t="s">
        <v>451</v>
      </c>
      <c r="D1181" s="644" t="s">
        <v>5527</v>
      </c>
      <c r="E1181" s="736">
        <v>4000</v>
      </c>
      <c r="F1181" s="638" t="s">
        <v>5528</v>
      </c>
      <c r="G1181" s="636" t="s">
        <v>5529</v>
      </c>
      <c r="H1181" s="636" t="s">
        <v>5530</v>
      </c>
      <c r="I1181" s="636" t="s">
        <v>5502</v>
      </c>
      <c r="J1181" s="644"/>
      <c r="K1181" s="739"/>
      <c r="L1181" s="735">
        <v>7</v>
      </c>
      <c r="M1181" s="735">
        <v>28827.129999999997</v>
      </c>
      <c r="N1181" s="739"/>
      <c r="O1181" s="735">
        <v>6</v>
      </c>
      <c r="P1181" s="736">
        <v>25044.9</v>
      </c>
      <c r="Q1181" s="214"/>
    </row>
    <row r="1182" spans="1:17" ht="12" customHeight="1" x14ac:dyDescent="0.2">
      <c r="A1182" s="735" t="s">
        <v>5497</v>
      </c>
      <c r="B1182" s="735" t="s">
        <v>2170</v>
      </c>
      <c r="C1182" s="735" t="s">
        <v>451</v>
      </c>
      <c r="D1182" s="644" t="s">
        <v>5531</v>
      </c>
      <c r="E1182" s="736">
        <v>12000</v>
      </c>
      <c r="F1182" s="638" t="s">
        <v>5532</v>
      </c>
      <c r="G1182" s="636" t="s">
        <v>5533</v>
      </c>
      <c r="H1182" s="636" t="s">
        <v>5506</v>
      </c>
      <c r="I1182" s="636" t="s">
        <v>5502</v>
      </c>
      <c r="J1182" s="644"/>
      <c r="K1182" s="739"/>
      <c r="L1182" s="735">
        <v>3</v>
      </c>
      <c r="M1182" s="735">
        <v>22873.53</v>
      </c>
      <c r="N1182" s="739"/>
      <c r="O1182" s="735"/>
      <c r="P1182" s="736"/>
      <c r="Q1182" s="214"/>
    </row>
    <row r="1183" spans="1:17" ht="12" customHeight="1" x14ac:dyDescent="0.2">
      <c r="A1183" s="735" t="s">
        <v>5497</v>
      </c>
      <c r="B1183" s="735" t="s">
        <v>2170</v>
      </c>
      <c r="C1183" s="735" t="s">
        <v>451</v>
      </c>
      <c r="D1183" s="644" t="s">
        <v>5534</v>
      </c>
      <c r="E1183" s="736">
        <v>2500</v>
      </c>
      <c r="F1183" s="638" t="s">
        <v>5535</v>
      </c>
      <c r="G1183" s="636" t="s">
        <v>5536</v>
      </c>
      <c r="H1183" s="636" t="s">
        <v>5537</v>
      </c>
      <c r="I1183" s="636"/>
      <c r="J1183" s="644" t="s">
        <v>5515</v>
      </c>
      <c r="K1183" s="739"/>
      <c r="L1183" s="735">
        <v>12</v>
      </c>
      <c r="M1183" s="735">
        <v>31960.800000000007</v>
      </c>
      <c r="N1183" s="739"/>
      <c r="O1183" s="735">
        <v>6</v>
      </c>
      <c r="P1183" s="736">
        <v>16044.9</v>
      </c>
      <c r="Q1183" s="214"/>
    </row>
    <row r="1184" spans="1:17" ht="12" customHeight="1" x14ac:dyDescent="0.2">
      <c r="A1184" s="735" t="s">
        <v>5497</v>
      </c>
      <c r="B1184" s="735" t="s">
        <v>2170</v>
      </c>
      <c r="C1184" s="735" t="s">
        <v>451</v>
      </c>
      <c r="D1184" s="644" t="s">
        <v>5538</v>
      </c>
      <c r="E1184" s="736">
        <v>9000</v>
      </c>
      <c r="F1184" s="638" t="s">
        <v>5539</v>
      </c>
      <c r="G1184" s="636" t="s">
        <v>5540</v>
      </c>
      <c r="H1184" s="636" t="s">
        <v>5541</v>
      </c>
      <c r="I1184" s="636" t="s">
        <v>5502</v>
      </c>
      <c r="J1184" s="644"/>
      <c r="K1184" s="739"/>
      <c r="L1184" s="735">
        <v>12</v>
      </c>
      <c r="M1184" s="735">
        <v>107860.79999999997</v>
      </c>
      <c r="N1184" s="739"/>
      <c r="O1184" s="735">
        <v>6</v>
      </c>
      <c r="P1184" s="736">
        <v>55044.9</v>
      </c>
      <c r="Q1184" s="214"/>
    </row>
    <row r="1185" spans="1:17" ht="12" customHeight="1" x14ac:dyDescent="0.2">
      <c r="A1185" s="735" t="s">
        <v>5497</v>
      </c>
      <c r="B1185" s="735" t="s">
        <v>2170</v>
      </c>
      <c r="C1185" s="735" t="s">
        <v>451</v>
      </c>
      <c r="D1185" s="644" t="s">
        <v>5503</v>
      </c>
      <c r="E1185" s="736">
        <v>9000</v>
      </c>
      <c r="F1185" s="638" t="s">
        <v>5542</v>
      </c>
      <c r="G1185" s="636" t="s">
        <v>5543</v>
      </c>
      <c r="H1185" s="636" t="s">
        <v>5501</v>
      </c>
      <c r="I1185" s="636" t="s">
        <v>5502</v>
      </c>
      <c r="J1185" s="644"/>
      <c r="K1185" s="739"/>
      <c r="L1185" s="735">
        <v>12</v>
      </c>
      <c r="M1185" s="735">
        <v>109960.79999999997</v>
      </c>
      <c r="N1185" s="739"/>
      <c r="O1185" s="735">
        <v>6</v>
      </c>
      <c r="P1185" s="736">
        <v>55044.9</v>
      </c>
      <c r="Q1185" s="214"/>
    </row>
    <row r="1186" spans="1:17" ht="12" customHeight="1" x14ac:dyDescent="0.2">
      <c r="A1186" s="735" t="s">
        <v>5497</v>
      </c>
      <c r="B1186" s="735" t="s">
        <v>2170</v>
      </c>
      <c r="C1186" s="735" t="s">
        <v>451</v>
      </c>
      <c r="D1186" s="644" t="s">
        <v>5544</v>
      </c>
      <c r="E1186" s="736">
        <v>7000</v>
      </c>
      <c r="F1186" s="638" t="s">
        <v>5545</v>
      </c>
      <c r="G1186" s="636" t="s">
        <v>5546</v>
      </c>
      <c r="H1186" s="636" t="s">
        <v>5547</v>
      </c>
      <c r="I1186" s="636" t="s">
        <v>5502</v>
      </c>
      <c r="J1186" s="644"/>
      <c r="K1186" s="739"/>
      <c r="L1186" s="735">
        <v>9</v>
      </c>
      <c r="M1186" s="735">
        <v>63820.600000000006</v>
      </c>
      <c r="N1186" s="739"/>
      <c r="O1186" s="735">
        <v>6</v>
      </c>
      <c r="P1186" s="736">
        <v>43044.9</v>
      </c>
      <c r="Q1186" s="214"/>
    </row>
    <row r="1187" spans="1:17" ht="12" customHeight="1" x14ac:dyDescent="0.2">
      <c r="A1187" s="735" t="s">
        <v>5497</v>
      </c>
      <c r="B1187" s="735" t="s">
        <v>2170</v>
      </c>
      <c r="C1187" s="735" t="s">
        <v>451</v>
      </c>
      <c r="D1187" s="644" t="s">
        <v>5548</v>
      </c>
      <c r="E1187" s="736">
        <v>10000</v>
      </c>
      <c r="F1187" s="638" t="s">
        <v>5549</v>
      </c>
      <c r="G1187" s="636" t="s">
        <v>5550</v>
      </c>
      <c r="H1187" s="636" t="s">
        <v>5506</v>
      </c>
      <c r="I1187" s="636" t="s">
        <v>5502</v>
      </c>
      <c r="J1187" s="644"/>
      <c r="K1187" s="739"/>
      <c r="L1187" s="735">
        <v>12</v>
      </c>
      <c r="M1187" s="735">
        <v>121960.79999999997</v>
      </c>
      <c r="N1187" s="739"/>
      <c r="O1187" s="735">
        <v>6</v>
      </c>
      <c r="P1187" s="736">
        <v>61044.9</v>
      </c>
      <c r="Q1187" s="214"/>
    </row>
    <row r="1188" spans="1:17" ht="12" customHeight="1" x14ac:dyDescent="0.2">
      <c r="A1188" s="735" t="s">
        <v>5497</v>
      </c>
      <c r="B1188" s="735" t="s">
        <v>2170</v>
      </c>
      <c r="C1188" s="735" t="s">
        <v>451</v>
      </c>
      <c r="D1188" s="644" t="s">
        <v>5551</v>
      </c>
      <c r="E1188" s="736">
        <v>10000</v>
      </c>
      <c r="F1188" s="638" t="s">
        <v>5552</v>
      </c>
      <c r="G1188" s="636" t="s">
        <v>5553</v>
      </c>
      <c r="H1188" s="636" t="s">
        <v>5501</v>
      </c>
      <c r="I1188" s="636" t="s">
        <v>5502</v>
      </c>
      <c r="J1188" s="644"/>
      <c r="K1188" s="739"/>
      <c r="L1188" s="735">
        <v>12</v>
      </c>
      <c r="M1188" s="735">
        <v>121960.79999999997</v>
      </c>
      <c r="N1188" s="739"/>
      <c r="O1188" s="735">
        <v>6</v>
      </c>
      <c r="P1188" s="736">
        <v>61044.9</v>
      </c>
      <c r="Q1188" s="214"/>
    </row>
    <row r="1189" spans="1:17" ht="12" customHeight="1" x14ac:dyDescent="0.2">
      <c r="A1189" s="735" t="s">
        <v>5497</v>
      </c>
      <c r="B1189" s="735" t="s">
        <v>2170</v>
      </c>
      <c r="C1189" s="735" t="s">
        <v>451</v>
      </c>
      <c r="D1189" s="644" t="s">
        <v>5503</v>
      </c>
      <c r="E1189" s="736">
        <v>9000</v>
      </c>
      <c r="F1189" s="638" t="s">
        <v>5554</v>
      </c>
      <c r="G1189" s="636" t="s">
        <v>5555</v>
      </c>
      <c r="H1189" s="636" t="s">
        <v>5556</v>
      </c>
      <c r="I1189" s="636" t="s">
        <v>5502</v>
      </c>
      <c r="J1189" s="644"/>
      <c r="K1189" s="739"/>
      <c r="L1189" s="735">
        <v>12</v>
      </c>
      <c r="M1189" s="735">
        <v>109960.79999999997</v>
      </c>
      <c r="N1189" s="739"/>
      <c r="O1189" s="735">
        <v>6</v>
      </c>
      <c r="P1189" s="736">
        <v>55044.9</v>
      </c>
      <c r="Q1189" s="214"/>
    </row>
    <row r="1190" spans="1:17" ht="12" customHeight="1" x14ac:dyDescent="0.2">
      <c r="A1190" s="735" t="s">
        <v>5497</v>
      </c>
      <c r="B1190" s="735" t="s">
        <v>2170</v>
      </c>
      <c r="C1190" s="735" t="s">
        <v>451</v>
      </c>
      <c r="D1190" s="644" t="s">
        <v>5557</v>
      </c>
      <c r="E1190" s="736">
        <v>9000</v>
      </c>
      <c r="F1190" s="638" t="s">
        <v>5558</v>
      </c>
      <c r="G1190" s="636" t="s">
        <v>5559</v>
      </c>
      <c r="H1190" s="636" t="s">
        <v>5506</v>
      </c>
      <c r="I1190" s="636" t="s">
        <v>5502</v>
      </c>
      <c r="J1190" s="644"/>
      <c r="K1190" s="739"/>
      <c r="L1190" s="735">
        <v>11</v>
      </c>
      <c r="M1190" s="735">
        <v>93647.39999999998</v>
      </c>
      <c r="N1190" s="739"/>
      <c r="O1190" s="735">
        <v>6</v>
      </c>
      <c r="P1190" s="736">
        <v>68244.899999999994</v>
      </c>
      <c r="Q1190" s="214"/>
    </row>
    <row r="1191" spans="1:17" ht="12" customHeight="1" x14ac:dyDescent="0.2">
      <c r="A1191" s="735" t="s">
        <v>5497</v>
      </c>
      <c r="B1191" s="735" t="s">
        <v>2170</v>
      </c>
      <c r="C1191" s="735" t="s">
        <v>451</v>
      </c>
      <c r="D1191" s="644" t="s">
        <v>5560</v>
      </c>
      <c r="E1191" s="736">
        <v>9000</v>
      </c>
      <c r="F1191" s="638" t="s">
        <v>5561</v>
      </c>
      <c r="G1191" s="636" t="s">
        <v>5562</v>
      </c>
      <c r="H1191" s="636" t="s">
        <v>5556</v>
      </c>
      <c r="I1191" s="636" t="s">
        <v>5502</v>
      </c>
      <c r="J1191" s="644"/>
      <c r="K1191" s="739"/>
      <c r="L1191" s="735">
        <v>11</v>
      </c>
      <c r="M1191" s="735">
        <v>109472.4</v>
      </c>
      <c r="N1191" s="739"/>
      <c r="O1191" s="735"/>
      <c r="P1191" s="736"/>
      <c r="Q1191" s="214"/>
    </row>
    <row r="1192" spans="1:17" ht="12" customHeight="1" x14ac:dyDescent="0.2">
      <c r="A1192" s="735" t="s">
        <v>5497</v>
      </c>
      <c r="B1192" s="735" t="s">
        <v>2170</v>
      </c>
      <c r="C1192" s="735" t="s">
        <v>451</v>
      </c>
      <c r="D1192" s="644" t="s">
        <v>4124</v>
      </c>
      <c r="E1192" s="736">
        <v>8000</v>
      </c>
      <c r="F1192" s="638" t="s">
        <v>5563</v>
      </c>
      <c r="G1192" s="636" t="s">
        <v>5564</v>
      </c>
      <c r="H1192" s="636" t="s">
        <v>5565</v>
      </c>
      <c r="I1192" s="636" t="s">
        <v>5502</v>
      </c>
      <c r="J1192" s="644"/>
      <c r="K1192" s="739"/>
      <c r="L1192" s="735">
        <v>12</v>
      </c>
      <c r="M1192" s="735">
        <v>97960.799999999988</v>
      </c>
      <c r="N1192" s="739"/>
      <c r="O1192" s="735">
        <v>6</v>
      </c>
      <c r="P1192" s="736">
        <v>49044.9</v>
      </c>
      <c r="Q1192" s="214"/>
    </row>
    <row r="1193" spans="1:17" ht="12" customHeight="1" x14ac:dyDescent="0.2">
      <c r="A1193" s="735" t="s">
        <v>5497</v>
      </c>
      <c r="B1193" s="735" t="s">
        <v>2170</v>
      </c>
      <c r="C1193" s="735" t="s">
        <v>451</v>
      </c>
      <c r="D1193" s="644" t="s">
        <v>2190</v>
      </c>
      <c r="E1193" s="736">
        <v>3000</v>
      </c>
      <c r="F1193" s="638" t="s">
        <v>5566</v>
      </c>
      <c r="G1193" s="636" t="s">
        <v>5567</v>
      </c>
      <c r="H1193" s="636" t="s">
        <v>5568</v>
      </c>
      <c r="I1193" s="636"/>
      <c r="J1193" s="644" t="s">
        <v>5515</v>
      </c>
      <c r="K1193" s="739"/>
      <c r="L1193" s="735">
        <v>12</v>
      </c>
      <c r="M1193" s="735">
        <v>37960.80000000001</v>
      </c>
      <c r="N1193" s="739"/>
      <c r="O1193" s="735">
        <v>6</v>
      </c>
      <c r="P1193" s="736">
        <v>19044.900000000001</v>
      </c>
      <c r="Q1193" s="214"/>
    </row>
    <row r="1194" spans="1:17" ht="12" customHeight="1" x14ac:dyDescent="0.2">
      <c r="A1194" s="735" t="s">
        <v>5497</v>
      </c>
      <c r="B1194" s="735" t="s">
        <v>2170</v>
      </c>
      <c r="C1194" s="735" t="s">
        <v>451</v>
      </c>
      <c r="D1194" s="644" t="s">
        <v>5569</v>
      </c>
      <c r="E1194" s="736">
        <v>12000</v>
      </c>
      <c r="F1194" s="638" t="s">
        <v>5570</v>
      </c>
      <c r="G1194" s="636" t="s">
        <v>5571</v>
      </c>
      <c r="H1194" s="636" t="s">
        <v>5501</v>
      </c>
      <c r="I1194" s="636" t="s">
        <v>5502</v>
      </c>
      <c r="J1194" s="644"/>
      <c r="K1194" s="739"/>
      <c r="L1194" s="735">
        <v>12</v>
      </c>
      <c r="M1194" s="735">
        <v>145960.79999999996</v>
      </c>
      <c r="N1194" s="739"/>
      <c r="O1194" s="735">
        <v>6</v>
      </c>
      <c r="P1194" s="736">
        <v>73044.899999999994</v>
      </c>
      <c r="Q1194" s="214"/>
    </row>
    <row r="1195" spans="1:17" ht="12" customHeight="1" x14ac:dyDescent="0.2">
      <c r="A1195" s="735" t="s">
        <v>5497</v>
      </c>
      <c r="B1195" s="735" t="s">
        <v>2170</v>
      </c>
      <c r="C1195" s="735" t="s">
        <v>451</v>
      </c>
      <c r="D1195" s="644" t="s">
        <v>5572</v>
      </c>
      <c r="E1195" s="736">
        <v>9000</v>
      </c>
      <c r="F1195" s="638" t="s">
        <v>5573</v>
      </c>
      <c r="G1195" s="636" t="s">
        <v>5574</v>
      </c>
      <c r="H1195" s="636" t="s">
        <v>2186</v>
      </c>
      <c r="I1195" s="636" t="s">
        <v>5502</v>
      </c>
      <c r="J1195" s="644"/>
      <c r="K1195" s="739"/>
      <c r="L1195" s="735">
        <v>12</v>
      </c>
      <c r="M1195" s="735">
        <v>109960.79999999997</v>
      </c>
      <c r="N1195" s="739"/>
      <c r="O1195" s="735">
        <v>6</v>
      </c>
      <c r="P1195" s="736">
        <v>55044.9</v>
      </c>
      <c r="Q1195" s="214"/>
    </row>
    <row r="1196" spans="1:17" ht="12" customHeight="1" x14ac:dyDescent="0.2">
      <c r="A1196" s="735" t="s">
        <v>5497</v>
      </c>
      <c r="B1196" s="735" t="s">
        <v>2170</v>
      </c>
      <c r="C1196" s="735" t="s">
        <v>451</v>
      </c>
      <c r="D1196" s="644" t="s">
        <v>5575</v>
      </c>
      <c r="E1196" s="736">
        <v>8000</v>
      </c>
      <c r="F1196" s="638" t="s">
        <v>5576</v>
      </c>
      <c r="G1196" s="636" t="s">
        <v>5577</v>
      </c>
      <c r="H1196" s="636" t="s">
        <v>5578</v>
      </c>
      <c r="I1196" s="636" t="s">
        <v>5502</v>
      </c>
      <c r="J1196" s="644"/>
      <c r="K1196" s="739"/>
      <c r="L1196" s="735">
        <v>12</v>
      </c>
      <c r="M1196" s="735">
        <v>97960.799999999988</v>
      </c>
      <c r="N1196" s="739"/>
      <c r="O1196" s="735">
        <v>6</v>
      </c>
      <c r="P1196" s="736">
        <v>49044.9</v>
      </c>
      <c r="Q1196" s="214"/>
    </row>
    <row r="1197" spans="1:17" ht="12" customHeight="1" x14ac:dyDescent="0.2">
      <c r="A1197" s="735" t="s">
        <v>5497</v>
      </c>
      <c r="B1197" s="735" t="s">
        <v>2170</v>
      </c>
      <c r="C1197" s="735" t="s">
        <v>451</v>
      </c>
      <c r="D1197" s="644" t="s">
        <v>5579</v>
      </c>
      <c r="E1197" s="736">
        <v>9000</v>
      </c>
      <c r="F1197" s="638" t="s">
        <v>5580</v>
      </c>
      <c r="G1197" s="636" t="s">
        <v>5581</v>
      </c>
      <c r="H1197" s="636" t="s">
        <v>5501</v>
      </c>
      <c r="I1197" s="636" t="s">
        <v>5502</v>
      </c>
      <c r="J1197" s="644"/>
      <c r="K1197" s="739"/>
      <c r="L1197" s="735">
        <v>10</v>
      </c>
      <c r="M1197" s="735">
        <v>93208.999999999985</v>
      </c>
      <c r="N1197" s="739"/>
      <c r="O1197" s="735"/>
      <c r="P1197" s="736"/>
      <c r="Q1197" s="214"/>
    </row>
    <row r="1198" spans="1:17" ht="12" customHeight="1" x14ac:dyDescent="0.2">
      <c r="A1198" s="735" t="s">
        <v>5497</v>
      </c>
      <c r="B1198" s="735" t="s">
        <v>2170</v>
      </c>
      <c r="C1198" s="735" t="s">
        <v>451</v>
      </c>
      <c r="D1198" s="644" t="s">
        <v>5582</v>
      </c>
      <c r="E1198" s="736">
        <v>12000</v>
      </c>
      <c r="F1198" s="638" t="s">
        <v>5583</v>
      </c>
      <c r="G1198" s="636" t="s">
        <v>5584</v>
      </c>
      <c r="H1198" s="636" t="s">
        <v>5501</v>
      </c>
      <c r="I1198" s="636" t="s">
        <v>5502</v>
      </c>
      <c r="J1198" s="644"/>
      <c r="K1198" s="739"/>
      <c r="L1198" s="735">
        <v>12</v>
      </c>
      <c r="M1198" s="735">
        <v>145960.79999999996</v>
      </c>
      <c r="N1198" s="739"/>
      <c r="O1198" s="735">
        <v>6</v>
      </c>
      <c r="P1198" s="736">
        <v>73044.899999999994</v>
      </c>
      <c r="Q1198" s="214"/>
    </row>
    <row r="1199" spans="1:17" ht="12" customHeight="1" x14ac:dyDescent="0.2">
      <c r="A1199" s="735" t="s">
        <v>5497</v>
      </c>
      <c r="B1199" s="735" t="s">
        <v>2170</v>
      </c>
      <c r="C1199" s="735" t="s">
        <v>451</v>
      </c>
      <c r="D1199" s="644" t="s">
        <v>5503</v>
      </c>
      <c r="E1199" s="736">
        <v>9000</v>
      </c>
      <c r="F1199" s="638" t="s">
        <v>5585</v>
      </c>
      <c r="G1199" s="636" t="s">
        <v>5586</v>
      </c>
      <c r="H1199" s="636" t="s">
        <v>5506</v>
      </c>
      <c r="I1199" s="636" t="s">
        <v>5502</v>
      </c>
      <c r="J1199" s="644"/>
      <c r="K1199" s="739"/>
      <c r="L1199" s="735">
        <v>12</v>
      </c>
      <c r="M1199" s="735">
        <v>109960.79999999997</v>
      </c>
      <c r="N1199" s="739"/>
      <c r="O1199" s="735">
        <v>6</v>
      </c>
      <c r="P1199" s="736">
        <v>55044.9</v>
      </c>
      <c r="Q1199" s="214"/>
    </row>
    <row r="1200" spans="1:17" ht="12" customHeight="1" x14ac:dyDescent="0.2">
      <c r="A1200" s="735" t="s">
        <v>5497</v>
      </c>
      <c r="B1200" s="735" t="s">
        <v>2170</v>
      </c>
      <c r="C1200" s="735" t="s">
        <v>451</v>
      </c>
      <c r="D1200" s="644" t="s">
        <v>5503</v>
      </c>
      <c r="E1200" s="736">
        <v>9000</v>
      </c>
      <c r="F1200" s="638" t="s">
        <v>5587</v>
      </c>
      <c r="G1200" s="636" t="s">
        <v>5588</v>
      </c>
      <c r="H1200" s="636" t="s">
        <v>5506</v>
      </c>
      <c r="I1200" s="636" t="s">
        <v>5502</v>
      </c>
      <c r="J1200" s="644"/>
      <c r="K1200" s="739"/>
      <c r="L1200" s="735">
        <v>11</v>
      </c>
      <c r="M1200" s="735">
        <v>102797.39999999998</v>
      </c>
      <c r="N1200" s="739"/>
      <c r="O1200" s="735"/>
      <c r="P1200" s="736"/>
      <c r="Q1200" s="214"/>
    </row>
    <row r="1201" spans="1:17" ht="12" customHeight="1" x14ac:dyDescent="0.2">
      <c r="A1201" s="735" t="s">
        <v>5497</v>
      </c>
      <c r="B1201" s="735" t="s">
        <v>2170</v>
      </c>
      <c r="C1201" s="735" t="s">
        <v>451</v>
      </c>
      <c r="D1201" s="644" t="s">
        <v>5589</v>
      </c>
      <c r="E1201" s="736">
        <v>9000</v>
      </c>
      <c r="F1201" s="638" t="s">
        <v>5590</v>
      </c>
      <c r="G1201" s="636" t="s">
        <v>5591</v>
      </c>
      <c r="H1201" s="636" t="s">
        <v>5501</v>
      </c>
      <c r="I1201" s="636" t="s">
        <v>5502</v>
      </c>
      <c r="J1201" s="644"/>
      <c r="K1201" s="739"/>
      <c r="L1201" s="735">
        <v>12</v>
      </c>
      <c r="M1201" s="735">
        <v>109960.79999999997</v>
      </c>
      <c r="N1201" s="739"/>
      <c r="O1201" s="735">
        <v>2</v>
      </c>
      <c r="P1201" s="736">
        <v>28848.300000000003</v>
      </c>
      <c r="Q1201" s="214"/>
    </row>
    <row r="1202" spans="1:17" ht="12" customHeight="1" x14ac:dyDescent="0.2">
      <c r="A1202" s="735" t="s">
        <v>5497</v>
      </c>
      <c r="B1202" s="735" t="s">
        <v>2170</v>
      </c>
      <c r="C1202" s="735" t="s">
        <v>451</v>
      </c>
      <c r="D1202" s="644" t="s">
        <v>5592</v>
      </c>
      <c r="E1202" s="736">
        <v>6500</v>
      </c>
      <c r="F1202" s="638" t="s">
        <v>5593</v>
      </c>
      <c r="G1202" s="636" t="s">
        <v>5594</v>
      </c>
      <c r="H1202" s="636" t="s">
        <v>5595</v>
      </c>
      <c r="I1202" s="636" t="s">
        <v>5502</v>
      </c>
      <c r="J1202" s="644"/>
      <c r="K1202" s="739"/>
      <c r="L1202" s="735">
        <v>12</v>
      </c>
      <c r="M1202" s="735">
        <v>79960.799999999988</v>
      </c>
      <c r="N1202" s="739"/>
      <c r="O1202" s="735">
        <v>2</v>
      </c>
      <c r="P1202" s="736">
        <v>22881.629999999997</v>
      </c>
      <c r="Q1202" s="214"/>
    </row>
    <row r="1203" spans="1:17" ht="12" customHeight="1" x14ac:dyDescent="0.2">
      <c r="A1203" s="735" t="s">
        <v>5497</v>
      </c>
      <c r="B1203" s="735" t="s">
        <v>2170</v>
      </c>
      <c r="C1203" s="735" t="s">
        <v>451</v>
      </c>
      <c r="D1203" s="644" t="s">
        <v>5596</v>
      </c>
      <c r="E1203" s="736">
        <v>11000</v>
      </c>
      <c r="F1203" s="638" t="s">
        <v>5597</v>
      </c>
      <c r="G1203" s="636" t="s">
        <v>5598</v>
      </c>
      <c r="H1203" s="636" t="s">
        <v>5599</v>
      </c>
      <c r="I1203" s="636" t="s">
        <v>5502</v>
      </c>
      <c r="J1203" s="644"/>
      <c r="K1203" s="739"/>
      <c r="L1203" s="735">
        <v>12</v>
      </c>
      <c r="M1203" s="735">
        <v>133960.79999999996</v>
      </c>
      <c r="N1203" s="739"/>
      <c r="O1203" s="735">
        <v>6</v>
      </c>
      <c r="P1203" s="736">
        <v>67044.899999999994</v>
      </c>
      <c r="Q1203" s="214"/>
    </row>
    <row r="1204" spans="1:17" ht="12" customHeight="1" x14ac:dyDescent="0.2">
      <c r="A1204" s="735" t="s">
        <v>5497</v>
      </c>
      <c r="B1204" s="735" t="s">
        <v>2170</v>
      </c>
      <c r="C1204" s="735" t="s">
        <v>451</v>
      </c>
      <c r="D1204" s="644" t="s">
        <v>5600</v>
      </c>
      <c r="E1204" s="736">
        <v>9000</v>
      </c>
      <c r="F1204" s="638" t="s">
        <v>5601</v>
      </c>
      <c r="G1204" s="636" t="s">
        <v>5602</v>
      </c>
      <c r="H1204" s="636" t="s">
        <v>5506</v>
      </c>
      <c r="I1204" s="636" t="s">
        <v>5502</v>
      </c>
      <c r="J1204" s="644"/>
      <c r="K1204" s="739"/>
      <c r="L1204" s="735">
        <v>11</v>
      </c>
      <c r="M1204" s="735">
        <v>99947.39999999998</v>
      </c>
      <c r="N1204" s="739"/>
      <c r="O1204" s="735">
        <v>6</v>
      </c>
      <c r="P1204" s="736">
        <v>55044.9</v>
      </c>
      <c r="Q1204" s="214"/>
    </row>
    <row r="1205" spans="1:17" ht="12" customHeight="1" x14ac:dyDescent="0.2">
      <c r="A1205" s="735" t="s">
        <v>5497</v>
      </c>
      <c r="B1205" s="735" t="s">
        <v>2170</v>
      </c>
      <c r="C1205" s="735" t="s">
        <v>451</v>
      </c>
      <c r="D1205" s="644" t="s">
        <v>5603</v>
      </c>
      <c r="E1205" s="736">
        <v>3000</v>
      </c>
      <c r="F1205" s="638" t="s">
        <v>5604</v>
      </c>
      <c r="G1205" s="636" t="s">
        <v>5605</v>
      </c>
      <c r="H1205" s="636" t="s">
        <v>5606</v>
      </c>
      <c r="I1205" s="636"/>
      <c r="J1205" s="644" t="s">
        <v>5515</v>
      </c>
      <c r="K1205" s="739"/>
      <c r="L1205" s="735">
        <v>12</v>
      </c>
      <c r="M1205" s="735">
        <v>37960.80000000001</v>
      </c>
      <c r="N1205" s="739"/>
      <c r="O1205" s="735">
        <v>3</v>
      </c>
      <c r="P1205" s="736">
        <v>16472.45</v>
      </c>
      <c r="Q1205" s="214"/>
    </row>
    <row r="1206" spans="1:17" ht="12" customHeight="1" x14ac:dyDescent="0.2">
      <c r="A1206" s="735" t="s">
        <v>5497</v>
      </c>
      <c r="B1206" s="735" t="s">
        <v>2170</v>
      </c>
      <c r="C1206" s="735" t="s">
        <v>451</v>
      </c>
      <c r="D1206" s="644" t="s">
        <v>2261</v>
      </c>
      <c r="E1206" s="736">
        <v>3000</v>
      </c>
      <c r="F1206" s="638" t="s">
        <v>5607</v>
      </c>
      <c r="G1206" s="636" t="s">
        <v>5608</v>
      </c>
      <c r="H1206" s="636" t="s">
        <v>5609</v>
      </c>
      <c r="I1206" s="636"/>
      <c r="J1206" s="644" t="s">
        <v>5515</v>
      </c>
      <c r="K1206" s="739"/>
      <c r="L1206" s="735">
        <v>12</v>
      </c>
      <c r="M1206" s="735">
        <v>37960.80000000001</v>
      </c>
      <c r="N1206" s="739"/>
      <c r="O1206" s="735">
        <v>6</v>
      </c>
      <c r="P1206" s="736">
        <v>19044.900000000001</v>
      </c>
      <c r="Q1206" s="214"/>
    </row>
    <row r="1207" spans="1:17" ht="12" customHeight="1" x14ac:dyDescent="0.2">
      <c r="A1207" s="735" t="s">
        <v>5497</v>
      </c>
      <c r="B1207" s="735" t="s">
        <v>2170</v>
      </c>
      <c r="C1207" s="735" t="s">
        <v>451</v>
      </c>
      <c r="D1207" s="644" t="s">
        <v>5610</v>
      </c>
      <c r="E1207" s="736">
        <v>5000</v>
      </c>
      <c r="F1207" s="638" t="s">
        <v>5611</v>
      </c>
      <c r="G1207" s="636" t="s">
        <v>5612</v>
      </c>
      <c r="H1207" s="636" t="s">
        <v>5613</v>
      </c>
      <c r="I1207" s="636"/>
      <c r="J1207" s="644" t="s">
        <v>5515</v>
      </c>
      <c r="K1207" s="739"/>
      <c r="L1207" s="735">
        <v>12</v>
      </c>
      <c r="M1207" s="735">
        <v>62127.470000000008</v>
      </c>
      <c r="N1207" s="739"/>
      <c r="O1207" s="735">
        <v>6</v>
      </c>
      <c r="P1207" s="736">
        <v>31044.9</v>
      </c>
      <c r="Q1207" s="214"/>
    </row>
    <row r="1208" spans="1:17" ht="12" customHeight="1" x14ac:dyDescent="0.2">
      <c r="A1208" s="735" t="s">
        <v>5497</v>
      </c>
      <c r="B1208" s="735" t="s">
        <v>2170</v>
      </c>
      <c r="C1208" s="735" t="s">
        <v>451</v>
      </c>
      <c r="D1208" s="644" t="s">
        <v>5614</v>
      </c>
      <c r="E1208" s="736">
        <v>9000</v>
      </c>
      <c r="F1208" s="638" t="s">
        <v>5615</v>
      </c>
      <c r="G1208" s="636" t="s">
        <v>5616</v>
      </c>
      <c r="H1208" s="636" t="s">
        <v>5506</v>
      </c>
      <c r="I1208" s="636" t="s">
        <v>5502</v>
      </c>
      <c r="J1208" s="644"/>
      <c r="K1208" s="739"/>
      <c r="L1208" s="735">
        <v>12</v>
      </c>
      <c r="M1208" s="735">
        <v>109628.79999999997</v>
      </c>
      <c r="N1208" s="739"/>
      <c r="O1208" s="735">
        <v>6</v>
      </c>
      <c r="P1208" s="736">
        <v>54279.9</v>
      </c>
      <c r="Q1208" s="214"/>
    </row>
    <row r="1209" spans="1:17" ht="12" customHeight="1" x14ac:dyDescent="0.2">
      <c r="A1209" s="735" t="s">
        <v>5497</v>
      </c>
      <c r="B1209" s="735" t="s">
        <v>2170</v>
      </c>
      <c r="C1209" s="735" t="s">
        <v>451</v>
      </c>
      <c r="D1209" s="644" t="s">
        <v>5617</v>
      </c>
      <c r="E1209" s="736">
        <v>4500</v>
      </c>
      <c r="F1209" s="638" t="s">
        <v>5618</v>
      </c>
      <c r="G1209" s="636" t="s">
        <v>5619</v>
      </c>
      <c r="H1209" s="636" t="s">
        <v>5620</v>
      </c>
      <c r="I1209" s="636"/>
      <c r="J1209" s="644" t="s">
        <v>5515</v>
      </c>
      <c r="K1209" s="739"/>
      <c r="L1209" s="735">
        <v>12</v>
      </c>
      <c r="M1209" s="735">
        <v>55960.80000000001</v>
      </c>
      <c r="N1209" s="739"/>
      <c r="O1209" s="735">
        <v>6</v>
      </c>
      <c r="P1209" s="736">
        <v>28044.9</v>
      </c>
      <c r="Q1209" s="214"/>
    </row>
    <row r="1210" spans="1:17" ht="12" customHeight="1" x14ac:dyDescent="0.2">
      <c r="A1210" s="735" t="s">
        <v>5497</v>
      </c>
      <c r="B1210" s="735" t="s">
        <v>2170</v>
      </c>
      <c r="C1210" s="735" t="s">
        <v>451</v>
      </c>
      <c r="D1210" s="644" t="s">
        <v>2258</v>
      </c>
      <c r="E1210" s="736">
        <v>7000</v>
      </c>
      <c r="F1210" s="638" t="s">
        <v>5621</v>
      </c>
      <c r="G1210" s="636" t="s">
        <v>5622</v>
      </c>
      <c r="H1210" s="636" t="s">
        <v>5623</v>
      </c>
      <c r="I1210" s="636" t="s">
        <v>5502</v>
      </c>
      <c r="J1210" s="644"/>
      <c r="K1210" s="739"/>
      <c r="L1210" s="735">
        <v>5</v>
      </c>
      <c r="M1210" s="735">
        <v>28975.83</v>
      </c>
      <c r="N1210" s="739"/>
      <c r="O1210" s="735">
        <v>6</v>
      </c>
      <c r="P1210" s="736">
        <v>43044.9</v>
      </c>
      <c r="Q1210" s="214"/>
    </row>
    <row r="1211" spans="1:17" ht="12" customHeight="1" x14ac:dyDescent="0.2">
      <c r="A1211" s="735" t="s">
        <v>5497</v>
      </c>
      <c r="B1211" s="735" t="s">
        <v>2170</v>
      </c>
      <c r="C1211" s="735" t="s">
        <v>451</v>
      </c>
      <c r="D1211" s="644" t="s">
        <v>5624</v>
      </c>
      <c r="E1211" s="736">
        <v>9000</v>
      </c>
      <c r="F1211" s="638" t="s">
        <v>5625</v>
      </c>
      <c r="G1211" s="636" t="s">
        <v>5626</v>
      </c>
      <c r="H1211" s="636" t="s">
        <v>5501</v>
      </c>
      <c r="I1211" s="636" t="s">
        <v>5502</v>
      </c>
      <c r="J1211" s="644"/>
      <c r="K1211" s="739"/>
      <c r="L1211" s="735">
        <v>12</v>
      </c>
      <c r="M1211" s="735">
        <v>109960.79999999997</v>
      </c>
      <c r="N1211" s="739"/>
      <c r="O1211" s="735">
        <v>6</v>
      </c>
      <c r="P1211" s="736">
        <v>55044.9</v>
      </c>
      <c r="Q1211" s="214"/>
    </row>
    <row r="1212" spans="1:17" ht="12" customHeight="1" x14ac:dyDescent="0.2">
      <c r="A1212" s="735" t="s">
        <v>5497</v>
      </c>
      <c r="B1212" s="735" t="s">
        <v>2170</v>
      </c>
      <c r="C1212" s="735" t="s">
        <v>451</v>
      </c>
      <c r="D1212" s="644" t="s">
        <v>5627</v>
      </c>
      <c r="E1212" s="736">
        <v>9000</v>
      </c>
      <c r="F1212" s="638" t="s">
        <v>5628</v>
      </c>
      <c r="G1212" s="636" t="s">
        <v>5629</v>
      </c>
      <c r="H1212" s="636" t="s">
        <v>5506</v>
      </c>
      <c r="I1212" s="636" t="s">
        <v>5502</v>
      </c>
      <c r="J1212" s="644"/>
      <c r="K1212" s="739"/>
      <c r="L1212" s="735">
        <v>12</v>
      </c>
      <c r="M1212" s="735">
        <v>124294.12999999996</v>
      </c>
      <c r="N1212" s="739"/>
      <c r="O1212" s="735">
        <v>6</v>
      </c>
      <c r="P1212" s="736">
        <v>55044.9</v>
      </c>
      <c r="Q1212" s="214"/>
    </row>
    <row r="1213" spans="1:17" ht="12" customHeight="1" x14ac:dyDescent="0.2">
      <c r="A1213" s="735" t="s">
        <v>5497</v>
      </c>
      <c r="B1213" s="735" t="s">
        <v>2170</v>
      </c>
      <c r="C1213" s="735" t="s">
        <v>451</v>
      </c>
      <c r="D1213" s="644" t="s">
        <v>3309</v>
      </c>
      <c r="E1213" s="736">
        <v>12000</v>
      </c>
      <c r="F1213" s="638" t="s">
        <v>5630</v>
      </c>
      <c r="G1213" s="636" t="s">
        <v>5631</v>
      </c>
      <c r="H1213" s="636" t="s">
        <v>5501</v>
      </c>
      <c r="I1213" s="636" t="s">
        <v>5502</v>
      </c>
      <c r="J1213" s="644"/>
      <c r="K1213" s="739"/>
      <c r="L1213" s="735">
        <v>12</v>
      </c>
      <c r="M1213" s="735">
        <v>145960.79999999996</v>
      </c>
      <c r="N1213" s="739"/>
      <c r="O1213" s="735">
        <v>6</v>
      </c>
      <c r="P1213" s="736">
        <v>73044.899999999994</v>
      </c>
      <c r="Q1213" s="214"/>
    </row>
    <row r="1214" spans="1:17" ht="12" customHeight="1" x14ac:dyDescent="0.2">
      <c r="A1214" s="735" t="s">
        <v>5497</v>
      </c>
      <c r="B1214" s="735" t="s">
        <v>2170</v>
      </c>
      <c r="C1214" s="735" t="s">
        <v>451</v>
      </c>
      <c r="D1214" s="644" t="s">
        <v>5632</v>
      </c>
      <c r="E1214" s="736">
        <v>8000</v>
      </c>
      <c r="F1214" s="638" t="s">
        <v>5633</v>
      </c>
      <c r="G1214" s="636" t="s">
        <v>5634</v>
      </c>
      <c r="H1214" s="636" t="s">
        <v>5506</v>
      </c>
      <c r="I1214" s="636" t="s">
        <v>5502</v>
      </c>
      <c r="J1214" s="644"/>
      <c r="K1214" s="739"/>
      <c r="L1214" s="735">
        <v>12</v>
      </c>
      <c r="M1214" s="735">
        <v>97960.799999999988</v>
      </c>
      <c r="N1214" s="739"/>
      <c r="O1214" s="735">
        <v>6</v>
      </c>
      <c r="P1214" s="736">
        <v>49044.9</v>
      </c>
      <c r="Q1214" s="214"/>
    </row>
    <row r="1215" spans="1:17" ht="12" customHeight="1" x14ac:dyDescent="0.2">
      <c r="A1215" s="735" t="s">
        <v>5497</v>
      </c>
      <c r="B1215" s="735" t="s">
        <v>2170</v>
      </c>
      <c r="C1215" s="735" t="s">
        <v>451</v>
      </c>
      <c r="D1215" s="644" t="s">
        <v>5503</v>
      </c>
      <c r="E1215" s="736">
        <v>9000</v>
      </c>
      <c r="F1215" s="638" t="s">
        <v>5635</v>
      </c>
      <c r="G1215" s="636" t="s">
        <v>5636</v>
      </c>
      <c r="H1215" s="636" t="s">
        <v>5501</v>
      </c>
      <c r="I1215" s="636" t="s">
        <v>5502</v>
      </c>
      <c r="J1215" s="644"/>
      <c r="K1215" s="739"/>
      <c r="L1215" s="735">
        <v>8</v>
      </c>
      <c r="M1215" s="735">
        <v>77682.2</v>
      </c>
      <c r="N1215" s="739"/>
      <c r="O1215" s="735"/>
      <c r="P1215" s="736"/>
      <c r="Q1215" s="214"/>
    </row>
    <row r="1216" spans="1:17" ht="12" customHeight="1" x14ac:dyDescent="0.2">
      <c r="A1216" s="735" t="s">
        <v>5497</v>
      </c>
      <c r="B1216" s="735" t="s">
        <v>2170</v>
      </c>
      <c r="C1216" s="735" t="s">
        <v>451</v>
      </c>
      <c r="D1216" s="644" t="s">
        <v>5551</v>
      </c>
      <c r="E1216" s="736">
        <v>10000</v>
      </c>
      <c r="F1216" s="638" t="s">
        <v>5637</v>
      </c>
      <c r="G1216" s="636" t="s">
        <v>5638</v>
      </c>
      <c r="H1216" s="636" t="s">
        <v>5506</v>
      </c>
      <c r="I1216" s="636" t="s">
        <v>5502</v>
      </c>
      <c r="J1216" s="644"/>
      <c r="K1216" s="739"/>
      <c r="L1216" s="735">
        <v>12</v>
      </c>
      <c r="M1216" s="735">
        <v>121960.79999999997</v>
      </c>
      <c r="N1216" s="739"/>
      <c r="O1216" s="735">
        <v>6</v>
      </c>
      <c r="P1216" s="736">
        <v>61044.9</v>
      </c>
      <c r="Q1216" s="214"/>
    </row>
    <row r="1217" spans="1:17" ht="12" customHeight="1" x14ac:dyDescent="0.2">
      <c r="A1217" s="735" t="s">
        <v>5497</v>
      </c>
      <c r="B1217" s="735" t="s">
        <v>2170</v>
      </c>
      <c r="C1217" s="735" t="s">
        <v>451</v>
      </c>
      <c r="D1217" s="644" t="s">
        <v>5639</v>
      </c>
      <c r="E1217" s="736">
        <v>9000</v>
      </c>
      <c r="F1217" s="638" t="s">
        <v>5640</v>
      </c>
      <c r="G1217" s="636" t="s">
        <v>5641</v>
      </c>
      <c r="H1217" s="636" t="s">
        <v>5541</v>
      </c>
      <c r="I1217" s="636" t="s">
        <v>5502</v>
      </c>
      <c r="J1217" s="644"/>
      <c r="K1217" s="739"/>
      <c r="L1217" s="735">
        <v>12</v>
      </c>
      <c r="M1217" s="735">
        <v>109960.79999999997</v>
      </c>
      <c r="N1217" s="739"/>
      <c r="O1217" s="735">
        <v>6</v>
      </c>
      <c r="P1217" s="736">
        <v>50504.1</v>
      </c>
      <c r="Q1217" s="214"/>
    </row>
    <row r="1218" spans="1:17" ht="12" customHeight="1" x14ac:dyDescent="0.2">
      <c r="A1218" s="735" t="s">
        <v>5497</v>
      </c>
      <c r="B1218" s="735" t="s">
        <v>2170</v>
      </c>
      <c r="C1218" s="735" t="s">
        <v>451</v>
      </c>
      <c r="D1218" s="644" t="s">
        <v>5642</v>
      </c>
      <c r="E1218" s="736">
        <v>12000</v>
      </c>
      <c r="F1218" s="638" t="s">
        <v>5643</v>
      </c>
      <c r="G1218" s="636" t="s">
        <v>5644</v>
      </c>
      <c r="H1218" s="636" t="s">
        <v>5501</v>
      </c>
      <c r="I1218" s="636" t="s">
        <v>5502</v>
      </c>
      <c r="J1218" s="644"/>
      <c r="K1218" s="739"/>
      <c r="L1218" s="735">
        <v>12</v>
      </c>
      <c r="M1218" s="735">
        <v>145960.79999999996</v>
      </c>
      <c r="N1218" s="739"/>
      <c r="O1218" s="735">
        <v>6</v>
      </c>
      <c r="P1218" s="736">
        <v>73044.899999999994</v>
      </c>
      <c r="Q1218" s="214"/>
    </row>
    <row r="1219" spans="1:17" ht="12" customHeight="1" x14ac:dyDescent="0.2">
      <c r="A1219" s="735" t="s">
        <v>5497</v>
      </c>
      <c r="B1219" s="735" t="s">
        <v>2170</v>
      </c>
      <c r="C1219" s="735" t="s">
        <v>451</v>
      </c>
      <c r="D1219" s="644" t="s">
        <v>5645</v>
      </c>
      <c r="E1219" s="736">
        <v>10000</v>
      </c>
      <c r="F1219" s="638" t="s">
        <v>5646</v>
      </c>
      <c r="G1219" s="636" t="s">
        <v>5647</v>
      </c>
      <c r="H1219" s="636" t="s">
        <v>5501</v>
      </c>
      <c r="I1219" s="636" t="s">
        <v>5502</v>
      </c>
      <c r="J1219" s="644"/>
      <c r="K1219" s="739"/>
      <c r="L1219" s="735">
        <v>12</v>
      </c>
      <c r="M1219" s="735">
        <v>121960.79999999997</v>
      </c>
      <c r="N1219" s="739"/>
      <c r="O1219" s="735">
        <v>6</v>
      </c>
      <c r="P1219" s="736">
        <v>61044.9</v>
      </c>
      <c r="Q1219" s="214"/>
    </row>
    <row r="1220" spans="1:17" ht="12" customHeight="1" x14ac:dyDescent="0.2">
      <c r="A1220" s="735" t="s">
        <v>5497</v>
      </c>
      <c r="B1220" s="735" t="s">
        <v>2170</v>
      </c>
      <c r="C1220" s="735" t="s">
        <v>451</v>
      </c>
      <c r="D1220" s="644" t="s">
        <v>5648</v>
      </c>
      <c r="E1220" s="736">
        <v>9000</v>
      </c>
      <c r="F1220" s="638" t="s">
        <v>5649</v>
      </c>
      <c r="G1220" s="636" t="s">
        <v>5650</v>
      </c>
      <c r="H1220" s="636" t="s">
        <v>5501</v>
      </c>
      <c r="I1220" s="636" t="s">
        <v>5502</v>
      </c>
      <c r="J1220" s="644"/>
      <c r="K1220" s="739"/>
      <c r="L1220" s="735">
        <v>6</v>
      </c>
      <c r="M1220" s="735">
        <v>53780.4</v>
      </c>
      <c r="N1220" s="739"/>
      <c r="O1220" s="735">
        <v>6</v>
      </c>
      <c r="P1220" s="736">
        <v>55044.9</v>
      </c>
      <c r="Q1220" s="214"/>
    </row>
    <row r="1221" spans="1:17" ht="12" customHeight="1" x14ac:dyDescent="0.2">
      <c r="A1221" s="735" t="s">
        <v>5497</v>
      </c>
      <c r="B1221" s="735" t="s">
        <v>2170</v>
      </c>
      <c r="C1221" s="735" t="s">
        <v>451</v>
      </c>
      <c r="D1221" s="644" t="s">
        <v>5651</v>
      </c>
      <c r="E1221" s="736">
        <v>5000</v>
      </c>
      <c r="F1221" s="638" t="s">
        <v>5652</v>
      </c>
      <c r="G1221" s="636" t="s">
        <v>5653</v>
      </c>
      <c r="H1221" s="636" t="s">
        <v>5654</v>
      </c>
      <c r="I1221" s="636" t="s">
        <v>5502</v>
      </c>
      <c r="J1221" s="644"/>
      <c r="K1221" s="739"/>
      <c r="L1221" s="735">
        <v>12</v>
      </c>
      <c r="M1221" s="735">
        <v>61960.80000000001</v>
      </c>
      <c r="N1221" s="739"/>
      <c r="O1221" s="735">
        <v>6</v>
      </c>
      <c r="P1221" s="736">
        <v>31044.9</v>
      </c>
      <c r="Q1221" s="214"/>
    </row>
    <row r="1222" spans="1:17" ht="12" customHeight="1" x14ac:dyDescent="0.2">
      <c r="A1222" s="735" t="s">
        <v>5497</v>
      </c>
      <c r="B1222" s="735" t="s">
        <v>2170</v>
      </c>
      <c r="C1222" s="735" t="s">
        <v>451</v>
      </c>
      <c r="D1222" s="644" t="s">
        <v>2943</v>
      </c>
      <c r="E1222" s="736">
        <v>8000</v>
      </c>
      <c r="F1222" s="638" t="s">
        <v>5655</v>
      </c>
      <c r="G1222" s="636" t="s">
        <v>5656</v>
      </c>
      <c r="H1222" s="636" t="s">
        <v>5578</v>
      </c>
      <c r="I1222" s="636" t="s">
        <v>5502</v>
      </c>
      <c r="J1222" s="644"/>
      <c r="K1222" s="739"/>
      <c r="L1222" s="735">
        <v>12</v>
      </c>
      <c r="M1222" s="735">
        <v>97960.799999999988</v>
      </c>
      <c r="N1222" s="739"/>
      <c r="O1222" s="735">
        <v>6</v>
      </c>
      <c r="P1222" s="736">
        <v>49044.9</v>
      </c>
      <c r="Q1222" s="214"/>
    </row>
    <row r="1223" spans="1:17" ht="12" customHeight="1" x14ac:dyDescent="0.2">
      <c r="A1223" s="735" t="s">
        <v>5497</v>
      </c>
      <c r="B1223" s="735" t="s">
        <v>2170</v>
      </c>
      <c r="C1223" s="735" t="s">
        <v>451</v>
      </c>
      <c r="D1223" s="644" t="s">
        <v>5657</v>
      </c>
      <c r="E1223" s="736">
        <v>9000</v>
      </c>
      <c r="F1223" s="638" t="s">
        <v>5658</v>
      </c>
      <c r="G1223" s="636" t="s">
        <v>5659</v>
      </c>
      <c r="H1223" s="636" t="s">
        <v>5506</v>
      </c>
      <c r="I1223" s="636" t="s">
        <v>5502</v>
      </c>
      <c r="J1223" s="644"/>
      <c r="K1223" s="739"/>
      <c r="L1223" s="735"/>
      <c r="M1223" s="735"/>
      <c r="N1223" s="739"/>
      <c r="O1223" s="735">
        <v>5</v>
      </c>
      <c r="P1223" s="736">
        <v>38970.75</v>
      </c>
      <c r="Q1223" s="214"/>
    </row>
    <row r="1224" spans="1:17" ht="12" customHeight="1" x14ac:dyDescent="0.2">
      <c r="A1224" s="735" t="s">
        <v>5497</v>
      </c>
      <c r="B1224" s="735" t="s">
        <v>2170</v>
      </c>
      <c r="C1224" s="735" t="s">
        <v>451</v>
      </c>
      <c r="D1224" s="644" t="s">
        <v>2265</v>
      </c>
      <c r="E1224" s="736">
        <v>9000</v>
      </c>
      <c r="F1224" s="638" t="s">
        <v>5660</v>
      </c>
      <c r="G1224" s="636" t="s">
        <v>5661</v>
      </c>
      <c r="H1224" s="636" t="s">
        <v>2186</v>
      </c>
      <c r="I1224" s="636" t="s">
        <v>5502</v>
      </c>
      <c r="J1224" s="644"/>
      <c r="K1224" s="739"/>
      <c r="L1224" s="735">
        <v>12</v>
      </c>
      <c r="M1224" s="735">
        <v>109960.79999999997</v>
      </c>
      <c r="N1224" s="739"/>
      <c r="O1224" s="735">
        <v>6</v>
      </c>
      <c r="P1224" s="736">
        <v>79503.23</v>
      </c>
      <c r="Q1224" s="214"/>
    </row>
    <row r="1225" spans="1:17" ht="12" customHeight="1" x14ac:dyDescent="0.2">
      <c r="A1225" s="735" t="s">
        <v>5497</v>
      </c>
      <c r="B1225" s="735" t="s">
        <v>2170</v>
      </c>
      <c r="C1225" s="735" t="s">
        <v>451</v>
      </c>
      <c r="D1225" s="644" t="s">
        <v>5560</v>
      </c>
      <c r="E1225" s="736">
        <v>9000</v>
      </c>
      <c r="F1225" s="638" t="s">
        <v>5662</v>
      </c>
      <c r="G1225" s="636" t="s">
        <v>5663</v>
      </c>
      <c r="H1225" s="636" t="s">
        <v>5501</v>
      </c>
      <c r="I1225" s="636" t="s">
        <v>5502</v>
      </c>
      <c r="J1225" s="644"/>
      <c r="K1225" s="739"/>
      <c r="L1225" s="735">
        <v>12</v>
      </c>
      <c r="M1225" s="735">
        <v>109540.79999999997</v>
      </c>
      <c r="N1225" s="739"/>
      <c r="O1225" s="735">
        <v>6</v>
      </c>
      <c r="P1225" s="736">
        <v>55044.9</v>
      </c>
      <c r="Q1225" s="214"/>
    </row>
    <row r="1226" spans="1:17" ht="12" customHeight="1" x14ac:dyDescent="0.2">
      <c r="A1226" s="735" t="s">
        <v>5497</v>
      </c>
      <c r="B1226" s="735" t="s">
        <v>2170</v>
      </c>
      <c r="C1226" s="735" t="s">
        <v>451</v>
      </c>
      <c r="D1226" s="644" t="s">
        <v>5664</v>
      </c>
      <c r="E1226" s="736">
        <v>14000</v>
      </c>
      <c r="F1226" s="638" t="s">
        <v>5665</v>
      </c>
      <c r="G1226" s="636" t="s">
        <v>5666</v>
      </c>
      <c r="H1226" s="636" t="s">
        <v>2675</v>
      </c>
      <c r="I1226" s="636" t="s">
        <v>5502</v>
      </c>
      <c r="J1226" s="644"/>
      <c r="K1226" s="739"/>
      <c r="L1226" s="735">
        <v>12</v>
      </c>
      <c r="M1226" s="735">
        <v>169960.79999999996</v>
      </c>
      <c r="N1226" s="739"/>
      <c r="O1226" s="735">
        <v>6</v>
      </c>
      <c r="P1226" s="736">
        <v>85044.9</v>
      </c>
      <c r="Q1226" s="214"/>
    </row>
    <row r="1227" spans="1:17" ht="12" customHeight="1" x14ac:dyDescent="0.2">
      <c r="A1227" s="735" t="s">
        <v>5497</v>
      </c>
      <c r="B1227" s="735" t="s">
        <v>2170</v>
      </c>
      <c r="C1227" s="735" t="s">
        <v>451</v>
      </c>
      <c r="D1227" s="644" t="s">
        <v>5667</v>
      </c>
      <c r="E1227" s="736">
        <v>8000</v>
      </c>
      <c r="F1227" s="740" t="s">
        <v>5668</v>
      </c>
      <c r="G1227" s="636" t="s">
        <v>5669</v>
      </c>
      <c r="H1227" s="636" t="s">
        <v>5670</v>
      </c>
      <c r="I1227" s="636" t="s">
        <v>5502</v>
      </c>
      <c r="J1227" s="644"/>
      <c r="K1227" s="739"/>
      <c r="L1227" s="735">
        <v>1</v>
      </c>
      <c r="M1227" s="735">
        <v>555.55999999999995</v>
      </c>
      <c r="N1227" s="739"/>
      <c r="O1227" s="735"/>
      <c r="P1227" s="736"/>
      <c r="Q1227" s="214"/>
    </row>
    <row r="1228" spans="1:17" ht="12" customHeight="1" x14ac:dyDescent="0.2">
      <c r="A1228" s="735" t="s">
        <v>5497</v>
      </c>
      <c r="B1228" s="735" t="s">
        <v>2170</v>
      </c>
      <c r="C1228" s="735" t="s">
        <v>451</v>
      </c>
      <c r="D1228" s="644" t="s">
        <v>5671</v>
      </c>
      <c r="E1228" s="736">
        <v>9000</v>
      </c>
      <c r="F1228" s="638" t="s">
        <v>5672</v>
      </c>
      <c r="G1228" s="636" t="s">
        <v>5673</v>
      </c>
      <c r="H1228" s="636" t="s">
        <v>5501</v>
      </c>
      <c r="I1228" s="636" t="s">
        <v>5502</v>
      </c>
      <c r="J1228" s="644"/>
      <c r="K1228" s="739"/>
      <c r="L1228" s="735">
        <v>12</v>
      </c>
      <c r="M1228" s="735">
        <v>109960.79999999997</v>
      </c>
      <c r="N1228" s="739"/>
      <c r="O1228" s="735">
        <v>6</v>
      </c>
      <c r="P1228" s="736">
        <v>55044.9</v>
      </c>
      <c r="Q1228" s="214"/>
    </row>
    <row r="1229" spans="1:17" ht="12" customHeight="1" x14ac:dyDescent="0.2">
      <c r="A1229" s="735" t="s">
        <v>5497</v>
      </c>
      <c r="B1229" s="735" t="s">
        <v>2170</v>
      </c>
      <c r="C1229" s="735" t="s">
        <v>451</v>
      </c>
      <c r="D1229" s="644" t="s">
        <v>5674</v>
      </c>
      <c r="E1229" s="736">
        <v>14000</v>
      </c>
      <c r="F1229" s="638" t="s">
        <v>5675</v>
      </c>
      <c r="G1229" s="636" t="s">
        <v>5676</v>
      </c>
      <c r="H1229" s="636" t="s">
        <v>5501</v>
      </c>
      <c r="I1229" s="636" t="s">
        <v>5502</v>
      </c>
      <c r="J1229" s="644"/>
      <c r="K1229" s="739"/>
      <c r="L1229" s="735">
        <v>12</v>
      </c>
      <c r="M1229" s="735">
        <v>169960.79999999996</v>
      </c>
      <c r="N1229" s="739"/>
      <c r="O1229" s="735">
        <v>6</v>
      </c>
      <c r="P1229" s="736">
        <v>85044.9</v>
      </c>
      <c r="Q1229" s="214"/>
    </row>
    <row r="1230" spans="1:17" ht="12" customHeight="1" x14ac:dyDescent="0.2">
      <c r="A1230" s="735" t="s">
        <v>5497</v>
      </c>
      <c r="B1230" s="735" t="s">
        <v>2170</v>
      </c>
      <c r="C1230" s="735" t="s">
        <v>451</v>
      </c>
      <c r="D1230" s="644" t="s">
        <v>5624</v>
      </c>
      <c r="E1230" s="736">
        <v>9000</v>
      </c>
      <c r="F1230" s="638" t="s">
        <v>5677</v>
      </c>
      <c r="G1230" s="636" t="s">
        <v>5678</v>
      </c>
      <c r="H1230" s="636" t="s">
        <v>5501</v>
      </c>
      <c r="I1230" s="636" t="s">
        <v>5502</v>
      </c>
      <c r="J1230" s="644"/>
      <c r="K1230" s="739"/>
      <c r="L1230" s="735">
        <v>12</v>
      </c>
      <c r="M1230" s="735">
        <v>109960.79999999997</v>
      </c>
      <c r="N1230" s="739"/>
      <c r="O1230" s="735">
        <v>6</v>
      </c>
      <c r="P1230" s="736">
        <v>55044.9</v>
      </c>
      <c r="Q1230" s="214"/>
    </row>
    <row r="1231" spans="1:17" ht="12" customHeight="1" x14ac:dyDescent="0.2">
      <c r="A1231" s="735" t="s">
        <v>5497</v>
      </c>
      <c r="B1231" s="735" t="s">
        <v>2170</v>
      </c>
      <c r="C1231" s="735" t="s">
        <v>451</v>
      </c>
      <c r="D1231" s="644" t="s">
        <v>5503</v>
      </c>
      <c r="E1231" s="736">
        <v>9000</v>
      </c>
      <c r="F1231" s="638" t="s">
        <v>5679</v>
      </c>
      <c r="G1231" s="636" t="s">
        <v>5680</v>
      </c>
      <c r="H1231" s="636" t="s">
        <v>5501</v>
      </c>
      <c r="I1231" s="636" t="s">
        <v>5502</v>
      </c>
      <c r="J1231" s="644"/>
      <c r="K1231" s="739"/>
      <c r="L1231" s="735">
        <v>12</v>
      </c>
      <c r="M1231" s="735">
        <v>109960.79999999997</v>
      </c>
      <c r="N1231" s="739"/>
      <c r="O1231" s="735">
        <v>6</v>
      </c>
      <c r="P1231" s="736">
        <v>55044.9</v>
      </c>
      <c r="Q1231" s="214"/>
    </row>
    <row r="1232" spans="1:17" ht="12" customHeight="1" x14ac:dyDescent="0.2">
      <c r="A1232" s="735" t="s">
        <v>5497</v>
      </c>
      <c r="B1232" s="735" t="s">
        <v>2170</v>
      </c>
      <c r="C1232" s="735" t="s">
        <v>451</v>
      </c>
      <c r="D1232" s="644" t="s">
        <v>5503</v>
      </c>
      <c r="E1232" s="736">
        <v>9000</v>
      </c>
      <c r="F1232" s="638" t="s">
        <v>5681</v>
      </c>
      <c r="G1232" s="636" t="s">
        <v>5682</v>
      </c>
      <c r="H1232" s="636" t="s">
        <v>5501</v>
      </c>
      <c r="I1232" s="636" t="s">
        <v>5502</v>
      </c>
      <c r="J1232" s="644"/>
      <c r="K1232" s="739"/>
      <c r="L1232" s="735">
        <v>12</v>
      </c>
      <c r="M1232" s="735">
        <v>109960.79999999997</v>
      </c>
      <c r="N1232" s="739"/>
      <c r="O1232" s="735">
        <v>6</v>
      </c>
      <c r="P1232" s="736">
        <v>55044.9</v>
      </c>
      <c r="Q1232" s="214"/>
    </row>
    <row r="1233" spans="1:17" ht="12" customHeight="1" x14ac:dyDescent="0.2">
      <c r="A1233" s="735" t="s">
        <v>5497</v>
      </c>
      <c r="B1233" s="735" t="s">
        <v>2170</v>
      </c>
      <c r="C1233" s="735" t="s">
        <v>451</v>
      </c>
      <c r="D1233" s="644" t="s">
        <v>5579</v>
      </c>
      <c r="E1233" s="736">
        <v>9000</v>
      </c>
      <c r="F1233" s="638" t="s">
        <v>5683</v>
      </c>
      <c r="G1233" s="636" t="s">
        <v>5684</v>
      </c>
      <c r="H1233" s="636" t="s">
        <v>5501</v>
      </c>
      <c r="I1233" s="636" t="s">
        <v>5502</v>
      </c>
      <c r="J1233" s="644"/>
      <c r="K1233" s="739"/>
      <c r="L1233" s="735">
        <v>12</v>
      </c>
      <c r="M1233" s="735">
        <v>109960.79999999997</v>
      </c>
      <c r="N1233" s="739"/>
      <c r="O1233" s="735">
        <v>6</v>
      </c>
      <c r="P1233" s="736">
        <v>55044.9</v>
      </c>
      <c r="Q1233" s="214"/>
    </row>
    <row r="1234" spans="1:17" ht="12" customHeight="1" x14ac:dyDescent="0.2">
      <c r="A1234" s="735" t="s">
        <v>5497</v>
      </c>
      <c r="B1234" s="735" t="s">
        <v>2170</v>
      </c>
      <c r="C1234" s="735" t="s">
        <v>451</v>
      </c>
      <c r="D1234" s="644" t="s">
        <v>2394</v>
      </c>
      <c r="E1234" s="736">
        <v>10000</v>
      </c>
      <c r="F1234" s="638" t="s">
        <v>5685</v>
      </c>
      <c r="G1234" s="636" t="s">
        <v>5686</v>
      </c>
      <c r="H1234" s="636" t="s">
        <v>5510</v>
      </c>
      <c r="I1234" s="636" t="s">
        <v>5502</v>
      </c>
      <c r="J1234" s="644"/>
      <c r="K1234" s="739"/>
      <c r="L1234" s="735">
        <v>12</v>
      </c>
      <c r="M1234" s="735">
        <v>121849.68999999997</v>
      </c>
      <c r="N1234" s="739"/>
      <c r="O1234" s="735"/>
      <c r="P1234" s="736"/>
      <c r="Q1234" s="214"/>
    </row>
    <row r="1235" spans="1:17" ht="12" customHeight="1" x14ac:dyDescent="0.2">
      <c r="A1235" s="735" t="s">
        <v>5497</v>
      </c>
      <c r="B1235" s="735" t="s">
        <v>2170</v>
      </c>
      <c r="C1235" s="735" t="s">
        <v>451</v>
      </c>
      <c r="D1235" s="644" t="s">
        <v>5671</v>
      </c>
      <c r="E1235" s="736">
        <v>11500</v>
      </c>
      <c r="F1235" s="638" t="s">
        <v>5687</v>
      </c>
      <c r="G1235" s="636" t="s">
        <v>5688</v>
      </c>
      <c r="H1235" s="636" t="s">
        <v>5501</v>
      </c>
      <c r="I1235" s="636" t="s">
        <v>5502</v>
      </c>
      <c r="J1235" s="644"/>
      <c r="K1235" s="739"/>
      <c r="L1235" s="735">
        <v>12</v>
      </c>
      <c r="M1235" s="735">
        <v>166519.12999999995</v>
      </c>
      <c r="N1235" s="739"/>
      <c r="O1235" s="735">
        <v>6</v>
      </c>
      <c r="P1235" s="736">
        <v>73044.899999999994</v>
      </c>
      <c r="Q1235" s="214"/>
    </row>
    <row r="1236" spans="1:17" ht="12" customHeight="1" x14ac:dyDescent="0.2">
      <c r="A1236" s="735" t="s">
        <v>5497</v>
      </c>
      <c r="B1236" s="735" t="s">
        <v>2170</v>
      </c>
      <c r="C1236" s="735" t="s">
        <v>451</v>
      </c>
      <c r="D1236" s="644" t="s">
        <v>5592</v>
      </c>
      <c r="E1236" s="736">
        <v>6500</v>
      </c>
      <c r="F1236" s="638" t="s">
        <v>5689</v>
      </c>
      <c r="G1236" s="636" t="s">
        <v>5690</v>
      </c>
      <c r="H1236" s="636" t="s">
        <v>5595</v>
      </c>
      <c r="I1236" s="636" t="s">
        <v>5502</v>
      </c>
      <c r="J1236" s="644"/>
      <c r="K1236" s="739"/>
      <c r="L1236" s="735">
        <v>12</v>
      </c>
      <c r="M1236" s="735">
        <v>79960.799999999988</v>
      </c>
      <c r="N1236" s="739"/>
      <c r="O1236" s="735">
        <v>6</v>
      </c>
      <c r="P1236" s="736">
        <v>40044.9</v>
      </c>
      <c r="Q1236" s="214"/>
    </row>
    <row r="1237" spans="1:17" ht="12" customHeight="1" x14ac:dyDescent="0.2">
      <c r="A1237" s="735" t="s">
        <v>5497</v>
      </c>
      <c r="B1237" s="735" t="s">
        <v>2170</v>
      </c>
      <c r="C1237" s="735" t="s">
        <v>451</v>
      </c>
      <c r="D1237" s="644" t="s">
        <v>5691</v>
      </c>
      <c r="E1237" s="736">
        <v>3200</v>
      </c>
      <c r="F1237" s="638" t="s">
        <v>5692</v>
      </c>
      <c r="G1237" s="636" t="s">
        <v>5693</v>
      </c>
      <c r="H1237" s="636" t="s">
        <v>5694</v>
      </c>
      <c r="I1237" s="636"/>
      <c r="J1237" s="644" t="s">
        <v>5515</v>
      </c>
      <c r="K1237" s="739"/>
      <c r="L1237" s="735">
        <v>12</v>
      </c>
      <c r="M1237" s="735">
        <v>40360.80000000001</v>
      </c>
      <c r="N1237" s="739"/>
      <c r="O1237" s="735">
        <v>6</v>
      </c>
      <c r="P1237" s="736">
        <v>20244.900000000001</v>
      </c>
      <c r="Q1237" s="214"/>
    </row>
    <row r="1238" spans="1:17" ht="12" customHeight="1" x14ac:dyDescent="0.2">
      <c r="A1238" s="735" t="s">
        <v>5497</v>
      </c>
      <c r="B1238" s="735" t="s">
        <v>2170</v>
      </c>
      <c r="C1238" s="735" t="s">
        <v>451</v>
      </c>
      <c r="D1238" s="644" t="s">
        <v>2261</v>
      </c>
      <c r="E1238" s="736">
        <v>4000</v>
      </c>
      <c r="F1238" s="638" t="s">
        <v>5695</v>
      </c>
      <c r="G1238" s="636" t="s">
        <v>5696</v>
      </c>
      <c r="H1238" s="636" t="s">
        <v>5697</v>
      </c>
      <c r="I1238" s="636"/>
      <c r="J1238" s="644" t="s">
        <v>5515</v>
      </c>
      <c r="K1238" s="739"/>
      <c r="L1238" s="735">
        <v>12</v>
      </c>
      <c r="M1238" s="735">
        <v>49960.80000000001</v>
      </c>
      <c r="N1238" s="739"/>
      <c r="O1238" s="735">
        <v>6</v>
      </c>
      <c r="P1238" s="736">
        <v>25044.9</v>
      </c>
      <c r="Q1238" s="214"/>
    </row>
    <row r="1239" spans="1:17" ht="12" customHeight="1" x14ac:dyDescent="0.2">
      <c r="A1239" s="735" t="s">
        <v>5497</v>
      </c>
      <c r="B1239" s="735" t="s">
        <v>2170</v>
      </c>
      <c r="C1239" s="735" t="s">
        <v>451</v>
      </c>
      <c r="D1239" s="644" t="s">
        <v>5614</v>
      </c>
      <c r="E1239" s="736">
        <v>9000</v>
      </c>
      <c r="F1239" s="638" t="s">
        <v>5698</v>
      </c>
      <c r="G1239" s="636" t="s">
        <v>5699</v>
      </c>
      <c r="H1239" s="636" t="s">
        <v>5501</v>
      </c>
      <c r="I1239" s="636" t="s">
        <v>5502</v>
      </c>
      <c r="J1239" s="644"/>
      <c r="K1239" s="739"/>
      <c r="L1239" s="735"/>
      <c r="M1239" s="735"/>
      <c r="N1239" s="739"/>
      <c r="O1239" s="735">
        <v>4</v>
      </c>
      <c r="P1239" s="736">
        <v>32196.6</v>
      </c>
      <c r="Q1239" s="214"/>
    </row>
    <row r="1240" spans="1:17" ht="12" customHeight="1" x14ac:dyDescent="0.2">
      <c r="A1240" s="735" t="s">
        <v>5497</v>
      </c>
      <c r="B1240" s="735" t="s">
        <v>2170</v>
      </c>
      <c r="C1240" s="735" t="s">
        <v>451</v>
      </c>
      <c r="D1240" s="644" t="s">
        <v>5700</v>
      </c>
      <c r="E1240" s="736">
        <v>10000</v>
      </c>
      <c r="F1240" s="638" t="s">
        <v>5701</v>
      </c>
      <c r="G1240" s="636" t="s">
        <v>5702</v>
      </c>
      <c r="H1240" s="636" t="s">
        <v>5703</v>
      </c>
      <c r="I1240" s="636" t="s">
        <v>5502</v>
      </c>
      <c r="J1240" s="644"/>
      <c r="K1240" s="739"/>
      <c r="L1240" s="735">
        <v>3</v>
      </c>
      <c r="M1240" s="735">
        <v>20810.129999999997</v>
      </c>
      <c r="N1240" s="739"/>
      <c r="O1240" s="735"/>
      <c r="P1240" s="736"/>
      <c r="Q1240" s="214"/>
    </row>
    <row r="1241" spans="1:17" ht="12" customHeight="1" x14ac:dyDescent="0.2">
      <c r="A1241" s="735" t="s">
        <v>5497</v>
      </c>
      <c r="B1241" s="735" t="s">
        <v>2170</v>
      </c>
      <c r="C1241" s="735" t="s">
        <v>451</v>
      </c>
      <c r="D1241" s="644" t="s">
        <v>5671</v>
      </c>
      <c r="E1241" s="736">
        <v>8500</v>
      </c>
      <c r="F1241" s="638" t="s">
        <v>5704</v>
      </c>
      <c r="G1241" s="636" t="s">
        <v>5705</v>
      </c>
      <c r="H1241" s="636" t="s">
        <v>5506</v>
      </c>
      <c r="I1241" s="636" t="s">
        <v>5502</v>
      </c>
      <c r="J1241" s="644"/>
      <c r="K1241" s="739"/>
      <c r="L1241" s="735">
        <v>12</v>
      </c>
      <c r="M1241" s="735">
        <v>117237.18999999997</v>
      </c>
      <c r="N1241" s="739"/>
      <c r="O1241" s="735">
        <v>6</v>
      </c>
      <c r="P1241" s="736">
        <v>55044.9</v>
      </c>
      <c r="Q1241" s="214"/>
    </row>
    <row r="1242" spans="1:17" ht="12" customHeight="1" x14ac:dyDescent="0.2">
      <c r="A1242" s="735" t="s">
        <v>5497</v>
      </c>
      <c r="B1242" s="735" t="s">
        <v>2170</v>
      </c>
      <c r="C1242" s="735" t="s">
        <v>451</v>
      </c>
      <c r="D1242" s="644" t="s">
        <v>3092</v>
      </c>
      <c r="E1242" s="736">
        <v>4500</v>
      </c>
      <c r="F1242" s="638" t="s">
        <v>5706</v>
      </c>
      <c r="G1242" s="636" t="s">
        <v>5707</v>
      </c>
      <c r="H1242" s="636" t="s">
        <v>5708</v>
      </c>
      <c r="I1242" s="636"/>
      <c r="J1242" s="644" t="s">
        <v>5515</v>
      </c>
      <c r="K1242" s="739"/>
      <c r="L1242" s="735">
        <v>4</v>
      </c>
      <c r="M1242" s="735">
        <v>19053.599999999999</v>
      </c>
      <c r="N1242" s="739"/>
      <c r="O1242" s="735"/>
      <c r="P1242" s="736"/>
      <c r="Q1242" s="214"/>
    </row>
    <row r="1243" spans="1:17" ht="12" customHeight="1" x14ac:dyDescent="0.2">
      <c r="A1243" s="735" t="s">
        <v>5497</v>
      </c>
      <c r="B1243" s="735" t="s">
        <v>2170</v>
      </c>
      <c r="C1243" s="735" t="s">
        <v>451</v>
      </c>
      <c r="D1243" s="644" t="s">
        <v>5709</v>
      </c>
      <c r="E1243" s="736">
        <v>11000</v>
      </c>
      <c r="F1243" s="638" t="s">
        <v>5710</v>
      </c>
      <c r="G1243" s="636" t="s">
        <v>5711</v>
      </c>
      <c r="H1243" s="636" t="s">
        <v>5501</v>
      </c>
      <c r="I1243" s="636" t="s">
        <v>5502</v>
      </c>
      <c r="J1243" s="644"/>
      <c r="K1243" s="739"/>
      <c r="L1243" s="735">
        <v>12</v>
      </c>
      <c r="M1243" s="735">
        <v>134093.71999999997</v>
      </c>
      <c r="N1243" s="739"/>
      <c r="O1243" s="735">
        <v>6</v>
      </c>
      <c r="P1243" s="736">
        <v>67044.899999999994</v>
      </c>
      <c r="Q1243" s="214"/>
    </row>
    <row r="1244" spans="1:17" ht="12" customHeight="1" x14ac:dyDescent="0.2">
      <c r="A1244" s="735" t="s">
        <v>5497</v>
      </c>
      <c r="B1244" s="735" t="s">
        <v>2170</v>
      </c>
      <c r="C1244" s="735" t="s">
        <v>451</v>
      </c>
      <c r="D1244" s="644" t="s">
        <v>5579</v>
      </c>
      <c r="E1244" s="736">
        <v>9000</v>
      </c>
      <c r="F1244" s="638" t="s">
        <v>5712</v>
      </c>
      <c r="G1244" s="636" t="s">
        <v>5713</v>
      </c>
      <c r="H1244" s="636" t="s">
        <v>5501</v>
      </c>
      <c r="I1244" s="636" t="s">
        <v>5502</v>
      </c>
      <c r="J1244" s="644"/>
      <c r="K1244" s="739"/>
      <c r="L1244" s="735">
        <v>12</v>
      </c>
      <c r="M1244" s="735">
        <v>109960.79999999997</v>
      </c>
      <c r="N1244" s="739"/>
      <c r="O1244" s="735">
        <v>6</v>
      </c>
      <c r="P1244" s="736">
        <v>55044.9</v>
      </c>
      <c r="Q1244" s="214"/>
    </row>
    <row r="1245" spans="1:17" ht="12" customHeight="1" x14ac:dyDescent="0.2">
      <c r="A1245" s="735" t="s">
        <v>5497</v>
      </c>
      <c r="B1245" s="735" t="s">
        <v>2170</v>
      </c>
      <c r="C1245" s="735" t="s">
        <v>451</v>
      </c>
      <c r="D1245" s="644" t="s">
        <v>5503</v>
      </c>
      <c r="E1245" s="736">
        <v>9000</v>
      </c>
      <c r="F1245" s="638" t="s">
        <v>5714</v>
      </c>
      <c r="G1245" s="636" t="s">
        <v>5715</v>
      </c>
      <c r="H1245" s="636" t="s">
        <v>5501</v>
      </c>
      <c r="I1245" s="636" t="s">
        <v>5502</v>
      </c>
      <c r="J1245" s="644"/>
      <c r="K1245" s="739"/>
      <c r="L1245" s="735">
        <v>11</v>
      </c>
      <c r="M1245" s="735">
        <v>100397.39999999998</v>
      </c>
      <c r="N1245" s="739"/>
      <c r="O1245" s="735"/>
      <c r="P1245" s="736"/>
      <c r="Q1245" s="214"/>
    </row>
    <row r="1246" spans="1:17" ht="12" customHeight="1" x14ac:dyDescent="0.2">
      <c r="A1246" s="735" t="s">
        <v>5497</v>
      </c>
      <c r="B1246" s="735" t="s">
        <v>2170</v>
      </c>
      <c r="C1246" s="735" t="s">
        <v>451</v>
      </c>
      <c r="D1246" s="644" t="s">
        <v>5671</v>
      </c>
      <c r="E1246" s="736">
        <v>9000</v>
      </c>
      <c r="F1246" s="638" t="s">
        <v>5716</v>
      </c>
      <c r="G1246" s="636" t="s">
        <v>5717</v>
      </c>
      <c r="H1246" s="636" t="s">
        <v>5501</v>
      </c>
      <c r="I1246" s="636" t="s">
        <v>5502</v>
      </c>
      <c r="J1246" s="644"/>
      <c r="K1246" s="739"/>
      <c r="L1246" s="735">
        <v>12</v>
      </c>
      <c r="M1246" s="735">
        <v>109960.79999999997</v>
      </c>
      <c r="N1246" s="739"/>
      <c r="O1246" s="735">
        <v>6</v>
      </c>
      <c r="P1246" s="736">
        <v>55044.9</v>
      </c>
      <c r="Q1246" s="214"/>
    </row>
    <row r="1247" spans="1:17" ht="12" customHeight="1" x14ac:dyDescent="0.2">
      <c r="A1247" s="735" t="s">
        <v>5497</v>
      </c>
      <c r="B1247" s="735" t="s">
        <v>2170</v>
      </c>
      <c r="C1247" s="735" t="s">
        <v>451</v>
      </c>
      <c r="D1247" s="644" t="s">
        <v>5671</v>
      </c>
      <c r="E1247" s="736">
        <v>10000</v>
      </c>
      <c r="F1247" s="638" t="s">
        <v>5718</v>
      </c>
      <c r="G1247" s="636" t="s">
        <v>5719</v>
      </c>
      <c r="H1247" s="636" t="s">
        <v>5506</v>
      </c>
      <c r="I1247" s="636" t="s">
        <v>5502</v>
      </c>
      <c r="J1247" s="644"/>
      <c r="K1247" s="739"/>
      <c r="L1247" s="735">
        <v>12</v>
      </c>
      <c r="M1247" s="735">
        <v>122230.23999999998</v>
      </c>
      <c r="N1247" s="739"/>
      <c r="O1247" s="735">
        <v>6</v>
      </c>
      <c r="P1247" s="736">
        <v>61044.9</v>
      </c>
      <c r="Q1247" s="214"/>
    </row>
    <row r="1248" spans="1:17" ht="12" customHeight="1" x14ac:dyDescent="0.2">
      <c r="A1248" s="735" t="s">
        <v>5497</v>
      </c>
      <c r="B1248" s="735" t="s">
        <v>2170</v>
      </c>
      <c r="C1248" s="735" t="s">
        <v>451</v>
      </c>
      <c r="D1248" s="644" t="s">
        <v>5671</v>
      </c>
      <c r="E1248" s="736">
        <v>12000</v>
      </c>
      <c r="F1248" s="638" t="s">
        <v>5720</v>
      </c>
      <c r="G1248" s="636" t="s">
        <v>5721</v>
      </c>
      <c r="H1248" s="636" t="s">
        <v>5722</v>
      </c>
      <c r="I1248" s="636" t="s">
        <v>5502</v>
      </c>
      <c r="J1248" s="644"/>
      <c r="K1248" s="739"/>
      <c r="L1248" s="735">
        <v>8</v>
      </c>
      <c r="M1248" s="735">
        <v>108140.53</v>
      </c>
      <c r="N1248" s="739"/>
      <c r="O1248" s="735"/>
      <c r="P1248" s="736"/>
      <c r="Q1248" s="214"/>
    </row>
    <row r="1249" spans="1:17" ht="12" customHeight="1" x14ac:dyDescent="0.2">
      <c r="A1249" s="735" t="s">
        <v>5497</v>
      </c>
      <c r="B1249" s="735" t="s">
        <v>2170</v>
      </c>
      <c r="C1249" s="735" t="s">
        <v>451</v>
      </c>
      <c r="D1249" s="644" t="s">
        <v>5723</v>
      </c>
      <c r="E1249" s="736">
        <v>9000</v>
      </c>
      <c r="F1249" s="638" t="s">
        <v>5724</v>
      </c>
      <c r="G1249" s="636" t="s">
        <v>5725</v>
      </c>
      <c r="H1249" s="636" t="s">
        <v>5501</v>
      </c>
      <c r="I1249" s="636" t="s">
        <v>5502</v>
      </c>
      <c r="J1249" s="644"/>
      <c r="K1249" s="739"/>
      <c r="L1249" s="735">
        <v>4</v>
      </c>
      <c r="M1249" s="735">
        <v>36353.599999999999</v>
      </c>
      <c r="N1249" s="739"/>
      <c r="O1249" s="735">
        <v>6</v>
      </c>
      <c r="P1249" s="736">
        <v>55044.9</v>
      </c>
      <c r="Q1249" s="214"/>
    </row>
    <row r="1250" spans="1:17" ht="12" customHeight="1" x14ac:dyDescent="0.2">
      <c r="A1250" s="735" t="s">
        <v>5497</v>
      </c>
      <c r="B1250" s="735" t="s">
        <v>2170</v>
      </c>
      <c r="C1250" s="735" t="s">
        <v>451</v>
      </c>
      <c r="D1250" s="644" t="s">
        <v>5726</v>
      </c>
      <c r="E1250" s="736">
        <v>11000</v>
      </c>
      <c r="F1250" s="638" t="s">
        <v>5727</v>
      </c>
      <c r="G1250" s="636" t="s">
        <v>5728</v>
      </c>
      <c r="H1250" s="636" t="s">
        <v>5506</v>
      </c>
      <c r="I1250" s="636" t="s">
        <v>5502</v>
      </c>
      <c r="J1250" s="644"/>
      <c r="K1250" s="739"/>
      <c r="L1250" s="735">
        <v>9</v>
      </c>
      <c r="M1250" s="735">
        <v>96145.599999999977</v>
      </c>
      <c r="N1250" s="739"/>
      <c r="O1250" s="735"/>
      <c r="P1250" s="736"/>
      <c r="Q1250" s="214"/>
    </row>
    <row r="1251" spans="1:17" ht="12" customHeight="1" x14ac:dyDescent="0.2">
      <c r="A1251" s="735" t="s">
        <v>5497</v>
      </c>
      <c r="B1251" s="735" t="s">
        <v>2170</v>
      </c>
      <c r="C1251" s="735" t="s">
        <v>451</v>
      </c>
      <c r="D1251" s="644" t="s">
        <v>5729</v>
      </c>
      <c r="E1251" s="736">
        <v>9500</v>
      </c>
      <c r="F1251" s="638" t="s">
        <v>5730</v>
      </c>
      <c r="G1251" s="636" t="s">
        <v>5731</v>
      </c>
      <c r="H1251" s="636" t="s">
        <v>5506</v>
      </c>
      <c r="I1251" s="636" t="s">
        <v>5502</v>
      </c>
      <c r="J1251" s="644"/>
      <c r="K1251" s="739"/>
      <c r="L1251" s="735">
        <v>12</v>
      </c>
      <c r="M1251" s="735">
        <v>115960.79999999997</v>
      </c>
      <c r="N1251" s="739"/>
      <c r="O1251" s="735">
        <v>6</v>
      </c>
      <c r="P1251" s="736">
        <v>58044.9</v>
      </c>
      <c r="Q1251" s="214"/>
    </row>
    <row r="1252" spans="1:17" ht="12" customHeight="1" x14ac:dyDescent="0.2">
      <c r="A1252" s="735" t="s">
        <v>5497</v>
      </c>
      <c r="B1252" s="735" t="s">
        <v>2170</v>
      </c>
      <c r="C1252" s="735" t="s">
        <v>451</v>
      </c>
      <c r="D1252" s="644" t="s">
        <v>5560</v>
      </c>
      <c r="E1252" s="736">
        <v>9000</v>
      </c>
      <c r="F1252" s="638" t="s">
        <v>5732</v>
      </c>
      <c r="G1252" s="636" t="s">
        <v>5733</v>
      </c>
      <c r="H1252" s="636" t="s">
        <v>5501</v>
      </c>
      <c r="I1252" s="636" t="s">
        <v>5502</v>
      </c>
      <c r="J1252" s="644"/>
      <c r="K1252" s="739"/>
      <c r="L1252" s="735">
        <v>12</v>
      </c>
      <c r="M1252" s="735">
        <v>109960.79999999997</v>
      </c>
      <c r="N1252" s="739"/>
      <c r="O1252" s="735">
        <v>6</v>
      </c>
      <c r="P1252" s="736">
        <v>55044.9</v>
      </c>
      <c r="Q1252" s="214"/>
    </row>
    <row r="1253" spans="1:17" ht="12" customHeight="1" x14ac:dyDescent="0.2">
      <c r="A1253" s="735" t="s">
        <v>5497</v>
      </c>
      <c r="B1253" s="735" t="s">
        <v>2170</v>
      </c>
      <c r="C1253" s="735" t="s">
        <v>451</v>
      </c>
      <c r="D1253" s="644" t="s">
        <v>5734</v>
      </c>
      <c r="E1253" s="736">
        <v>9000</v>
      </c>
      <c r="F1253" s="638" t="s">
        <v>5735</v>
      </c>
      <c r="G1253" s="636" t="s">
        <v>5736</v>
      </c>
      <c r="H1253" s="636" t="s">
        <v>5737</v>
      </c>
      <c r="I1253" s="636" t="s">
        <v>5502</v>
      </c>
      <c r="J1253" s="644"/>
      <c r="K1253" s="739"/>
      <c r="L1253" s="735">
        <v>8</v>
      </c>
      <c r="M1253" s="735">
        <v>72132.2</v>
      </c>
      <c r="N1253" s="739"/>
      <c r="O1253" s="735"/>
      <c r="P1253" s="736"/>
      <c r="Q1253" s="214"/>
    </row>
    <row r="1254" spans="1:17" ht="12" customHeight="1" x14ac:dyDescent="0.2">
      <c r="A1254" s="735" t="s">
        <v>5497</v>
      </c>
      <c r="B1254" s="735" t="s">
        <v>2170</v>
      </c>
      <c r="C1254" s="735" t="s">
        <v>451</v>
      </c>
      <c r="D1254" s="644" t="s">
        <v>5738</v>
      </c>
      <c r="E1254" s="736">
        <v>10000</v>
      </c>
      <c r="F1254" s="638" t="s">
        <v>5739</v>
      </c>
      <c r="G1254" s="636" t="s">
        <v>5740</v>
      </c>
      <c r="H1254" s="636" t="s">
        <v>5506</v>
      </c>
      <c r="I1254" s="636" t="s">
        <v>5502</v>
      </c>
      <c r="J1254" s="644"/>
      <c r="K1254" s="739"/>
      <c r="L1254" s="735">
        <v>12</v>
      </c>
      <c r="M1254" s="735">
        <v>121960.79999999997</v>
      </c>
      <c r="N1254" s="739"/>
      <c r="O1254" s="735">
        <v>6</v>
      </c>
      <c r="P1254" s="736">
        <v>61044.9</v>
      </c>
      <c r="Q1254" s="214"/>
    </row>
    <row r="1255" spans="1:17" ht="12" customHeight="1" x14ac:dyDescent="0.2">
      <c r="A1255" s="735" t="s">
        <v>5497</v>
      </c>
      <c r="B1255" s="735" t="s">
        <v>2170</v>
      </c>
      <c r="C1255" s="735" t="s">
        <v>451</v>
      </c>
      <c r="D1255" s="644" t="s">
        <v>5645</v>
      </c>
      <c r="E1255" s="736">
        <v>10000</v>
      </c>
      <c r="F1255" s="638" t="s">
        <v>5741</v>
      </c>
      <c r="G1255" s="636" t="s">
        <v>5742</v>
      </c>
      <c r="H1255" s="636" t="s">
        <v>5506</v>
      </c>
      <c r="I1255" s="636" t="s">
        <v>5502</v>
      </c>
      <c r="J1255" s="644"/>
      <c r="K1255" s="739"/>
      <c r="L1255" s="735"/>
      <c r="M1255" s="735"/>
      <c r="N1255" s="739"/>
      <c r="O1255" s="735">
        <v>5</v>
      </c>
      <c r="P1255" s="736">
        <v>49537.420000000006</v>
      </c>
      <c r="Q1255" s="214"/>
    </row>
    <row r="1256" spans="1:17" ht="12" customHeight="1" x14ac:dyDescent="0.2">
      <c r="A1256" s="735" t="s">
        <v>5497</v>
      </c>
      <c r="B1256" s="735" t="s">
        <v>2170</v>
      </c>
      <c r="C1256" s="735" t="s">
        <v>451</v>
      </c>
      <c r="D1256" s="644" t="s">
        <v>5743</v>
      </c>
      <c r="E1256" s="736">
        <v>8500</v>
      </c>
      <c r="F1256" s="638" t="s">
        <v>5744</v>
      </c>
      <c r="G1256" s="636" t="s">
        <v>5745</v>
      </c>
      <c r="H1256" s="636" t="s">
        <v>5501</v>
      </c>
      <c r="I1256" s="636" t="s">
        <v>5502</v>
      </c>
      <c r="J1256" s="644"/>
      <c r="K1256" s="739"/>
      <c r="L1256" s="735">
        <v>12</v>
      </c>
      <c r="M1256" s="735">
        <v>103960.79999999997</v>
      </c>
      <c r="N1256" s="739"/>
      <c r="O1256" s="735">
        <v>6</v>
      </c>
      <c r="P1256" s="736">
        <v>52044.9</v>
      </c>
      <c r="Q1256" s="214"/>
    </row>
    <row r="1257" spans="1:17" ht="12" customHeight="1" x14ac:dyDescent="0.2">
      <c r="A1257" s="735" t="s">
        <v>5497</v>
      </c>
      <c r="B1257" s="735" t="s">
        <v>2170</v>
      </c>
      <c r="C1257" s="735" t="s">
        <v>451</v>
      </c>
      <c r="D1257" s="644" t="s">
        <v>5746</v>
      </c>
      <c r="E1257" s="736">
        <v>9000</v>
      </c>
      <c r="F1257" s="638" t="s">
        <v>5747</v>
      </c>
      <c r="G1257" s="636" t="s">
        <v>5748</v>
      </c>
      <c r="H1257" s="636" t="s">
        <v>5501</v>
      </c>
      <c r="I1257" s="636" t="s">
        <v>5502</v>
      </c>
      <c r="J1257" s="644"/>
      <c r="K1257" s="739"/>
      <c r="L1257" s="735">
        <v>12</v>
      </c>
      <c r="M1257" s="735">
        <v>109960.79999999997</v>
      </c>
      <c r="N1257" s="739"/>
      <c r="O1257" s="735">
        <v>6</v>
      </c>
      <c r="P1257" s="736">
        <v>55044.9</v>
      </c>
      <c r="Q1257" s="214"/>
    </row>
    <row r="1258" spans="1:17" ht="12" customHeight="1" x14ac:dyDescent="0.2">
      <c r="A1258" s="735" t="s">
        <v>5497</v>
      </c>
      <c r="B1258" s="735" t="s">
        <v>2170</v>
      </c>
      <c r="C1258" s="735" t="s">
        <v>451</v>
      </c>
      <c r="D1258" s="644" t="s">
        <v>2214</v>
      </c>
      <c r="E1258" s="736">
        <v>4500</v>
      </c>
      <c r="F1258" s="638" t="s">
        <v>5749</v>
      </c>
      <c r="G1258" s="636" t="s">
        <v>5750</v>
      </c>
      <c r="H1258" s="636" t="s">
        <v>5751</v>
      </c>
      <c r="I1258" s="636" t="s">
        <v>5752</v>
      </c>
      <c r="J1258" s="644"/>
      <c r="K1258" s="739"/>
      <c r="L1258" s="735">
        <v>4</v>
      </c>
      <c r="M1258" s="735">
        <v>18441.099999999999</v>
      </c>
      <c r="N1258" s="739"/>
      <c r="O1258" s="735"/>
      <c r="P1258" s="736"/>
      <c r="Q1258" s="214"/>
    </row>
    <row r="1259" spans="1:17" ht="12" customHeight="1" x14ac:dyDescent="0.2">
      <c r="A1259" s="735" t="s">
        <v>5497</v>
      </c>
      <c r="B1259" s="735" t="s">
        <v>2170</v>
      </c>
      <c r="C1259" s="735" t="s">
        <v>451</v>
      </c>
      <c r="D1259" s="644" t="s">
        <v>3504</v>
      </c>
      <c r="E1259" s="736">
        <v>10000</v>
      </c>
      <c r="F1259" s="638" t="s">
        <v>5753</v>
      </c>
      <c r="G1259" s="636" t="s">
        <v>5754</v>
      </c>
      <c r="H1259" s="636" t="s">
        <v>5541</v>
      </c>
      <c r="I1259" s="636" t="s">
        <v>5502</v>
      </c>
      <c r="J1259" s="644"/>
      <c r="K1259" s="739"/>
      <c r="L1259" s="735">
        <v>10</v>
      </c>
      <c r="M1259" s="735">
        <v>101733.99999999999</v>
      </c>
      <c r="N1259" s="739"/>
      <c r="O1259" s="735">
        <v>6</v>
      </c>
      <c r="P1259" s="736">
        <v>61044.9</v>
      </c>
      <c r="Q1259" s="214"/>
    </row>
    <row r="1260" spans="1:17" ht="12" customHeight="1" x14ac:dyDescent="0.2">
      <c r="A1260" s="735" t="s">
        <v>5497</v>
      </c>
      <c r="B1260" s="735" t="s">
        <v>2170</v>
      </c>
      <c r="C1260" s="735" t="s">
        <v>451</v>
      </c>
      <c r="D1260" s="644" t="s">
        <v>5755</v>
      </c>
      <c r="E1260" s="736">
        <v>9000</v>
      </c>
      <c r="F1260" s="638" t="s">
        <v>5756</v>
      </c>
      <c r="G1260" s="636" t="s">
        <v>5757</v>
      </c>
      <c r="H1260" s="636" t="s">
        <v>5501</v>
      </c>
      <c r="I1260" s="636" t="s">
        <v>5502</v>
      </c>
      <c r="J1260" s="644"/>
      <c r="K1260" s="739"/>
      <c r="L1260" s="735">
        <v>1</v>
      </c>
      <c r="M1260" s="735">
        <v>383.7</v>
      </c>
      <c r="N1260" s="739"/>
      <c r="O1260" s="735">
        <v>1</v>
      </c>
      <c r="P1260" s="736">
        <v>9174.15</v>
      </c>
      <c r="Q1260" s="214"/>
    </row>
    <row r="1261" spans="1:17" ht="12" customHeight="1" x14ac:dyDescent="0.2">
      <c r="A1261" s="735" t="s">
        <v>5497</v>
      </c>
      <c r="B1261" s="735" t="s">
        <v>2170</v>
      </c>
      <c r="C1261" s="735" t="s">
        <v>451</v>
      </c>
      <c r="D1261" s="644" t="s">
        <v>5758</v>
      </c>
      <c r="E1261" s="736">
        <v>7000</v>
      </c>
      <c r="F1261" s="638" t="s">
        <v>5759</v>
      </c>
      <c r="G1261" s="636" t="s">
        <v>5760</v>
      </c>
      <c r="H1261" s="636" t="s">
        <v>5501</v>
      </c>
      <c r="I1261" s="636" t="s">
        <v>5502</v>
      </c>
      <c r="J1261" s="644"/>
      <c r="K1261" s="739"/>
      <c r="L1261" s="735">
        <v>7</v>
      </c>
      <c r="M1261" s="735">
        <v>43019.29</v>
      </c>
      <c r="N1261" s="739"/>
      <c r="O1261" s="735">
        <v>6</v>
      </c>
      <c r="P1261" s="736">
        <v>43044.9</v>
      </c>
      <c r="Q1261" s="214"/>
    </row>
    <row r="1262" spans="1:17" ht="12" customHeight="1" x14ac:dyDescent="0.2">
      <c r="A1262" s="735" t="s">
        <v>5497</v>
      </c>
      <c r="B1262" s="735" t="s">
        <v>2170</v>
      </c>
      <c r="C1262" s="735" t="s">
        <v>451</v>
      </c>
      <c r="D1262" s="644" t="s">
        <v>5761</v>
      </c>
      <c r="E1262" s="736">
        <v>9000</v>
      </c>
      <c r="F1262" s="638" t="s">
        <v>5762</v>
      </c>
      <c r="G1262" s="636" t="s">
        <v>5763</v>
      </c>
      <c r="H1262" s="636" t="s">
        <v>5541</v>
      </c>
      <c r="I1262" s="636" t="s">
        <v>5502</v>
      </c>
      <c r="J1262" s="644"/>
      <c r="K1262" s="739"/>
      <c r="L1262" s="735">
        <v>2</v>
      </c>
      <c r="M1262" s="735">
        <v>17326.8</v>
      </c>
      <c r="N1262" s="739"/>
      <c r="O1262" s="735">
        <v>3</v>
      </c>
      <c r="P1262" s="736">
        <v>15272.449999999999</v>
      </c>
      <c r="Q1262" s="214"/>
    </row>
    <row r="1263" spans="1:17" ht="12" customHeight="1" x14ac:dyDescent="0.2">
      <c r="A1263" s="735" t="s">
        <v>5497</v>
      </c>
      <c r="B1263" s="735" t="s">
        <v>2170</v>
      </c>
      <c r="C1263" s="735" t="s">
        <v>451</v>
      </c>
      <c r="D1263" s="644" t="s">
        <v>5764</v>
      </c>
      <c r="E1263" s="736">
        <v>2500</v>
      </c>
      <c r="F1263" s="638" t="s">
        <v>5765</v>
      </c>
      <c r="G1263" s="636" t="s">
        <v>5766</v>
      </c>
      <c r="H1263" s="636" t="s">
        <v>5767</v>
      </c>
      <c r="I1263" s="636"/>
      <c r="J1263" s="644" t="s">
        <v>5515</v>
      </c>
      <c r="K1263" s="739"/>
      <c r="L1263" s="735">
        <v>12</v>
      </c>
      <c r="M1263" s="735">
        <v>31960.800000000007</v>
      </c>
      <c r="N1263" s="739"/>
      <c r="O1263" s="735">
        <v>6</v>
      </c>
      <c r="P1263" s="736">
        <v>16044.9</v>
      </c>
      <c r="Q1263" s="214"/>
    </row>
    <row r="1264" spans="1:17" ht="12" customHeight="1" x14ac:dyDescent="0.2">
      <c r="A1264" s="735" t="s">
        <v>5497</v>
      </c>
      <c r="B1264" s="735" t="s">
        <v>2170</v>
      </c>
      <c r="C1264" s="735" t="s">
        <v>451</v>
      </c>
      <c r="D1264" s="644" t="s">
        <v>5503</v>
      </c>
      <c r="E1264" s="736">
        <v>9000</v>
      </c>
      <c r="F1264" s="638" t="s">
        <v>5768</v>
      </c>
      <c r="G1264" s="636" t="s">
        <v>5769</v>
      </c>
      <c r="H1264" s="636" t="s">
        <v>5506</v>
      </c>
      <c r="I1264" s="636" t="s">
        <v>5502</v>
      </c>
      <c r="J1264" s="644"/>
      <c r="K1264" s="739"/>
      <c r="L1264" s="735">
        <v>12</v>
      </c>
      <c r="M1264" s="735">
        <v>109960.79999999997</v>
      </c>
      <c r="N1264" s="739"/>
      <c r="O1264" s="735">
        <v>6</v>
      </c>
      <c r="P1264" s="736">
        <v>55044.9</v>
      </c>
      <c r="Q1264" s="214"/>
    </row>
    <row r="1265" spans="1:17" ht="12" customHeight="1" x14ac:dyDescent="0.2">
      <c r="A1265" s="735" t="s">
        <v>5497</v>
      </c>
      <c r="B1265" s="735" t="s">
        <v>2170</v>
      </c>
      <c r="C1265" s="735" t="s">
        <v>451</v>
      </c>
      <c r="D1265" s="644" t="s">
        <v>5770</v>
      </c>
      <c r="E1265" s="736">
        <v>10000</v>
      </c>
      <c r="F1265" s="638" t="s">
        <v>5771</v>
      </c>
      <c r="G1265" s="636" t="s">
        <v>5772</v>
      </c>
      <c r="H1265" s="636" t="s">
        <v>5506</v>
      </c>
      <c r="I1265" s="636" t="s">
        <v>5502</v>
      </c>
      <c r="J1265" s="644"/>
      <c r="K1265" s="739"/>
      <c r="L1265" s="735">
        <v>12</v>
      </c>
      <c r="M1265" s="735">
        <v>137366.35999999999</v>
      </c>
      <c r="N1265" s="739"/>
      <c r="O1265" s="735">
        <v>6</v>
      </c>
      <c r="P1265" s="736">
        <v>67044.899999999994</v>
      </c>
      <c r="Q1265" s="214"/>
    </row>
    <row r="1266" spans="1:17" ht="12" customHeight="1" x14ac:dyDescent="0.2">
      <c r="A1266" s="735" t="s">
        <v>5497</v>
      </c>
      <c r="B1266" s="735" t="s">
        <v>2170</v>
      </c>
      <c r="C1266" s="735" t="s">
        <v>451</v>
      </c>
      <c r="D1266" s="644" t="s">
        <v>5773</v>
      </c>
      <c r="E1266" s="736">
        <v>8000</v>
      </c>
      <c r="F1266" s="638" t="s">
        <v>5774</v>
      </c>
      <c r="G1266" s="636" t="s">
        <v>5775</v>
      </c>
      <c r="H1266" s="636" t="s">
        <v>5776</v>
      </c>
      <c r="I1266" s="636" t="s">
        <v>5502</v>
      </c>
      <c r="J1266" s="644"/>
      <c r="K1266" s="739"/>
      <c r="L1266" s="735">
        <v>9</v>
      </c>
      <c r="M1266" s="735">
        <v>80787.27</v>
      </c>
      <c r="N1266" s="739"/>
      <c r="O1266" s="735"/>
      <c r="P1266" s="736"/>
      <c r="Q1266" s="214"/>
    </row>
    <row r="1267" spans="1:17" ht="12" customHeight="1" x14ac:dyDescent="0.2">
      <c r="A1267" s="735" t="s">
        <v>5497</v>
      </c>
      <c r="B1267" s="735" t="s">
        <v>2170</v>
      </c>
      <c r="C1267" s="735" t="s">
        <v>451</v>
      </c>
      <c r="D1267" s="644" t="s">
        <v>5777</v>
      </c>
      <c r="E1267" s="736">
        <v>9500</v>
      </c>
      <c r="F1267" s="638" t="s">
        <v>5778</v>
      </c>
      <c r="G1267" s="636" t="s">
        <v>5779</v>
      </c>
      <c r="H1267" s="636" t="s">
        <v>5506</v>
      </c>
      <c r="I1267" s="636" t="s">
        <v>5502</v>
      </c>
      <c r="J1267" s="644"/>
      <c r="K1267" s="739"/>
      <c r="L1267" s="735">
        <v>4</v>
      </c>
      <c r="M1267" s="735">
        <v>31415.199999999997</v>
      </c>
      <c r="N1267" s="739"/>
      <c r="O1267" s="735"/>
      <c r="P1267" s="736"/>
      <c r="Q1267" s="214"/>
    </row>
    <row r="1268" spans="1:17" ht="12" customHeight="1" x14ac:dyDescent="0.2">
      <c r="A1268" s="735" t="s">
        <v>5497</v>
      </c>
      <c r="B1268" s="735" t="s">
        <v>2170</v>
      </c>
      <c r="C1268" s="735" t="s">
        <v>451</v>
      </c>
      <c r="D1268" s="644" t="s">
        <v>5780</v>
      </c>
      <c r="E1268" s="736">
        <v>10000</v>
      </c>
      <c r="F1268" s="638" t="s">
        <v>5781</v>
      </c>
      <c r="G1268" s="636" t="s">
        <v>5782</v>
      </c>
      <c r="H1268" s="636" t="s">
        <v>5506</v>
      </c>
      <c r="I1268" s="636" t="s">
        <v>5502</v>
      </c>
      <c r="J1268" s="644"/>
      <c r="K1268" s="739"/>
      <c r="L1268" s="735">
        <v>3</v>
      </c>
      <c r="M1268" s="735">
        <v>35284.639999999999</v>
      </c>
      <c r="N1268" s="739"/>
      <c r="O1268" s="735"/>
      <c r="P1268" s="736"/>
      <c r="Q1268" s="214"/>
    </row>
    <row r="1269" spans="1:17" ht="12" customHeight="1" x14ac:dyDescent="0.2">
      <c r="A1269" s="735" t="s">
        <v>5497</v>
      </c>
      <c r="B1269" s="735" t="s">
        <v>2170</v>
      </c>
      <c r="C1269" s="735" t="s">
        <v>451</v>
      </c>
      <c r="D1269" s="644" t="s">
        <v>5579</v>
      </c>
      <c r="E1269" s="736">
        <v>9000</v>
      </c>
      <c r="F1269" s="638" t="s">
        <v>5783</v>
      </c>
      <c r="G1269" s="636" t="s">
        <v>5784</v>
      </c>
      <c r="H1269" s="636" t="s">
        <v>5501</v>
      </c>
      <c r="I1269" s="636" t="s">
        <v>5502</v>
      </c>
      <c r="J1269" s="644"/>
      <c r="K1269" s="739"/>
      <c r="L1269" s="735">
        <v>12</v>
      </c>
      <c r="M1269" s="735">
        <v>109960.79999999997</v>
      </c>
      <c r="N1269" s="739"/>
      <c r="O1269" s="735">
        <v>6</v>
      </c>
      <c r="P1269" s="736">
        <v>55044.9</v>
      </c>
      <c r="Q1269" s="214"/>
    </row>
    <row r="1270" spans="1:17" ht="12" customHeight="1" x14ac:dyDescent="0.2">
      <c r="A1270" s="735" t="s">
        <v>5497</v>
      </c>
      <c r="B1270" s="735" t="s">
        <v>2170</v>
      </c>
      <c r="C1270" s="735" t="s">
        <v>451</v>
      </c>
      <c r="D1270" s="644" t="s">
        <v>5785</v>
      </c>
      <c r="E1270" s="736">
        <v>10000</v>
      </c>
      <c r="F1270" s="638" t="s">
        <v>5786</v>
      </c>
      <c r="G1270" s="636" t="s">
        <v>5787</v>
      </c>
      <c r="H1270" s="636" t="s">
        <v>5501</v>
      </c>
      <c r="I1270" s="636" t="s">
        <v>5502</v>
      </c>
      <c r="J1270" s="644"/>
      <c r="K1270" s="739"/>
      <c r="L1270" s="735">
        <v>4</v>
      </c>
      <c r="M1270" s="735">
        <v>33040.199999999997</v>
      </c>
      <c r="N1270" s="739"/>
      <c r="O1270" s="735"/>
      <c r="P1270" s="736"/>
      <c r="Q1270" s="214"/>
    </row>
    <row r="1271" spans="1:17" ht="12" customHeight="1" x14ac:dyDescent="0.2">
      <c r="A1271" s="735" t="s">
        <v>5497</v>
      </c>
      <c r="B1271" s="735" t="s">
        <v>2170</v>
      </c>
      <c r="C1271" s="735" t="s">
        <v>451</v>
      </c>
      <c r="D1271" s="644" t="s">
        <v>5788</v>
      </c>
      <c r="E1271" s="736">
        <v>12000</v>
      </c>
      <c r="F1271" s="638" t="s">
        <v>5789</v>
      </c>
      <c r="G1271" s="636" t="s">
        <v>5790</v>
      </c>
      <c r="H1271" s="636" t="s">
        <v>5501</v>
      </c>
      <c r="I1271" s="636" t="s">
        <v>5502</v>
      </c>
      <c r="J1271" s="644"/>
      <c r="K1271" s="739"/>
      <c r="L1271" s="735">
        <v>12</v>
      </c>
      <c r="M1271" s="735">
        <v>145960.79999999996</v>
      </c>
      <c r="N1271" s="739"/>
      <c r="O1271" s="735">
        <v>6</v>
      </c>
      <c r="P1271" s="736">
        <v>73044.899999999994</v>
      </c>
      <c r="Q1271" s="214"/>
    </row>
    <row r="1272" spans="1:17" ht="12" customHeight="1" x14ac:dyDescent="0.2">
      <c r="A1272" s="735" t="s">
        <v>5497</v>
      </c>
      <c r="B1272" s="735" t="s">
        <v>2170</v>
      </c>
      <c r="C1272" s="735" t="s">
        <v>451</v>
      </c>
      <c r="D1272" s="644" t="s">
        <v>5538</v>
      </c>
      <c r="E1272" s="736">
        <v>1200</v>
      </c>
      <c r="F1272" s="638" t="s">
        <v>5791</v>
      </c>
      <c r="G1272" s="636" t="s">
        <v>5792</v>
      </c>
      <c r="H1272" s="636" t="s">
        <v>5565</v>
      </c>
      <c r="I1272" s="636" t="s">
        <v>5502</v>
      </c>
      <c r="J1272" s="644"/>
      <c r="K1272" s="739"/>
      <c r="L1272" s="735">
        <v>6</v>
      </c>
      <c r="M1272" s="735">
        <v>41167</v>
      </c>
      <c r="N1272" s="739"/>
      <c r="O1272" s="735"/>
      <c r="P1272" s="736"/>
      <c r="Q1272" s="214"/>
    </row>
    <row r="1273" spans="1:17" ht="12" customHeight="1" x14ac:dyDescent="0.2">
      <c r="A1273" s="735" t="s">
        <v>5497</v>
      </c>
      <c r="B1273" s="735" t="s">
        <v>2170</v>
      </c>
      <c r="C1273" s="735" t="s">
        <v>451</v>
      </c>
      <c r="D1273" s="644" t="s">
        <v>5579</v>
      </c>
      <c r="E1273" s="736">
        <v>6900</v>
      </c>
      <c r="F1273" s="638" t="s">
        <v>5793</v>
      </c>
      <c r="G1273" s="636" t="s">
        <v>5794</v>
      </c>
      <c r="H1273" s="636" t="s">
        <v>5501</v>
      </c>
      <c r="I1273" s="636" t="s">
        <v>5502</v>
      </c>
      <c r="J1273" s="644"/>
      <c r="K1273" s="739"/>
      <c r="L1273" s="735">
        <v>12</v>
      </c>
      <c r="M1273" s="735">
        <v>109666.79999999997</v>
      </c>
      <c r="N1273" s="739"/>
      <c r="O1273" s="735">
        <v>6</v>
      </c>
      <c r="P1273" s="736">
        <v>55044.9</v>
      </c>
      <c r="Q1273" s="214"/>
    </row>
    <row r="1274" spans="1:17" ht="12" customHeight="1" x14ac:dyDescent="0.2">
      <c r="A1274" s="735" t="s">
        <v>5497</v>
      </c>
      <c r="B1274" s="735" t="s">
        <v>2170</v>
      </c>
      <c r="C1274" s="735" t="s">
        <v>451</v>
      </c>
      <c r="D1274" s="644" t="s">
        <v>5795</v>
      </c>
      <c r="E1274" s="736">
        <v>10000</v>
      </c>
      <c r="F1274" s="638" t="s">
        <v>5796</v>
      </c>
      <c r="G1274" s="636" t="s">
        <v>5797</v>
      </c>
      <c r="H1274" s="636" t="s">
        <v>5506</v>
      </c>
      <c r="I1274" s="636" t="s">
        <v>5502</v>
      </c>
      <c r="J1274" s="644"/>
      <c r="K1274" s="739"/>
      <c r="L1274" s="735">
        <v>12</v>
      </c>
      <c r="M1274" s="735">
        <v>121960.79999999997</v>
      </c>
      <c r="N1274" s="739"/>
      <c r="O1274" s="735">
        <v>6</v>
      </c>
      <c r="P1274" s="736">
        <v>61044.9</v>
      </c>
      <c r="Q1274" s="214"/>
    </row>
    <row r="1275" spans="1:17" ht="12" customHeight="1" x14ac:dyDescent="0.2">
      <c r="A1275" s="735" t="s">
        <v>5497</v>
      </c>
      <c r="B1275" s="735" t="s">
        <v>2170</v>
      </c>
      <c r="C1275" s="735" t="s">
        <v>451</v>
      </c>
      <c r="D1275" s="644" t="s">
        <v>3721</v>
      </c>
      <c r="E1275" s="736">
        <v>8000</v>
      </c>
      <c r="F1275" s="638" t="s">
        <v>5798</v>
      </c>
      <c r="G1275" s="636" t="s">
        <v>5799</v>
      </c>
      <c r="H1275" s="636" t="s">
        <v>5800</v>
      </c>
      <c r="I1275" s="636" t="s">
        <v>5502</v>
      </c>
      <c r="J1275" s="644"/>
      <c r="K1275" s="739"/>
      <c r="L1275" s="735">
        <v>11</v>
      </c>
      <c r="M1275" s="735">
        <v>75756.22</v>
      </c>
      <c r="N1275" s="739"/>
      <c r="O1275" s="735">
        <v>6</v>
      </c>
      <c r="P1275" s="736">
        <v>49044.9</v>
      </c>
      <c r="Q1275" s="214"/>
    </row>
    <row r="1276" spans="1:17" ht="12" customHeight="1" x14ac:dyDescent="0.2">
      <c r="A1276" s="735" t="s">
        <v>5497</v>
      </c>
      <c r="B1276" s="735" t="s">
        <v>2170</v>
      </c>
      <c r="C1276" s="735" t="s">
        <v>451</v>
      </c>
      <c r="D1276" s="644" t="s">
        <v>5801</v>
      </c>
      <c r="E1276" s="736">
        <v>12000</v>
      </c>
      <c r="F1276" s="638" t="s">
        <v>5802</v>
      </c>
      <c r="G1276" s="636" t="s">
        <v>5803</v>
      </c>
      <c r="H1276" s="636" t="s">
        <v>5501</v>
      </c>
      <c r="I1276" s="636" t="s">
        <v>5502</v>
      </c>
      <c r="J1276" s="644"/>
      <c r="K1276" s="739"/>
      <c r="L1276" s="735">
        <v>12</v>
      </c>
      <c r="M1276" s="735">
        <v>145960.79999999996</v>
      </c>
      <c r="N1276" s="739"/>
      <c r="O1276" s="735">
        <v>6</v>
      </c>
      <c r="P1276" s="736">
        <v>73044.899999999994</v>
      </c>
      <c r="Q1276" s="214"/>
    </row>
    <row r="1277" spans="1:17" ht="12" customHeight="1" x14ac:dyDescent="0.2">
      <c r="A1277" s="735" t="s">
        <v>5497</v>
      </c>
      <c r="B1277" s="735" t="s">
        <v>2170</v>
      </c>
      <c r="C1277" s="735" t="s">
        <v>451</v>
      </c>
      <c r="D1277" s="644" t="s">
        <v>5804</v>
      </c>
      <c r="E1277" s="736">
        <v>9000</v>
      </c>
      <c r="F1277" s="638" t="s">
        <v>5805</v>
      </c>
      <c r="G1277" s="636" t="s">
        <v>5806</v>
      </c>
      <c r="H1277" s="636" t="s">
        <v>5578</v>
      </c>
      <c r="I1277" s="636" t="s">
        <v>5502</v>
      </c>
      <c r="J1277" s="644"/>
      <c r="K1277" s="739"/>
      <c r="L1277" s="735">
        <v>12</v>
      </c>
      <c r="M1277" s="735">
        <v>109960.79999999997</v>
      </c>
      <c r="N1277" s="739"/>
      <c r="O1277" s="735">
        <v>6</v>
      </c>
      <c r="P1277" s="736">
        <v>55044.9</v>
      </c>
      <c r="Q1277" s="214"/>
    </row>
    <row r="1278" spans="1:17" ht="12" customHeight="1" x14ac:dyDescent="0.2">
      <c r="A1278" s="735" t="s">
        <v>5497</v>
      </c>
      <c r="B1278" s="735" t="s">
        <v>2170</v>
      </c>
      <c r="C1278" s="735" t="s">
        <v>451</v>
      </c>
      <c r="D1278" s="644" t="s">
        <v>5503</v>
      </c>
      <c r="E1278" s="736">
        <v>9000</v>
      </c>
      <c r="F1278" s="638" t="s">
        <v>5807</v>
      </c>
      <c r="G1278" s="636" t="s">
        <v>5808</v>
      </c>
      <c r="H1278" s="636" t="s">
        <v>5501</v>
      </c>
      <c r="I1278" s="636" t="s">
        <v>5502</v>
      </c>
      <c r="J1278" s="644"/>
      <c r="K1278" s="739"/>
      <c r="L1278" s="735">
        <v>12</v>
      </c>
      <c r="M1278" s="735">
        <v>109960.79999999997</v>
      </c>
      <c r="N1278" s="739"/>
      <c r="O1278" s="735">
        <v>6</v>
      </c>
      <c r="P1278" s="736">
        <v>55044.9</v>
      </c>
      <c r="Q1278" s="214"/>
    </row>
    <row r="1279" spans="1:17" ht="12" customHeight="1" x14ac:dyDescent="0.2">
      <c r="A1279" s="735" t="s">
        <v>5497</v>
      </c>
      <c r="B1279" s="735" t="s">
        <v>2170</v>
      </c>
      <c r="C1279" s="735" t="s">
        <v>451</v>
      </c>
      <c r="D1279" s="644" t="s">
        <v>5809</v>
      </c>
      <c r="E1279" s="736">
        <v>9000</v>
      </c>
      <c r="F1279" s="638" t="s">
        <v>5810</v>
      </c>
      <c r="G1279" s="636" t="s">
        <v>5811</v>
      </c>
      <c r="H1279" s="636" t="s">
        <v>5812</v>
      </c>
      <c r="I1279" s="636" t="s">
        <v>5502</v>
      </c>
      <c r="J1279" s="644"/>
      <c r="K1279" s="739"/>
      <c r="L1279" s="735">
        <v>12</v>
      </c>
      <c r="M1279" s="735">
        <v>109960.79999999997</v>
      </c>
      <c r="N1279" s="739"/>
      <c r="O1279" s="735">
        <v>6</v>
      </c>
      <c r="P1279" s="736">
        <v>55044.9</v>
      </c>
      <c r="Q1279" s="214"/>
    </row>
    <row r="1280" spans="1:17" ht="12" customHeight="1" x14ac:dyDescent="0.2">
      <c r="A1280" s="735" t="s">
        <v>5497</v>
      </c>
      <c r="B1280" s="735" t="s">
        <v>2170</v>
      </c>
      <c r="C1280" s="735" t="s">
        <v>451</v>
      </c>
      <c r="D1280" s="644" t="s">
        <v>5813</v>
      </c>
      <c r="E1280" s="736">
        <v>10000</v>
      </c>
      <c r="F1280" s="638" t="s">
        <v>5814</v>
      </c>
      <c r="G1280" s="636" t="s">
        <v>5815</v>
      </c>
      <c r="H1280" s="636" t="s">
        <v>5501</v>
      </c>
      <c r="I1280" s="636" t="s">
        <v>5502</v>
      </c>
      <c r="J1280" s="644"/>
      <c r="K1280" s="739"/>
      <c r="L1280" s="735">
        <v>12</v>
      </c>
      <c r="M1280" s="735">
        <v>126099.68999999997</v>
      </c>
      <c r="N1280" s="739"/>
      <c r="O1280" s="735"/>
      <c r="P1280" s="736"/>
      <c r="Q1280" s="214"/>
    </row>
    <row r="1281" spans="1:17" ht="12" customHeight="1" x14ac:dyDescent="0.2">
      <c r="A1281" s="735" t="s">
        <v>5497</v>
      </c>
      <c r="B1281" s="735" t="s">
        <v>2170</v>
      </c>
      <c r="C1281" s="735" t="s">
        <v>451</v>
      </c>
      <c r="D1281" s="644" t="s">
        <v>5816</v>
      </c>
      <c r="E1281" s="736">
        <v>8000</v>
      </c>
      <c r="F1281" s="638" t="s">
        <v>5817</v>
      </c>
      <c r="G1281" s="636" t="s">
        <v>5818</v>
      </c>
      <c r="H1281" s="636" t="s">
        <v>5506</v>
      </c>
      <c r="I1281" s="636" t="s">
        <v>5502</v>
      </c>
      <c r="J1281" s="644"/>
      <c r="K1281" s="739"/>
      <c r="L1281" s="735">
        <v>12</v>
      </c>
      <c r="M1281" s="735">
        <v>97960.799999999988</v>
      </c>
      <c r="N1281" s="739"/>
      <c r="O1281" s="735">
        <v>6</v>
      </c>
      <c r="P1281" s="736">
        <v>49044.9</v>
      </c>
      <c r="Q1281" s="214"/>
    </row>
    <row r="1282" spans="1:17" ht="12" customHeight="1" x14ac:dyDescent="0.2">
      <c r="A1282" s="735" t="s">
        <v>5497</v>
      </c>
      <c r="B1282" s="735" t="s">
        <v>2170</v>
      </c>
      <c r="C1282" s="735" t="s">
        <v>451</v>
      </c>
      <c r="D1282" s="644" t="s">
        <v>5819</v>
      </c>
      <c r="E1282" s="736">
        <v>9000</v>
      </c>
      <c r="F1282" s="638" t="s">
        <v>5820</v>
      </c>
      <c r="G1282" s="636" t="s">
        <v>5821</v>
      </c>
      <c r="H1282" s="636" t="s">
        <v>5578</v>
      </c>
      <c r="I1282" s="636" t="s">
        <v>5502</v>
      </c>
      <c r="J1282" s="644"/>
      <c r="K1282" s="739"/>
      <c r="L1282" s="735">
        <v>12</v>
      </c>
      <c r="M1282" s="735">
        <v>109960.79999999997</v>
      </c>
      <c r="N1282" s="739"/>
      <c r="O1282" s="735">
        <v>6</v>
      </c>
      <c r="P1282" s="736">
        <v>55044.9</v>
      </c>
      <c r="Q1282" s="214"/>
    </row>
    <row r="1283" spans="1:17" ht="12" customHeight="1" x14ac:dyDescent="0.2">
      <c r="A1283" s="735" t="s">
        <v>5497</v>
      </c>
      <c r="B1283" s="735" t="s">
        <v>2170</v>
      </c>
      <c r="C1283" s="735" t="s">
        <v>451</v>
      </c>
      <c r="D1283" s="644" t="s">
        <v>5785</v>
      </c>
      <c r="E1283" s="736">
        <v>10000</v>
      </c>
      <c r="F1283" s="638" t="s">
        <v>5822</v>
      </c>
      <c r="G1283" s="636" t="s">
        <v>5823</v>
      </c>
      <c r="H1283" s="636" t="s">
        <v>5501</v>
      </c>
      <c r="I1283" s="636" t="s">
        <v>5502</v>
      </c>
      <c r="J1283" s="644"/>
      <c r="K1283" s="739"/>
      <c r="L1283" s="735">
        <v>10</v>
      </c>
      <c r="M1283" s="735">
        <v>97067.329999999987</v>
      </c>
      <c r="N1283" s="739"/>
      <c r="O1283" s="735">
        <v>6</v>
      </c>
      <c r="P1283" s="736">
        <v>61044.9</v>
      </c>
      <c r="Q1283" s="214"/>
    </row>
    <row r="1284" spans="1:17" ht="12" customHeight="1" x14ac:dyDescent="0.2">
      <c r="A1284" s="735" t="s">
        <v>5497</v>
      </c>
      <c r="B1284" s="735" t="s">
        <v>2170</v>
      </c>
      <c r="C1284" s="735" t="s">
        <v>451</v>
      </c>
      <c r="D1284" s="644" t="s">
        <v>5824</v>
      </c>
      <c r="E1284" s="736">
        <v>8000</v>
      </c>
      <c r="F1284" s="638" t="s">
        <v>5825</v>
      </c>
      <c r="G1284" s="636" t="s">
        <v>5826</v>
      </c>
      <c r="H1284" s="636" t="s">
        <v>5501</v>
      </c>
      <c r="I1284" s="636" t="s">
        <v>5502</v>
      </c>
      <c r="J1284" s="644"/>
      <c r="K1284" s="739"/>
      <c r="L1284" s="735">
        <v>1</v>
      </c>
      <c r="M1284" s="735">
        <v>511.11</v>
      </c>
      <c r="N1284" s="739"/>
      <c r="O1284" s="735"/>
      <c r="P1284" s="736"/>
      <c r="Q1284" s="214"/>
    </row>
    <row r="1285" spans="1:17" ht="12" customHeight="1" x14ac:dyDescent="0.2">
      <c r="A1285" s="735" t="s">
        <v>5497</v>
      </c>
      <c r="B1285" s="735" t="s">
        <v>2170</v>
      </c>
      <c r="C1285" s="735" t="s">
        <v>451</v>
      </c>
      <c r="D1285" s="644" t="s">
        <v>5827</v>
      </c>
      <c r="E1285" s="736">
        <v>8000</v>
      </c>
      <c r="F1285" s="638" t="s">
        <v>5828</v>
      </c>
      <c r="G1285" s="636" t="s">
        <v>5829</v>
      </c>
      <c r="H1285" s="636" t="s">
        <v>5565</v>
      </c>
      <c r="I1285" s="636" t="s">
        <v>5502</v>
      </c>
      <c r="J1285" s="644"/>
      <c r="K1285" s="739"/>
      <c r="L1285" s="735">
        <v>12</v>
      </c>
      <c r="M1285" s="735">
        <v>100249.68999999999</v>
      </c>
      <c r="N1285" s="739"/>
      <c r="O1285" s="735"/>
      <c r="P1285" s="736"/>
      <c r="Q1285" s="214"/>
    </row>
    <row r="1286" spans="1:17" ht="12" customHeight="1" x14ac:dyDescent="0.2">
      <c r="A1286" s="735" t="s">
        <v>5497</v>
      </c>
      <c r="B1286" s="735" t="s">
        <v>2170</v>
      </c>
      <c r="C1286" s="735" t="s">
        <v>451</v>
      </c>
      <c r="D1286" s="644" t="s">
        <v>2261</v>
      </c>
      <c r="E1286" s="736">
        <v>4000</v>
      </c>
      <c r="F1286" s="638" t="s">
        <v>5830</v>
      </c>
      <c r="G1286" s="636" t="s">
        <v>5831</v>
      </c>
      <c r="H1286" s="636" t="s">
        <v>5832</v>
      </c>
      <c r="I1286" s="636"/>
      <c r="J1286" s="644" t="s">
        <v>5515</v>
      </c>
      <c r="K1286" s="739"/>
      <c r="L1286" s="735">
        <v>12</v>
      </c>
      <c r="M1286" s="735">
        <v>49968.30000000001</v>
      </c>
      <c r="N1286" s="739"/>
      <c r="O1286" s="735">
        <v>6</v>
      </c>
      <c r="P1286" s="736">
        <v>25044.9</v>
      </c>
      <c r="Q1286" s="214"/>
    </row>
    <row r="1287" spans="1:17" ht="12" customHeight="1" x14ac:dyDescent="0.2">
      <c r="A1287" s="735" t="s">
        <v>5497</v>
      </c>
      <c r="B1287" s="735" t="s">
        <v>2170</v>
      </c>
      <c r="C1287" s="735" t="s">
        <v>451</v>
      </c>
      <c r="D1287" s="644" t="s">
        <v>5833</v>
      </c>
      <c r="E1287" s="736">
        <v>9000</v>
      </c>
      <c r="F1287" s="638" t="s">
        <v>5834</v>
      </c>
      <c r="G1287" s="636" t="s">
        <v>5835</v>
      </c>
      <c r="H1287" s="636" t="s">
        <v>5501</v>
      </c>
      <c r="I1287" s="636" t="s">
        <v>5502</v>
      </c>
      <c r="J1287" s="644"/>
      <c r="K1287" s="739"/>
      <c r="L1287" s="735">
        <v>6</v>
      </c>
      <c r="M1287" s="735">
        <v>48680.4</v>
      </c>
      <c r="N1287" s="739"/>
      <c r="O1287" s="735">
        <v>6</v>
      </c>
      <c r="P1287" s="736">
        <v>55044.9</v>
      </c>
      <c r="Q1287" s="214"/>
    </row>
    <row r="1288" spans="1:17" ht="12" customHeight="1" x14ac:dyDescent="0.2">
      <c r="A1288" s="735" t="s">
        <v>5497</v>
      </c>
      <c r="B1288" s="735" t="s">
        <v>2170</v>
      </c>
      <c r="C1288" s="735" t="s">
        <v>451</v>
      </c>
      <c r="D1288" s="644" t="s">
        <v>5614</v>
      </c>
      <c r="E1288" s="736">
        <v>9000</v>
      </c>
      <c r="F1288" s="638" t="s">
        <v>5836</v>
      </c>
      <c r="G1288" s="636" t="s">
        <v>5837</v>
      </c>
      <c r="H1288" s="636" t="s">
        <v>5501</v>
      </c>
      <c r="I1288" s="636" t="s">
        <v>5502</v>
      </c>
      <c r="J1288" s="644"/>
      <c r="K1288" s="739"/>
      <c r="L1288" s="735">
        <v>12</v>
      </c>
      <c r="M1288" s="735">
        <v>109960.79999999997</v>
      </c>
      <c r="N1288" s="739"/>
      <c r="O1288" s="735">
        <v>6</v>
      </c>
      <c r="P1288" s="736">
        <v>55044.9</v>
      </c>
      <c r="Q1288" s="214"/>
    </row>
    <row r="1289" spans="1:17" ht="12" customHeight="1" x14ac:dyDescent="0.2">
      <c r="A1289" s="735" t="s">
        <v>5497</v>
      </c>
      <c r="B1289" s="735" t="s">
        <v>2170</v>
      </c>
      <c r="C1289" s="735" t="s">
        <v>451</v>
      </c>
      <c r="D1289" s="644" t="s">
        <v>5838</v>
      </c>
      <c r="E1289" s="736">
        <v>9000</v>
      </c>
      <c r="F1289" s="638" t="s">
        <v>5839</v>
      </c>
      <c r="G1289" s="636" t="s">
        <v>5840</v>
      </c>
      <c r="H1289" s="636" t="s">
        <v>5501</v>
      </c>
      <c r="I1289" s="636" t="s">
        <v>5502</v>
      </c>
      <c r="J1289" s="644"/>
      <c r="K1289" s="739"/>
      <c r="L1289" s="735">
        <v>12</v>
      </c>
      <c r="M1289" s="735">
        <v>109960.79999999997</v>
      </c>
      <c r="N1289" s="739"/>
      <c r="O1289" s="735">
        <v>6</v>
      </c>
      <c r="P1289" s="736">
        <v>55044.9</v>
      </c>
      <c r="Q1289" s="214"/>
    </row>
    <row r="1290" spans="1:17" ht="12" customHeight="1" x14ac:dyDescent="0.2">
      <c r="A1290" s="735" t="s">
        <v>5497</v>
      </c>
      <c r="B1290" s="735" t="s">
        <v>2170</v>
      </c>
      <c r="C1290" s="735" t="s">
        <v>451</v>
      </c>
      <c r="D1290" s="644" t="s">
        <v>5841</v>
      </c>
      <c r="E1290" s="736">
        <v>8000</v>
      </c>
      <c r="F1290" s="638" t="s">
        <v>5842</v>
      </c>
      <c r="G1290" s="636" t="s">
        <v>5843</v>
      </c>
      <c r="H1290" s="636" t="s">
        <v>5844</v>
      </c>
      <c r="I1290" s="636" t="s">
        <v>5502</v>
      </c>
      <c r="J1290" s="644"/>
      <c r="K1290" s="739"/>
      <c r="L1290" s="735">
        <v>12</v>
      </c>
      <c r="M1290" s="735">
        <v>97960.799999999988</v>
      </c>
      <c r="N1290" s="739"/>
      <c r="O1290" s="735">
        <v>6</v>
      </c>
      <c r="P1290" s="736">
        <v>49044.9</v>
      </c>
      <c r="Q1290" s="214"/>
    </row>
    <row r="1291" spans="1:17" ht="12" customHeight="1" x14ac:dyDescent="0.2">
      <c r="A1291" s="735" t="s">
        <v>5497</v>
      </c>
      <c r="B1291" s="735" t="s">
        <v>2170</v>
      </c>
      <c r="C1291" s="735" t="s">
        <v>451</v>
      </c>
      <c r="D1291" s="644" t="s">
        <v>2261</v>
      </c>
      <c r="E1291" s="736">
        <v>1800</v>
      </c>
      <c r="F1291" s="638" t="s">
        <v>5845</v>
      </c>
      <c r="G1291" s="636" t="s">
        <v>5846</v>
      </c>
      <c r="H1291" s="636" t="s">
        <v>5847</v>
      </c>
      <c r="I1291" s="636"/>
      <c r="J1291" s="644"/>
      <c r="K1291" s="739"/>
      <c r="L1291" s="735">
        <v>6</v>
      </c>
      <c r="M1291" s="735">
        <v>11990.4</v>
      </c>
      <c r="N1291" s="739"/>
      <c r="O1291" s="735"/>
      <c r="P1291" s="736"/>
      <c r="Q1291" s="214"/>
    </row>
    <row r="1292" spans="1:17" ht="12" customHeight="1" x14ac:dyDescent="0.2">
      <c r="A1292" s="735" t="s">
        <v>5497</v>
      </c>
      <c r="B1292" s="735" t="s">
        <v>2170</v>
      </c>
      <c r="C1292" s="735" t="s">
        <v>451</v>
      </c>
      <c r="D1292" s="644" t="s">
        <v>5579</v>
      </c>
      <c r="E1292" s="736">
        <v>9000</v>
      </c>
      <c r="F1292" s="638" t="s">
        <v>5848</v>
      </c>
      <c r="G1292" s="636" t="s">
        <v>5849</v>
      </c>
      <c r="H1292" s="636" t="s">
        <v>5501</v>
      </c>
      <c r="I1292" s="636" t="s">
        <v>5502</v>
      </c>
      <c r="J1292" s="644"/>
      <c r="K1292" s="739"/>
      <c r="L1292" s="735">
        <v>12</v>
      </c>
      <c r="M1292" s="735">
        <v>109960.79999999997</v>
      </c>
      <c r="N1292" s="739"/>
      <c r="O1292" s="735">
        <v>6</v>
      </c>
      <c r="P1292" s="736">
        <v>55044.9</v>
      </c>
      <c r="Q1292" s="214"/>
    </row>
    <row r="1293" spans="1:17" ht="12" customHeight="1" x14ac:dyDescent="0.2">
      <c r="A1293" s="735" t="s">
        <v>5497</v>
      </c>
      <c r="B1293" s="735" t="s">
        <v>2170</v>
      </c>
      <c r="C1293" s="735" t="s">
        <v>451</v>
      </c>
      <c r="D1293" s="644" t="s">
        <v>5624</v>
      </c>
      <c r="E1293" s="736">
        <v>9000</v>
      </c>
      <c r="F1293" s="638" t="s">
        <v>5850</v>
      </c>
      <c r="G1293" s="636" t="s">
        <v>5851</v>
      </c>
      <c r="H1293" s="636" t="s">
        <v>5501</v>
      </c>
      <c r="I1293" s="636" t="s">
        <v>5502</v>
      </c>
      <c r="J1293" s="644"/>
      <c r="K1293" s="739"/>
      <c r="L1293" s="735">
        <v>12</v>
      </c>
      <c r="M1293" s="735">
        <v>109960.79999999997</v>
      </c>
      <c r="N1293" s="739"/>
      <c r="O1293" s="735">
        <v>6</v>
      </c>
      <c r="P1293" s="736">
        <v>55044.9</v>
      </c>
      <c r="Q1293" s="214"/>
    </row>
    <row r="1294" spans="1:17" ht="12" customHeight="1" x14ac:dyDescent="0.2">
      <c r="A1294" s="735" t="s">
        <v>5497</v>
      </c>
      <c r="B1294" s="735" t="s">
        <v>2170</v>
      </c>
      <c r="C1294" s="735" t="s">
        <v>451</v>
      </c>
      <c r="D1294" s="644" t="s">
        <v>5507</v>
      </c>
      <c r="E1294" s="736">
        <v>14000</v>
      </c>
      <c r="F1294" s="638" t="s">
        <v>5852</v>
      </c>
      <c r="G1294" s="636" t="s">
        <v>5853</v>
      </c>
      <c r="H1294" s="636" t="s">
        <v>5506</v>
      </c>
      <c r="I1294" s="636" t="s">
        <v>5502</v>
      </c>
      <c r="J1294" s="644"/>
      <c r="K1294" s="739"/>
      <c r="L1294" s="735">
        <v>12</v>
      </c>
      <c r="M1294" s="735">
        <v>172082.53999999998</v>
      </c>
      <c r="N1294" s="739"/>
      <c r="O1294" s="735">
        <v>6</v>
      </c>
      <c r="P1294" s="736">
        <v>85044.9</v>
      </c>
      <c r="Q1294" s="214"/>
    </row>
    <row r="1295" spans="1:17" ht="12" customHeight="1" x14ac:dyDescent="0.2">
      <c r="A1295" s="735" t="s">
        <v>5497</v>
      </c>
      <c r="B1295" s="735" t="s">
        <v>2170</v>
      </c>
      <c r="C1295" s="735" t="s">
        <v>451</v>
      </c>
      <c r="D1295" s="644" t="s">
        <v>5691</v>
      </c>
      <c r="E1295" s="736">
        <v>3200</v>
      </c>
      <c r="F1295" s="638" t="s">
        <v>5854</v>
      </c>
      <c r="G1295" s="636" t="s">
        <v>5855</v>
      </c>
      <c r="H1295" s="636" t="s">
        <v>5694</v>
      </c>
      <c r="I1295" s="636"/>
      <c r="J1295" s="644" t="s">
        <v>5515</v>
      </c>
      <c r="K1295" s="739"/>
      <c r="L1295" s="735">
        <v>12</v>
      </c>
      <c r="M1295" s="735">
        <v>40360.80000000001</v>
      </c>
      <c r="N1295" s="739"/>
      <c r="O1295" s="735">
        <v>6</v>
      </c>
      <c r="P1295" s="736">
        <v>20244.900000000001</v>
      </c>
      <c r="Q1295" s="214"/>
    </row>
    <row r="1296" spans="1:17" ht="12" customHeight="1" x14ac:dyDescent="0.2">
      <c r="A1296" s="735" t="s">
        <v>5497</v>
      </c>
      <c r="B1296" s="735" t="s">
        <v>2170</v>
      </c>
      <c r="C1296" s="735" t="s">
        <v>451</v>
      </c>
      <c r="D1296" s="644" t="s">
        <v>5856</v>
      </c>
      <c r="E1296" s="736">
        <v>8000</v>
      </c>
      <c r="F1296" s="638" t="s">
        <v>5857</v>
      </c>
      <c r="G1296" s="636" t="s">
        <v>5858</v>
      </c>
      <c r="H1296" s="636" t="s">
        <v>5800</v>
      </c>
      <c r="I1296" s="636" t="s">
        <v>5502</v>
      </c>
      <c r="J1296" s="644"/>
      <c r="K1296" s="739"/>
      <c r="L1296" s="735">
        <v>12</v>
      </c>
      <c r="M1296" s="735">
        <v>97960.799999999988</v>
      </c>
      <c r="N1296" s="739"/>
      <c r="O1296" s="735">
        <v>6</v>
      </c>
      <c r="P1296" s="736">
        <v>49044.9</v>
      </c>
      <c r="Q1296" s="214"/>
    </row>
    <row r="1297" spans="1:17" ht="12" customHeight="1" x14ac:dyDescent="0.2">
      <c r="A1297" s="735" t="s">
        <v>5497</v>
      </c>
      <c r="B1297" s="735" t="s">
        <v>2170</v>
      </c>
      <c r="C1297" s="735" t="s">
        <v>451</v>
      </c>
      <c r="D1297" s="644" t="s">
        <v>5859</v>
      </c>
      <c r="E1297" s="736">
        <v>9500</v>
      </c>
      <c r="F1297" s="638" t="s">
        <v>5860</v>
      </c>
      <c r="G1297" s="636" t="s">
        <v>5861</v>
      </c>
      <c r="H1297" s="636" t="s">
        <v>5506</v>
      </c>
      <c r="I1297" s="636" t="s">
        <v>5502</v>
      </c>
      <c r="J1297" s="644"/>
      <c r="K1297" s="739"/>
      <c r="L1297" s="735">
        <v>7</v>
      </c>
      <c r="M1297" s="735">
        <v>66960.47</v>
      </c>
      <c r="N1297" s="739"/>
      <c r="O1297" s="735">
        <v>6</v>
      </c>
      <c r="P1297" s="736">
        <v>58432.160000000003</v>
      </c>
      <c r="Q1297" s="214"/>
    </row>
    <row r="1298" spans="1:17" ht="12" customHeight="1" x14ac:dyDescent="0.2">
      <c r="A1298" s="735" t="s">
        <v>5497</v>
      </c>
      <c r="B1298" s="735" t="s">
        <v>2170</v>
      </c>
      <c r="C1298" s="735" t="s">
        <v>451</v>
      </c>
      <c r="D1298" s="644" t="s">
        <v>5503</v>
      </c>
      <c r="E1298" s="736">
        <v>9000</v>
      </c>
      <c r="F1298" s="638" t="s">
        <v>5862</v>
      </c>
      <c r="G1298" s="636" t="s">
        <v>5863</v>
      </c>
      <c r="H1298" s="636" t="s">
        <v>5501</v>
      </c>
      <c r="I1298" s="636" t="s">
        <v>5502</v>
      </c>
      <c r="J1298" s="644"/>
      <c r="K1298" s="739"/>
      <c r="L1298" s="735">
        <v>12</v>
      </c>
      <c r="M1298" s="735">
        <v>109960.79999999997</v>
      </c>
      <c r="N1298" s="739"/>
      <c r="O1298" s="735">
        <v>6</v>
      </c>
      <c r="P1298" s="736">
        <v>55044.9</v>
      </c>
      <c r="Q1298" s="214"/>
    </row>
    <row r="1299" spans="1:17" ht="12" customHeight="1" x14ac:dyDescent="0.2">
      <c r="A1299" s="735" t="s">
        <v>5497</v>
      </c>
      <c r="B1299" s="735" t="s">
        <v>2170</v>
      </c>
      <c r="C1299" s="735" t="s">
        <v>451</v>
      </c>
      <c r="D1299" s="644" t="s">
        <v>5579</v>
      </c>
      <c r="E1299" s="736">
        <v>9000</v>
      </c>
      <c r="F1299" s="638" t="s">
        <v>5864</v>
      </c>
      <c r="G1299" s="636" t="s">
        <v>5865</v>
      </c>
      <c r="H1299" s="636" t="s">
        <v>5501</v>
      </c>
      <c r="I1299" s="636" t="s">
        <v>5502</v>
      </c>
      <c r="J1299" s="644"/>
      <c r="K1299" s="739"/>
      <c r="L1299" s="735"/>
      <c r="M1299" s="735"/>
      <c r="N1299" s="739"/>
      <c r="O1299" s="735">
        <v>5</v>
      </c>
      <c r="P1299" s="736">
        <v>42570.75</v>
      </c>
      <c r="Q1299" s="214"/>
    </row>
    <row r="1300" spans="1:17" ht="12" customHeight="1" x14ac:dyDescent="0.2">
      <c r="A1300" s="735" t="s">
        <v>5497</v>
      </c>
      <c r="B1300" s="735" t="s">
        <v>2170</v>
      </c>
      <c r="C1300" s="735" t="s">
        <v>451</v>
      </c>
      <c r="D1300" s="644" t="s">
        <v>5560</v>
      </c>
      <c r="E1300" s="736">
        <v>9000</v>
      </c>
      <c r="F1300" s="638" t="s">
        <v>5866</v>
      </c>
      <c r="G1300" s="636" t="s">
        <v>5867</v>
      </c>
      <c r="H1300" s="636" t="s">
        <v>5501</v>
      </c>
      <c r="I1300" s="636" t="s">
        <v>5502</v>
      </c>
      <c r="J1300" s="644"/>
      <c r="K1300" s="739"/>
      <c r="L1300" s="735">
        <v>12</v>
      </c>
      <c r="M1300" s="735">
        <v>111710.79999999997</v>
      </c>
      <c r="N1300" s="739"/>
      <c r="O1300" s="735"/>
      <c r="P1300" s="736"/>
      <c r="Q1300" s="214"/>
    </row>
    <row r="1301" spans="1:17" ht="12" customHeight="1" x14ac:dyDescent="0.2">
      <c r="A1301" s="735" t="s">
        <v>5497</v>
      </c>
      <c r="B1301" s="735" t="s">
        <v>2170</v>
      </c>
      <c r="C1301" s="735" t="s">
        <v>451</v>
      </c>
      <c r="D1301" s="644" t="s">
        <v>5507</v>
      </c>
      <c r="E1301" s="736">
        <v>10000</v>
      </c>
      <c r="F1301" s="638" t="s">
        <v>5868</v>
      </c>
      <c r="G1301" s="636" t="s">
        <v>5869</v>
      </c>
      <c r="H1301" s="636" t="s">
        <v>5556</v>
      </c>
      <c r="I1301" s="636" t="s">
        <v>5502</v>
      </c>
      <c r="J1301" s="644"/>
      <c r="K1301" s="739"/>
      <c r="L1301" s="735">
        <v>12</v>
      </c>
      <c r="M1301" s="735">
        <v>121960.79999999997</v>
      </c>
      <c r="N1301" s="739"/>
      <c r="O1301" s="735">
        <v>6</v>
      </c>
      <c r="P1301" s="736">
        <v>61044.9</v>
      </c>
      <c r="Q1301" s="214"/>
    </row>
    <row r="1302" spans="1:17" ht="12" customHeight="1" x14ac:dyDescent="0.2">
      <c r="A1302" s="735" t="s">
        <v>5497</v>
      </c>
      <c r="B1302" s="735" t="s">
        <v>2170</v>
      </c>
      <c r="C1302" s="735" t="s">
        <v>451</v>
      </c>
      <c r="D1302" s="644" t="s">
        <v>5870</v>
      </c>
      <c r="E1302" s="736">
        <v>8000</v>
      </c>
      <c r="F1302" s="638" t="s">
        <v>5871</v>
      </c>
      <c r="G1302" s="636" t="s">
        <v>5872</v>
      </c>
      <c r="H1302" s="636" t="s">
        <v>5578</v>
      </c>
      <c r="I1302" s="636" t="s">
        <v>5502</v>
      </c>
      <c r="J1302" s="644"/>
      <c r="K1302" s="739"/>
      <c r="L1302" s="735">
        <v>12</v>
      </c>
      <c r="M1302" s="735">
        <v>97960.799999999988</v>
      </c>
      <c r="N1302" s="739"/>
      <c r="O1302" s="735">
        <v>6</v>
      </c>
      <c r="P1302" s="736">
        <v>49044.9</v>
      </c>
      <c r="Q1302" s="214"/>
    </row>
    <row r="1303" spans="1:17" ht="12" customHeight="1" x14ac:dyDescent="0.2">
      <c r="A1303" s="735" t="s">
        <v>5497</v>
      </c>
      <c r="B1303" s="735" t="s">
        <v>2170</v>
      </c>
      <c r="C1303" s="735" t="s">
        <v>451</v>
      </c>
      <c r="D1303" s="644" t="s">
        <v>2258</v>
      </c>
      <c r="E1303" s="736">
        <v>8500</v>
      </c>
      <c r="F1303" s="638" t="s">
        <v>5873</v>
      </c>
      <c r="G1303" s="636" t="s">
        <v>5874</v>
      </c>
      <c r="H1303" s="636" t="s">
        <v>5875</v>
      </c>
      <c r="I1303" s="636" t="s">
        <v>5502</v>
      </c>
      <c r="J1303" s="644"/>
      <c r="K1303" s="739"/>
      <c r="L1303" s="735">
        <v>12</v>
      </c>
      <c r="M1303" s="735">
        <v>103960.79999999997</v>
      </c>
      <c r="N1303" s="739"/>
      <c r="O1303" s="735">
        <v>6</v>
      </c>
      <c r="P1303" s="736">
        <v>52044.9</v>
      </c>
      <c r="Q1303" s="214"/>
    </row>
    <row r="1304" spans="1:17" ht="12" customHeight="1" x14ac:dyDescent="0.2">
      <c r="A1304" s="735" t="s">
        <v>5497</v>
      </c>
      <c r="B1304" s="735" t="s">
        <v>2170</v>
      </c>
      <c r="C1304" s="735" t="s">
        <v>451</v>
      </c>
      <c r="D1304" s="644" t="s">
        <v>5624</v>
      </c>
      <c r="E1304" s="736">
        <v>9000</v>
      </c>
      <c r="F1304" s="638" t="s">
        <v>5876</v>
      </c>
      <c r="G1304" s="636" t="s">
        <v>5877</v>
      </c>
      <c r="H1304" s="636" t="s">
        <v>5501</v>
      </c>
      <c r="I1304" s="636" t="s">
        <v>5502</v>
      </c>
      <c r="J1304" s="644"/>
      <c r="K1304" s="739"/>
      <c r="L1304" s="735">
        <v>12</v>
      </c>
      <c r="M1304" s="735">
        <v>109834.79999999997</v>
      </c>
      <c r="N1304" s="739"/>
      <c r="O1304" s="735">
        <v>6</v>
      </c>
      <c r="P1304" s="736">
        <v>55044.9</v>
      </c>
      <c r="Q1304" s="214"/>
    </row>
    <row r="1305" spans="1:17" ht="12" customHeight="1" x14ac:dyDescent="0.2">
      <c r="A1305" s="735" t="s">
        <v>5497</v>
      </c>
      <c r="B1305" s="735" t="s">
        <v>2170</v>
      </c>
      <c r="C1305" s="735" t="s">
        <v>451</v>
      </c>
      <c r="D1305" s="644" t="s">
        <v>5503</v>
      </c>
      <c r="E1305" s="736">
        <v>9000</v>
      </c>
      <c r="F1305" s="638" t="s">
        <v>5878</v>
      </c>
      <c r="G1305" s="636" t="s">
        <v>5879</v>
      </c>
      <c r="H1305" s="636" t="s">
        <v>5501</v>
      </c>
      <c r="I1305" s="636" t="s">
        <v>5502</v>
      </c>
      <c r="J1305" s="644"/>
      <c r="K1305" s="739"/>
      <c r="L1305" s="735">
        <v>3</v>
      </c>
      <c r="M1305" s="735">
        <v>28090.199999999997</v>
      </c>
      <c r="N1305" s="739"/>
      <c r="O1305" s="735"/>
      <c r="P1305" s="736"/>
      <c r="Q1305" s="214"/>
    </row>
    <row r="1306" spans="1:17" ht="12" customHeight="1" x14ac:dyDescent="0.2">
      <c r="A1306" s="735" t="s">
        <v>5497</v>
      </c>
      <c r="B1306" s="735" t="s">
        <v>2170</v>
      </c>
      <c r="C1306" s="735" t="s">
        <v>451</v>
      </c>
      <c r="D1306" s="644" t="s">
        <v>5880</v>
      </c>
      <c r="E1306" s="736">
        <v>9000</v>
      </c>
      <c r="F1306" s="638" t="s">
        <v>5881</v>
      </c>
      <c r="G1306" s="636" t="s">
        <v>5882</v>
      </c>
      <c r="H1306" s="636" t="s">
        <v>5578</v>
      </c>
      <c r="I1306" s="636" t="s">
        <v>5502</v>
      </c>
      <c r="J1306" s="644"/>
      <c r="K1306" s="739"/>
      <c r="L1306" s="735">
        <v>12</v>
      </c>
      <c r="M1306" s="735">
        <v>109960.79999999997</v>
      </c>
      <c r="N1306" s="739"/>
      <c r="O1306" s="735">
        <v>6</v>
      </c>
      <c r="P1306" s="736">
        <v>55044.9</v>
      </c>
      <c r="Q1306" s="214"/>
    </row>
    <row r="1307" spans="1:17" ht="12" customHeight="1" x14ac:dyDescent="0.2">
      <c r="A1307" s="735" t="s">
        <v>5497</v>
      </c>
      <c r="B1307" s="735" t="s">
        <v>2170</v>
      </c>
      <c r="C1307" s="735" t="s">
        <v>451</v>
      </c>
      <c r="D1307" s="644" t="s">
        <v>5883</v>
      </c>
      <c r="E1307" s="736">
        <v>10000</v>
      </c>
      <c r="F1307" s="638" t="s">
        <v>5884</v>
      </c>
      <c r="G1307" s="636" t="s">
        <v>5885</v>
      </c>
      <c r="H1307" s="636" t="s">
        <v>5501</v>
      </c>
      <c r="I1307" s="636" t="s">
        <v>5502</v>
      </c>
      <c r="J1307" s="644"/>
      <c r="K1307" s="739"/>
      <c r="L1307" s="735">
        <v>12</v>
      </c>
      <c r="M1307" s="735">
        <v>121960.79999999997</v>
      </c>
      <c r="N1307" s="739"/>
      <c r="O1307" s="735">
        <v>6</v>
      </c>
      <c r="P1307" s="736">
        <v>61711.570000000007</v>
      </c>
      <c r="Q1307" s="214"/>
    </row>
    <row r="1308" spans="1:17" ht="12" customHeight="1" x14ac:dyDescent="0.2">
      <c r="A1308" s="735" t="s">
        <v>5497</v>
      </c>
      <c r="B1308" s="735" t="s">
        <v>2170</v>
      </c>
      <c r="C1308" s="735" t="s">
        <v>451</v>
      </c>
      <c r="D1308" s="644" t="s">
        <v>5671</v>
      </c>
      <c r="E1308" s="736">
        <v>10000</v>
      </c>
      <c r="F1308" s="638" t="s">
        <v>5886</v>
      </c>
      <c r="G1308" s="636" t="s">
        <v>5887</v>
      </c>
      <c r="H1308" s="636" t="s">
        <v>5501</v>
      </c>
      <c r="I1308" s="636" t="s">
        <v>5502</v>
      </c>
      <c r="J1308" s="644"/>
      <c r="K1308" s="739"/>
      <c r="L1308" s="735">
        <v>12</v>
      </c>
      <c r="M1308" s="735">
        <v>121960.79999999997</v>
      </c>
      <c r="N1308" s="739"/>
      <c r="O1308" s="735">
        <v>6</v>
      </c>
      <c r="P1308" s="736">
        <v>61044.9</v>
      </c>
      <c r="Q1308" s="214"/>
    </row>
    <row r="1309" spans="1:17" ht="12" customHeight="1" x14ac:dyDescent="0.2">
      <c r="A1309" s="735" t="s">
        <v>5497</v>
      </c>
      <c r="B1309" s="735" t="s">
        <v>2170</v>
      </c>
      <c r="C1309" s="735" t="s">
        <v>451</v>
      </c>
      <c r="D1309" s="644" t="s">
        <v>5888</v>
      </c>
      <c r="E1309" s="736">
        <v>9000</v>
      </c>
      <c r="F1309" s="638" t="s">
        <v>5889</v>
      </c>
      <c r="G1309" s="636" t="s">
        <v>5890</v>
      </c>
      <c r="H1309" s="636" t="s">
        <v>5501</v>
      </c>
      <c r="I1309" s="636" t="s">
        <v>5502</v>
      </c>
      <c r="J1309" s="644"/>
      <c r="K1309" s="739"/>
      <c r="L1309" s="735">
        <v>11</v>
      </c>
      <c r="M1309" s="735">
        <v>93041.999999999985</v>
      </c>
      <c r="N1309" s="739"/>
      <c r="O1309" s="735">
        <v>6</v>
      </c>
      <c r="P1309" s="736">
        <v>55044.9</v>
      </c>
      <c r="Q1309" s="214"/>
    </row>
    <row r="1310" spans="1:17" ht="12" customHeight="1" x14ac:dyDescent="0.2">
      <c r="A1310" s="735" t="s">
        <v>5497</v>
      </c>
      <c r="B1310" s="735" t="s">
        <v>2170</v>
      </c>
      <c r="C1310" s="735" t="s">
        <v>451</v>
      </c>
      <c r="D1310" s="644" t="s">
        <v>5579</v>
      </c>
      <c r="E1310" s="736">
        <v>9000</v>
      </c>
      <c r="F1310" s="638" t="s">
        <v>5891</v>
      </c>
      <c r="G1310" s="636" t="s">
        <v>5892</v>
      </c>
      <c r="H1310" s="636" t="s">
        <v>5556</v>
      </c>
      <c r="I1310" s="636" t="s">
        <v>5502</v>
      </c>
      <c r="J1310" s="644"/>
      <c r="K1310" s="739"/>
      <c r="L1310" s="735">
        <v>12</v>
      </c>
      <c r="M1310" s="735">
        <v>109960.79999999997</v>
      </c>
      <c r="N1310" s="739"/>
      <c r="O1310" s="735">
        <v>6</v>
      </c>
      <c r="P1310" s="736">
        <v>55044.9</v>
      </c>
      <c r="Q1310" s="214"/>
    </row>
    <row r="1311" spans="1:17" ht="12" customHeight="1" x14ac:dyDescent="0.2">
      <c r="A1311" s="735" t="s">
        <v>5497</v>
      </c>
      <c r="B1311" s="735" t="s">
        <v>2170</v>
      </c>
      <c r="C1311" s="735" t="s">
        <v>451</v>
      </c>
      <c r="D1311" s="644" t="s">
        <v>5657</v>
      </c>
      <c r="E1311" s="736">
        <v>9000</v>
      </c>
      <c r="F1311" s="638" t="s">
        <v>5893</v>
      </c>
      <c r="G1311" s="636" t="s">
        <v>5894</v>
      </c>
      <c r="H1311" s="636" t="s">
        <v>5506</v>
      </c>
      <c r="I1311" s="636" t="s">
        <v>5502</v>
      </c>
      <c r="J1311" s="644"/>
      <c r="K1311" s="739"/>
      <c r="L1311" s="735">
        <v>8</v>
      </c>
      <c r="M1311" s="735">
        <v>67307.199999999997</v>
      </c>
      <c r="N1311" s="739"/>
      <c r="O1311" s="735">
        <v>6</v>
      </c>
      <c r="P1311" s="736">
        <v>55044.9</v>
      </c>
      <c r="Q1311" s="214"/>
    </row>
    <row r="1312" spans="1:17" ht="12" customHeight="1" x14ac:dyDescent="0.2">
      <c r="A1312" s="735" t="s">
        <v>5497</v>
      </c>
      <c r="B1312" s="735" t="s">
        <v>2170</v>
      </c>
      <c r="C1312" s="735" t="s">
        <v>451</v>
      </c>
      <c r="D1312" s="644" t="s">
        <v>2225</v>
      </c>
      <c r="E1312" s="736">
        <v>9000</v>
      </c>
      <c r="F1312" s="638" t="s">
        <v>5895</v>
      </c>
      <c r="G1312" s="636" t="s">
        <v>5896</v>
      </c>
      <c r="H1312" s="636" t="s">
        <v>5541</v>
      </c>
      <c r="I1312" s="636" t="s">
        <v>5502</v>
      </c>
      <c r="J1312" s="644"/>
      <c r="K1312" s="739"/>
      <c r="L1312" s="735">
        <v>12</v>
      </c>
      <c r="M1312" s="735">
        <v>109960.79999999997</v>
      </c>
      <c r="N1312" s="739"/>
      <c r="O1312" s="735">
        <v>6</v>
      </c>
      <c r="P1312" s="736">
        <v>55044.9</v>
      </c>
      <c r="Q1312" s="214"/>
    </row>
    <row r="1313" spans="1:17" ht="12" customHeight="1" x14ac:dyDescent="0.2">
      <c r="A1313" s="735" t="s">
        <v>5497</v>
      </c>
      <c r="B1313" s="735" t="s">
        <v>2170</v>
      </c>
      <c r="C1313" s="735" t="s">
        <v>451</v>
      </c>
      <c r="D1313" s="644" t="s">
        <v>5579</v>
      </c>
      <c r="E1313" s="736">
        <v>9000</v>
      </c>
      <c r="F1313" s="638" t="s">
        <v>5897</v>
      </c>
      <c r="G1313" s="636" t="s">
        <v>5898</v>
      </c>
      <c r="H1313" s="636" t="s">
        <v>5501</v>
      </c>
      <c r="I1313" s="636" t="s">
        <v>5502</v>
      </c>
      <c r="J1313" s="644"/>
      <c r="K1313" s="739"/>
      <c r="L1313" s="735">
        <v>5</v>
      </c>
      <c r="M1313" s="735">
        <v>50192</v>
      </c>
      <c r="N1313" s="739"/>
      <c r="O1313" s="735"/>
      <c r="P1313" s="736"/>
      <c r="Q1313" s="214"/>
    </row>
    <row r="1314" spans="1:17" ht="12" customHeight="1" x14ac:dyDescent="0.2">
      <c r="A1314" s="735" t="s">
        <v>5497</v>
      </c>
      <c r="B1314" s="735" t="s">
        <v>2170</v>
      </c>
      <c r="C1314" s="735" t="s">
        <v>451</v>
      </c>
      <c r="D1314" s="644" t="s">
        <v>2214</v>
      </c>
      <c r="E1314" s="736">
        <v>3000</v>
      </c>
      <c r="F1314" s="638" t="s">
        <v>5899</v>
      </c>
      <c r="G1314" s="636" t="s">
        <v>5900</v>
      </c>
      <c r="H1314" s="636" t="s">
        <v>5901</v>
      </c>
      <c r="I1314" s="636" t="s">
        <v>5502</v>
      </c>
      <c r="J1314" s="644"/>
      <c r="K1314" s="739"/>
      <c r="L1314" s="735">
        <v>11</v>
      </c>
      <c r="M1314" s="735">
        <v>33547.400000000009</v>
      </c>
      <c r="N1314" s="739"/>
      <c r="O1314" s="735">
        <v>6</v>
      </c>
      <c r="P1314" s="736">
        <v>19044.900000000001</v>
      </c>
      <c r="Q1314" s="214"/>
    </row>
    <row r="1315" spans="1:17" ht="12" customHeight="1" x14ac:dyDescent="0.2">
      <c r="A1315" s="735" t="s">
        <v>5497</v>
      </c>
      <c r="B1315" s="735" t="s">
        <v>2170</v>
      </c>
      <c r="C1315" s="735" t="s">
        <v>451</v>
      </c>
      <c r="D1315" s="644" t="s">
        <v>5671</v>
      </c>
      <c r="E1315" s="736">
        <v>9000</v>
      </c>
      <c r="F1315" s="638" t="s">
        <v>5902</v>
      </c>
      <c r="G1315" s="636" t="s">
        <v>5903</v>
      </c>
      <c r="H1315" s="636" t="s">
        <v>5506</v>
      </c>
      <c r="I1315" s="636" t="s">
        <v>5502</v>
      </c>
      <c r="J1315" s="644"/>
      <c r="K1315" s="739"/>
      <c r="L1315" s="735">
        <v>12</v>
      </c>
      <c r="M1315" s="735">
        <v>136694.12999999998</v>
      </c>
      <c r="N1315" s="739"/>
      <c r="O1315" s="735">
        <v>6</v>
      </c>
      <c r="P1315" s="736">
        <v>61044.9</v>
      </c>
      <c r="Q1315" s="214"/>
    </row>
    <row r="1316" spans="1:17" ht="12" customHeight="1" x14ac:dyDescent="0.2">
      <c r="A1316" s="735" t="s">
        <v>5497</v>
      </c>
      <c r="B1316" s="735" t="s">
        <v>2170</v>
      </c>
      <c r="C1316" s="735" t="s">
        <v>451</v>
      </c>
      <c r="D1316" s="644" t="s">
        <v>5579</v>
      </c>
      <c r="E1316" s="736">
        <v>9000</v>
      </c>
      <c r="F1316" s="638" t="s">
        <v>5904</v>
      </c>
      <c r="G1316" s="636" t="s">
        <v>5905</v>
      </c>
      <c r="H1316" s="636" t="s">
        <v>5501</v>
      </c>
      <c r="I1316" s="636" t="s">
        <v>5502</v>
      </c>
      <c r="J1316" s="644"/>
      <c r="K1316" s="739"/>
      <c r="L1316" s="735">
        <v>12</v>
      </c>
      <c r="M1316" s="735">
        <v>109960.79999999997</v>
      </c>
      <c r="N1316" s="739"/>
      <c r="O1316" s="735">
        <v>6</v>
      </c>
      <c r="P1316" s="736">
        <v>55044.9</v>
      </c>
      <c r="Q1316" s="214"/>
    </row>
    <row r="1317" spans="1:17" ht="12" customHeight="1" x14ac:dyDescent="0.2">
      <c r="A1317" s="735" t="s">
        <v>5497</v>
      </c>
      <c r="B1317" s="735" t="s">
        <v>2170</v>
      </c>
      <c r="C1317" s="735" t="s">
        <v>451</v>
      </c>
      <c r="D1317" s="644" t="s">
        <v>5579</v>
      </c>
      <c r="E1317" s="736">
        <v>9000</v>
      </c>
      <c r="F1317" s="638" t="s">
        <v>5906</v>
      </c>
      <c r="G1317" s="636" t="s">
        <v>5907</v>
      </c>
      <c r="H1317" s="636" t="s">
        <v>5506</v>
      </c>
      <c r="I1317" s="636" t="s">
        <v>5502</v>
      </c>
      <c r="J1317" s="644"/>
      <c r="K1317" s="739"/>
      <c r="L1317" s="735">
        <v>12</v>
      </c>
      <c r="M1317" s="735">
        <v>109960.79999999997</v>
      </c>
      <c r="N1317" s="739"/>
      <c r="O1317" s="735">
        <v>6</v>
      </c>
      <c r="P1317" s="736">
        <v>55044.9</v>
      </c>
      <c r="Q1317" s="214"/>
    </row>
    <row r="1318" spans="1:17" ht="12" customHeight="1" x14ac:dyDescent="0.2">
      <c r="A1318" s="735" t="s">
        <v>5497</v>
      </c>
      <c r="B1318" s="735" t="s">
        <v>2170</v>
      </c>
      <c r="C1318" s="735" t="s">
        <v>451</v>
      </c>
      <c r="D1318" s="644" t="s">
        <v>5908</v>
      </c>
      <c r="E1318" s="736">
        <v>5500</v>
      </c>
      <c r="F1318" s="638" t="s">
        <v>5909</v>
      </c>
      <c r="G1318" s="636" t="s">
        <v>5910</v>
      </c>
      <c r="H1318" s="636" t="s">
        <v>5911</v>
      </c>
      <c r="I1318" s="636" t="s">
        <v>5502</v>
      </c>
      <c r="J1318" s="644"/>
      <c r="K1318" s="739"/>
      <c r="L1318" s="735">
        <v>12</v>
      </c>
      <c r="M1318" s="735">
        <v>67960.800000000003</v>
      </c>
      <c r="N1318" s="739"/>
      <c r="O1318" s="735">
        <v>6</v>
      </c>
      <c r="P1318" s="736">
        <v>34044.9</v>
      </c>
      <c r="Q1318" s="214"/>
    </row>
    <row r="1319" spans="1:17" ht="12" customHeight="1" x14ac:dyDescent="0.2">
      <c r="A1319" s="735" t="s">
        <v>5497</v>
      </c>
      <c r="B1319" s="735" t="s">
        <v>2170</v>
      </c>
      <c r="C1319" s="735" t="s">
        <v>451</v>
      </c>
      <c r="D1319" s="644" t="s">
        <v>5912</v>
      </c>
      <c r="E1319" s="736">
        <v>9000</v>
      </c>
      <c r="F1319" s="638" t="s">
        <v>5913</v>
      </c>
      <c r="G1319" s="636" t="s">
        <v>5914</v>
      </c>
      <c r="H1319" s="636" t="s">
        <v>5506</v>
      </c>
      <c r="I1319" s="636" t="s">
        <v>5502</v>
      </c>
      <c r="J1319" s="644"/>
      <c r="K1319" s="739"/>
      <c r="L1319" s="735">
        <v>12</v>
      </c>
      <c r="M1319" s="735">
        <v>138652.46999999997</v>
      </c>
      <c r="N1319" s="739"/>
      <c r="O1319" s="735">
        <v>6</v>
      </c>
      <c r="P1319" s="736">
        <v>61044.9</v>
      </c>
      <c r="Q1319" s="214"/>
    </row>
    <row r="1320" spans="1:17" ht="12" customHeight="1" x14ac:dyDescent="0.2">
      <c r="A1320" s="735" t="s">
        <v>5497</v>
      </c>
      <c r="B1320" s="735" t="s">
        <v>2170</v>
      </c>
      <c r="C1320" s="735" t="s">
        <v>451</v>
      </c>
      <c r="D1320" s="644" t="s">
        <v>5691</v>
      </c>
      <c r="E1320" s="736">
        <v>3200</v>
      </c>
      <c r="F1320" s="638" t="s">
        <v>5915</v>
      </c>
      <c r="G1320" s="636" t="s">
        <v>5916</v>
      </c>
      <c r="H1320" s="636" t="s">
        <v>5694</v>
      </c>
      <c r="I1320" s="636"/>
      <c r="J1320" s="644" t="s">
        <v>5515</v>
      </c>
      <c r="K1320" s="739"/>
      <c r="L1320" s="735">
        <v>12</v>
      </c>
      <c r="M1320" s="735">
        <v>40360.80000000001</v>
      </c>
      <c r="N1320" s="739"/>
      <c r="O1320" s="735">
        <v>6</v>
      </c>
      <c r="P1320" s="736">
        <v>20244.900000000001</v>
      </c>
      <c r="Q1320" s="214"/>
    </row>
    <row r="1321" spans="1:17" ht="12" customHeight="1" x14ac:dyDescent="0.2">
      <c r="A1321" s="735" t="s">
        <v>5497</v>
      </c>
      <c r="B1321" s="735" t="s">
        <v>2170</v>
      </c>
      <c r="C1321" s="735" t="s">
        <v>451</v>
      </c>
      <c r="D1321" s="644" t="s">
        <v>2394</v>
      </c>
      <c r="E1321" s="736">
        <v>10000</v>
      </c>
      <c r="F1321" s="638" t="s">
        <v>5917</v>
      </c>
      <c r="G1321" s="636" t="s">
        <v>5918</v>
      </c>
      <c r="H1321" s="636" t="s">
        <v>5501</v>
      </c>
      <c r="I1321" s="636" t="s">
        <v>5502</v>
      </c>
      <c r="J1321" s="644"/>
      <c r="K1321" s="739"/>
      <c r="L1321" s="735">
        <v>12</v>
      </c>
      <c r="M1321" s="735">
        <v>121960.79999999997</v>
      </c>
      <c r="N1321" s="739"/>
      <c r="O1321" s="735">
        <v>6</v>
      </c>
      <c r="P1321" s="736">
        <v>61044.9</v>
      </c>
      <c r="Q1321" s="214"/>
    </row>
    <row r="1322" spans="1:17" ht="12" customHeight="1" x14ac:dyDescent="0.2">
      <c r="A1322" s="735" t="s">
        <v>5497</v>
      </c>
      <c r="B1322" s="735" t="s">
        <v>2170</v>
      </c>
      <c r="C1322" s="735" t="s">
        <v>451</v>
      </c>
      <c r="D1322" s="644" t="s">
        <v>5579</v>
      </c>
      <c r="E1322" s="736">
        <v>9000</v>
      </c>
      <c r="F1322" s="638" t="s">
        <v>5919</v>
      </c>
      <c r="G1322" s="636" t="s">
        <v>5920</v>
      </c>
      <c r="H1322" s="636" t="s">
        <v>5501</v>
      </c>
      <c r="I1322" s="636" t="s">
        <v>5502</v>
      </c>
      <c r="J1322" s="644"/>
      <c r="K1322" s="739"/>
      <c r="L1322" s="735">
        <v>12</v>
      </c>
      <c r="M1322" s="735">
        <v>109960.79999999997</v>
      </c>
      <c r="N1322" s="739"/>
      <c r="O1322" s="735">
        <v>6</v>
      </c>
      <c r="P1322" s="736">
        <v>55044.9</v>
      </c>
      <c r="Q1322" s="214"/>
    </row>
    <row r="1323" spans="1:17" ht="12" customHeight="1" x14ac:dyDescent="0.2">
      <c r="A1323" s="735" t="s">
        <v>5497</v>
      </c>
      <c r="B1323" s="735" t="s">
        <v>2170</v>
      </c>
      <c r="C1323" s="735" t="s">
        <v>451</v>
      </c>
      <c r="D1323" s="644" t="s">
        <v>5921</v>
      </c>
      <c r="E1323" s="736">
        <v>10000</v>
      </c>
      <c r="F1323" s="638" t="s">
        <v>5922</v>
      </c>
      <c r="G1323" s="636" t="s">
        <v>5923</v>
      </c>
      <c r="H1323" s="636" t="s">
        <v>5578</v>
      </c>
      <c r="I1323" s="636" t="s">
        <v>5502</v>
      </c>
      <c r="J1323" s="644"/>
      <c r="K1323" s="739"/>
      <c r="L1323" s="735">
        <v>12</v>
      </c>
      <c r="M1323" s="735">
        <v>121960.79999999997</v>
      </c>
      <c r="N1323" s="739"/>
      <c r="O1323" s="735">
        <v>6</v>
      </c>
      <c r="P1323" s="736">
        <v>61044.9</v>
      </c>
      <c r="Q1323" s="214"/>
    </row>
    <row r="1324" spans="1:17" ht="12" customHeight="1" x14ac:dyDescent="0.2">
      <c r="A1324" s="735" t="s">
        <v>5497</v>
      </c>
      <c r="B1324" s="735" t="s">
        <v>2170</v>
      </c>
      <c r="C1324" s="735" t="s">
        <v>451</v>
      </c>
      <c r="D1324" s="644" t="s">
        <v>5924</v>
      </c>
      <c r="E1324" s="736">
        <v>10000</v>
      </c>
      <c r="F1324" s="638" t="s">
        <v>5925</v>
      </c>
      <c r="G1324" s="636" t="s">
        <v>5926</v>
      </c>
      <c r="H1324" s="636" t="s">
        <v>5510</v>
      </c>
      <c r="I1324" s="636" t="s">
        <v>5502</v>
      </c>
      <c r="J1324" s="644"/>
      <c r="K1324" s="739"/>
      <c r="L1324" s="735">
        <v>3</v>
      </c>
      <c r="M1324" s="735">
        <v>30540.199999999997</v>
      </c>
      <c r="N1324" s="739"/>
      <c r="O1324" s="735">
        <v>6</v>
      </c>
      <c r="P1324" s="736">
        <v>61044.9</v>
      </c>
      <c r="Q1324" s="214"/>
    </row>
    <row r="1325" spans="1:17" ht="12" customHeight="1" x14ac:dyDescent="0.2">
      <c r="A1325" s="735" t="s">
        <v>5497</v>
      </c>
      <c r="B1325" s="735" t="s">
        <v>2170</v>
      </c>
      <c r="C1325" s="735" t="s">
        <v>451</v>
      </c>
      <c r="D1325" s="644" t="s">
        <v>2261</v>
      </c>
      <c r="E1325" s="736">
        <v>3500</v>
      </c>
      <c r="F1325" s="638" t="s">
        <v>5927</v>
      </c>
      <c r="G1325" s="636" t="s">
        <v>5928</v>
      </c>
      <c r="H1325" s="636" t="s">
        <v>5929</v>
      </c>
      <c r="I1325" s="636" t="s">
        <v>5502</v>
      </c>
      <c r="J1325" s="644"/>
      <c r="K1325" s="739"/>
      <c r="L1325" s="735"/>
      <c r="M1325" s="735"/>
      <c r="N1325" s="739"/>
      <c r="O1325" s="735">
        <v>1</v>
      </c>
      <c r="P1325" s="736">
        <v>3674.15</v>
      </c>
      <c r="Q1325" s="214"/>
    </row>
    <row r="1326" spans="1:17" ht="12" customHeight="1" x14ac:dyDescent="0.2">
      <c r="A1326" s="735" t="s">
        <v>5497</v>
      </c>
      <c r="B1326" s="735" t="s">
        <v>2170</v>
      </c>
      <c r="C1326" s="735" t="s">
        <v>451</v>
      </c>
      <c r="D1326" s="644" t="s">
        <v>5579</v>
      </c>
      <c r="E1326" s="736">
        <v>9000</v>
      </c>
      <c r="F1326" s="638" t="s">
        <v>5930</v>
      </c>
      <c r="G1326" s="636" t="s">
        <v>5931</v>
      </c>
      <c r="H1326" s="636" t="s">
        <v>5501</v>
      </c>
      <c r="I1326" s="636" t="s">
        <v>5502</v>
      </c>
      <c r="J1326" s="644"/>
      <c r="K1326" s="739"/>
      <c r="L1326" s="735">
        <v>12</v>
      </c>
      <c r="M1326" s="735">
        <v>123310.79999999997</v>
      </c>
      <c r="N1326" s="739"/>
      <c r="O1326" s="735"/>
      <c r="P1326" s="736"/>
      <c r="Q1326" s="214"/>
    </row>
    <row r="1327" spans="1:17" ht="12" customHeight="1" x14ac:dyDescent="0.2">
      <c r="A1327" s="735" t="s">
        <v>5497</v>
      </c>
      <c r="B1327" s="735" t="s">
        <v>2170</v>
      </c>
      <c r="C1327" s="735" t="s">
        <v>451</v>
      </c>
      <c r="D1327" s="644" t="s">
        <v>5671</v>
      </c>
      <c r="E1327" s="736">
        <v>7000</v>
      </c>
      <c r="F1327" s="638" t="s">
        <v>5932</v>
      </c>
      <c r="G1327" s="636" t="s">
        <v>5933</v>
      </c>
      <c r="H1327" s="636" t="s">
        <v>5934</v>
      </c>
      <c r="I1327" s="636"/>
      <c r="J1327" s="644" t="s">
        <v>5515</v>
      </c>
      <c r="K1327" s="739"/>
      <c r="L1327" s="735">
        <v>12</v>
      </c>
      <c r="M1327" s="735">
        <v>85960.799999999988</v>
      </c>
      <c r="N1327" s="739"/>
      <c r="O1327" s="735">
        <v>6</v>
      </c>
      <c r="P1327" s="736">
        <v>43044.9</v>
      </c>
      <c r="Q1327" s="214"/>
    </row>
    <row r="1328" spans="1:17" ht="12" customHeight="1" x14ac:dyDescent="0.2">
      <c r="A1328" s="735" t="s">
        <v>5497</v>
      </c>
      <c r="B1328" s="735" t="s">
        <v>2170</v>
      </c>
      <c r="C1328" s="735" t="s">
        <v>451</v>
      </c>
      <c r="D1328" s="644" t="s">
        <v>5935</v>
      </c>
      <c r="E1328" s="736">
        <v>12000</v>
      </c>
      <c r="F1328" s="638" t="s">
        <v>5936</v>
      </c>
      <c r="G1328" s="636" t="s">
        <v>5937</v>
      </c>
      <c r="H1328" s="636" t="s">
        <v>5578</v>
      </c>
      <c r="I1328" s="636" t="s">
        <v>5502</v>
      </c>
      <c r="J1328" s="644"/>
      <c r="K1328" s="739"/>
      <c r="L1328" s="735">
        <v>12</v>
      </c>
      <c r="M1328" s="735">
        <v>145960.79999999996</v>
      </c>
      <c r="N1328" s="739"/>
      <c r="O1328" s="735">
        <v>6</v>
      </c>
      <c r="P1328" s="736">
        <v>73044.899999999994</v>
      </c>
      <c r="Q1328" s="214"/>
    </row>
    <row r="1329" spans="1:17" ht="12" customHeight="1" x14ac:dyDescent="0.2">
      <c r="A1329" s="735" t="s">
        <v>5497</v>
      </c>
      <c r="B1329" s="735" t="s">
        <v>2170</v>
      </c>
      <c r="C1329" s="735" t="s">
        <v>451</v>
      </c>
      <c r="D1329" s="644" t="s">
        <v>2190</v>
      </c>
      <c r="E1329" s="736">
        <v>3400</v>
      </c>
      <c r="F1329" s="638" t="s">
        <v>5938</v>
      </c>
      <c r="G1329" s="636" t="s">
        <v>5939</v>
      </c>
      <c r="H1329" s="636" t="s">
        <v>5518</v>
      </c>
      <c r="I1329" s="636"/>
      <c r="J1329" s="644" t="s">
        <v>5515</v>
      </c>
      <c r="K1329" s="739"/>
      <c r="L1329" s="735">
        <v>12</v>
      </c>
      <c r="M1329" s="735">
        <v>42760.80000000001</v>
      </c>
      <c r="N1329" s="739"/>
      <c r="O1329" s="735">
        <v>6</v>
      </c>
      <c r="P1329" s="736">
        <v>21444.9</v>
      </c>
      <c r="Q1329" s="214"/>
    </row>
    <row r="1330" spans="1:17" ht="12" customHeight="1" x14ac:dyDescent="0.2">
      <c r="A1330" s="735" t="s">
        <v>5497</v>
      </c>
      <c r="B1330" s="735" t="s">
        <v>2170</v>
      </c>
      <c r="C1330" s="735" t="s">
        <v>451</v>
      </c>
      <c r="D1330" s="644" t="s">
        <v>5503</v>
      </c>
      <c r="E1330" s="736">
        <v>9000</v>
      </c>
      <c r="F1330" s="638" t="s">
        <v>5940</v>
      </c>
      <c r="G1330" s="636" t="s">
        <v>5941</v>
      </c>
      <c r="H1330" s="636" t="s">
        <v>5501</v>
      </c>
      <c r="I1330" s="636" t="s">
        <v>5502</v>
      </c>
      <c r="J1330" s="644"/>
      <c r="K1330" s="739"/>
      <c r="L1330" s="735">
        <v>12</v>
      </c>
      <c r="M1330" s="735">
        <v>118210.79999999997</v>
      </c>
      <c r="N1330" s="739"/>
      <c r="O1330" s="735"/>
      <c r="P1330" s="736"/>
      <c r="Q1330" s="214"/>
    </row>
    <row r="1331" spans="1:17" ht="12" customHeight="1" x14ac:dyDescent="0.2">
      <c r="A1331" s="735" t="s">
        <v>5497</v>
      </c>
      <c r="B1331" s="735" t="s">
        <v>2170</v>
      </c>
      <c r="C1331" s="735" t="s">
        <v>451</v>
      </c>
      <c r="D1331" s="644" t="s">
        <v>5942</v>
      </c>
      <c r="E1331" s="736">
        <v>4500</v>
      </c>
      <c r="F1331" s="638" t="s">
        <v>5943</v>
      </c>
      <c r="G1331" s="636" t="s">
        <v>5944</v>
      </c>
      <c r="H1331" s="636" t="s">
        <v>5945</v>
      </c>
      <c r="I1331" s="636"/>
      <c r="J1331" s="644" t="s">
        <v>5515</v>
      </c>
      <c r="K1331" s="739"/>
      <c r="L1331" s="735">
        <v>12</v>
      </c>
      <c r="M1331" s="735">
        <v>56205.80000000001</v>
      </c>
      <c r="N1331" s="739"/>
      <c r="O1331" s="735">
        <v>6</v>
      </c>
      <c r="P1331" s="736">
        <v>28044.9</v>
      </c>
      <c r="Q1331" s="214"/>
    </row>
    <row r="1332" spans="1:17" ht="12" customHeight="1" x14ac:dyDescent="0.2">
      <c r="A1332" s="735" t="s">
        <v>5497</v>
      </c>
      <c r="B1332" s="735" t="s">
        <v>2170</v>
      </c>
      <c r="C1332" s="735" t="s">
        <v>451</v>
      </c>
      <c r="D1332" s="644" t="s">
        <v>4479</v>
      </c>
      <c r="E1332" s="736">
        <v>12000</v>
      </c>
      <c r="F1332" s="638" t="s">
        <v>5946</v>
      </c>
      <c r="G1332" s="636" t="s">
        <v>5947</v>
      </c>
      <c r="H1332" s="636" t="s">
        <v>5506</v>
      </c>
      <c r="I1332" s="636" t="s">
        <v>5502</v>
      </c>
      <c r="J1332" s="644"/>
      <c r="K1332" s="739"/>
      <c r="L1332" s="735">
        <v>12</v>
      </c>
      <c r="M1332" s="735">
        <v>145960.79999999996</v>
      </c>
      <c r="N1332" s="739"/>
      <c r="O1332" s="735">
        <v>3</v>
      </c>
      <c r="P1332" s="736">
        <v>37422.449999999997</v>
      </c>
      <c r="Q1332" s="214"/>
    </row>
    <row r="1333" spans="1:17" ht="12" customHeight="1" x14ac:dyDescent="0.2">
      <c r="A1333" s="735" t="s">
        <v>5497</v>
      </c>
      <c r="B1333" s="735" t="s">
        <v>2170</v>
      </c>
      <c r="C1333" s="735" t="s">
        <v>451</v>
      </c>
      <c r="D1333" s="644" t="s">
        <v>5948</v>
      </c>
      <c r="E1333" s="736">
        <v>8000</v>
      </c>
      <c r="F1333" s="638" t="s">
        <v>5949</v>
      </c>
      <c r="G1333" s="636" t="s">
        <v>5950</v>
      </c>
      <c r="H1333" s="636" t="s">
        <v>5670</v>
      </c>
      <c r="I1333" s="636" t="s">
        <v>5502</v>
      </c>
      <c r="J1333" s="644"/>
      <c r="K1333" s="739"/>
      <c r="L1333" s="735">
        <v>1</v>
      </c>
      <c r="M1333" s="735">
        <v>3046.73</v>
      </c>
      <c r="N1333" s="739"/>
      <c r="O1333" s="735">
        <v>6</v>
      </c>
      <c r="P1333" s="736">
        <v>49044.9</v>
      </c>
      <c r="Q1333" s="214"/>
    </row>
    <row r="1334" spans="1:17" ht="12" customHeight="1" x14ac:dyDescent="0.2">
      <c r="A1334" s="735" t="s">
        <v>5497</v>
      </c>
      <c r="B1334" s="735" t="s">
        <v>2170</v>
      </c>
      <c r="C1334" s="735" t="s">
        <v>451</v>
      </c>
      <c r="D1334" s="644" t="s">
        <v>5951</v>
      </c>
      <c r="E1334" s="736">
        <v>12000</v>
      </c>
      <c r="F1334" s="638" t="s">
        <v>5952</v>
      </c>
      <c r="G1334" s="636" t="s">
        <v>5953</v>
      </c>
      <c r="H1334" s="636" t="s">
        <v>5506</v>
      </c>
      <c r="I1334" s="636" t="s">
        <v>5502</v>
      </c>
      <c r="J1334" s="644"/>
      <c r="K1334" s="739"/>
      <c r="L1334" s="735"/>
      <c r="M1334" s="735"/>
      <c r="N1334" s="739"/>
      <c r="O1334" s="735">
        <v>5</v>
      </c>
      <c r="P1334" s="736">
        <v>53270.75</v>
      </c>
      <c r="Q1334" s="214"/>
    </row>
    <row r="1335" spans="1:17" ht="12" customHeight="1" x14ac:dyDescent="0.2">
      <c r="A1335" s="735" t="s">
        <v>5497</v>
      </c>
      <c r="B1335" s="735" t="s">
        <v>2170</v>
      </c>
      <c r="C1335" s="735" t="s">
        <v>451</v>
      </c>
      <c r="D1335" s="644" t="s">
        <v>5954</v>
      </c>
      <c r="E1335" s="736">
        <v>4800</v>
      </c>
      <c r="F1335" s="638" t="s">
        <v>5955</v>
      </c>
      <c r="G1335" s="636" t="s">
        <v>5956</v>
      </c>
      <c r="H1335" s="636" t="s">
        <v>2186</v>
      </c>
      <c r="I1335" s="636" t="s">
        <v>5502</v>
      </c>
      <c r="J1335" s="644"/>
      <c r="K1335" s="739"/>
      <c r="L1335" s="735">
        <v>8</v>
      </c>
      <c r="M1335" s="735">
        <v>91640.529999999984</v>
      </c>
      <c r="N1335" s="739"/>
      <c r="O1335" s="735"/>
      <c r="P1335" s="736"/>
      <c r="Q1335" s="214"/>
    </row>
    <row r="1336" spans="1:17" ht="12" customHeight="1" x14ac:dyDescent="0.2">
      <c r="A1336" s="735" t="s">
        <v>5497</v>
      </c>
      <c r="B1336" s="735" t="s">
        <v>2170</v>
      </c>
      <c r="C1336" s="735" t="s">
        <v>451</v>
      </c>
      <c r="D1336" s="644" t="s">
        <v>5957</v>
      </c>
      <c r="E1336" s="736">
        <v>9500</v>
      </c>
      <c r="F1336" s="638" t="s">
        <v>5958</v>
      </c>
      <c r="G1336" s="636" t="s">
        <v>5959</v>
      </c>
      <c r="H1336" s="636" t="s">
        <v>5501</v>
      </c>
      <c r="I1336" s="636" t="s">
        <v>5502</v>
      </c>
      <c r="J1336" s="644"/>
      <c r="K1336" s="739"/>
      <c r="L1336" s="735"/>
      <c r="M1336" s="735"/>
      <c r="N1336" s="739"/>
      <c r="O1336" s="735">
        <v>5</v>
      </c>
      <c r="P1336" s="736">
        <v>42987.42</v>
      </c>
      <c r="Q1336" s="214"/>
    </row>
    <row r="1337" spans="1:17" ht="12" customHeight="1" x14ac:dyDescent="0.2">
      <c r="A1337" s="735" t="s">
        <v>5497</v>
      </c>
      <c r="B1337" s="735" t="s">
        <v>2170</v>
      </c>
      <c r="C1337" s="735" t="s">
        <v>451</v>
      </c>
      <c r="D1337" s="644" t="s">
        <v>5090</v>
      </c>
      <c r="E1337" s="736">
        <v>4500</v>
      </c>
      <c r="F1337" s="638" t="s">
        <v>5960</v>
      </c>
      <c r="G1337" s="636" t="s">
        <v>5961</v>
      </c>
      <c r="H1337" s="636" t="s">
        <v>5501</v>
      </c>
      <c r="I1337" s="636" t="s">
        <v>5502</v>
      </c>
      <c r="J1337" s="644"/>
      <c r="K1337" s="739"/>
      <c r="L1337" s="735">
        <v>4</v>
      </c>
      <c r="M1337" s="735">
        <v>27828.6</v>
      </c>
      <c r="N1337" s="739"/>
      <c r="O1337" s="735"/>
      <c r="P1337" s="736"/>
      <c r="Q1337" s="214"/>
    </row>
    <row r="1338" spans="1:17" ht="12" customHeight="1" x14ac:dyDescent="0.2">
      <c r="A1338" s="735" t="s">
        <v>5497</v>
      </c>
      <c r="B1338" s="735" t="s">
        <v>2170</v>
      </c>
      <c r="C1338" s="735" t="s">
        <v>451</v>
      </c>
      <c r="D1338" s="644" t="s">
        <v>5962</v>
      </c>
      <c r="E1338" s="736">
        <v>10000</v>
      </c>
      <c r="F1338" s="638" t="s">
        <v>5963</v>
      </c>
      <c r="G1338" s="636" t="s">
        <v>5964</v>
      </c>
      <c r="H1338" s="636" t="s">
        <v>5501</v>
      </c>
      <c r="I1338" s="636" t="s">
        <v>5502</v>
      </c>
      <c r="J1338" s="644"/>
      <c r="K1338" s="739"/>
      <c r="L1338" s="735">
        <v>12</v>
      </c>
      <c r="M1338" s="735">
        <v>121960.79999999997</v>
      </c>
      <c r="N1338" s="739"/>
      <c r="O1338" s="735">
        <v>6</v>
      </c>
      <c r="P1338" s="736">
        <v>61044.9</v>
      </c>
      <c r="Q1338" s="214"/>
    </row>
    <row r="1339" spans="1:17" ht="12" customHeight="1" x14ac:dyDescent="0.2">
      <c r="A1339" s="735" t="s">
        <v>5497</v>
      </c>
      <c r="B1339" s="735" t="s">
        <v>2170</v>
      </c>
      <c r="C1339" s="735" t="s">
        <v>451</v>
      </c>
      <c r="D1339" s="644" t="s">
        <v>5965</v>
      </c>
      <c r="E1339" s="736">
        <v>9000</v>
      </c>
      <c r="F1339" s="638" t="s">
        <v>5442</v>
      </c>
      <c r="G1339" s="636" t="s">
        <v>5966</v>
      </c>
      <c r="H1339" s="636" t="s">
        <v>5506</v>
      </c>
      <c r="I1339" s="636" t="s">
        <v>5502</v>
      </c>
      <c r="J1339" s="644"/>
      <c r="K1339" s="739"/>
      <c r="L1339" s="735">
        <v>7</v>
      </c>
      <c r="M1339" s="735">
        <v>61318.8</v>
      </c>
      <c r="N1339" s="739"/>
      <c r="O1339" s="735"/>
      <c r="P1339" s="736"/>
      <c r="Q1339" s="214"/>
    </row>
    <row r="1340" spans="1:17" ht="12" customHeight="1" x14ac:dyDescent="0.2">
      <c r="A1340" s="735" t="s">
        <v>5497</v>
      </c>
      <c r="B1340" s="735" t="s">
        <v>2170</v>
      </c>
      <c r="C1340" s="735" t="s">
        <v>451</v>
      </c>
      <c r="D1340" s="644" t="s">
        <v>5967</v>
      </c>
      <c r="E1340" s="736">
        <v>8000</v>
      </c>
      <c r="F1340" s="638" t="s">
        <v>5968</v>
      </c>
      <c r="G1340" s="636" t="s">
        <v>5969</v>
      </c>
      <c r="H1340" s="636" t="s">
        <v>5501</v>
      </c>
      <c r="I1340" s="636" t="s">
        <v>5502</v>
      </c>
      <c r="J1340" s="644"/>
      <c r="K1340" s="739"/>
      <c r="L1340" s="735">
        <v>12</v>
      </c>
      <c r="M1340" s="735">
        <v>97960.799999999988</v>
      </c>
      <c r="N1340" s="739"/>
      <c r="O1340" s="735">
        <v>6</v>
      </c>
      <c r="P1340" s="736">
        <v>49044.9</v>
      </c>
      <c r="Q1340" s="214"/>
    </row>
    <row r="1341" spans="1:17" ht="12" customHeight="1" x14ac:dyDescent="0.2">
      <c r="A1341" s="735" t="s">
        <v>5497</v>
      </c>
      <c r="B1341" s="735" t="s">
        <v>2170</v>
      </c>
      <c r="C1341" s="735" t="s">
        <v>451</v>
      </c>
      <c r="D1341" s="644" t="s">
        <v>2394</v>
      </c>
      <c r="E1341" s="736">
        <v>8000</v>
      </c>
      <c r="F1341" s="638" t="s">
        <v>5970</v>
      </c>
      <c r="G1341" s="636" t="s">
        <v>5971</v>
      </c>
      <c r="H1341" s="636" t="s">
        <v>5506</v>
      </c>
      <c r="I1341" s="636" t="s">
        <v>5502</v>
      </c>
      <c r="J1341" s="644"/>
      <c r="K1341" s="739"/>
      <c r="L1341" s="735">
        <v>4</v>
      </c>
      <c r="M1341" s="735">
        <v>36953.599999999999</v>
      </c>
      <c r="N1341" s="739"/>
      <c r="O1341" s="735"/>
      <c r="P1341" s="736"/>
      <c r="Q1341" s="214"/>
    </row>
    <row r="1342" spans="1:17" ht="12" customHeight="1" x14ac:dyDescent="0.2">
      <c r="A1342" s="735" t="s">
        <v>5497</v>
      </c>
      <c r="B1342" s="735" t="s">
        <v>2170</v>
      </c>
      <c r="C1342" s="735" t="s">
        <v>451</v>
      </c>
      <c r="D1342" s="644" t="s">
        <v>5957</v>
      </c>
      <c r="E1342" s="736">
        <v>9500</v>
      </c>
      <c r="F1342" s="638" t="s">
        <v>5972</v>
      </c>
      <c r="G1342" s="636" t="s">
        <v>5973</v>
      </c>
      <c r="H1342" s="636" t="s">
        <v>5501</v>
      </c>
      <c r="I1342" s="636" t="s">
        <v>5502</v>
      </c>
      <c r="J1342" s="644"/>
      <c r="K1342" s="739"/>
      <c r="L1342" s="735">
        <v>12</v>
      </c>
      <c r="M1342" s="735">
        <v>121317.73999999998</v>
      </c>
      <c r="N1342" s="739"/>
      <c r="O1342" s="735"/>
      <c r="P1342" s="736"/>
      <c r="Q1342" s="214"/>
    </row>
    <row r="1343" spans="1:17" ht="12" customHeight="1" x14ac:dyDescent="0.2">
      <c r="A1343" s="735" t="s">
        <v>5497</v>
      </c>
      <c r="B1343" s="735" t="s">
        <v>2170</v>
      </c>
      <c r="C1343" s="735" t="s">
        <v>451</v>
      </c>
      <c r="D1343" s="644" t="s">
        <v>5974</v>
      </c>
      <c r="E1343" s="736">
        <v>9000</v>
      </c>
      <c r="F1343" s="638" t="s">
        <v>5975</v>
      </c>
      <c r="G1343" s="636" t="s">
        <v>5976</v>
      </c>
      <c r="H1343" s="636" t="s">
        <v>5977</v>
      </c>
      <c r="I1343" s="636" t="s">
        <v>5502</v>
      </c>
      <c r="J1343" s="644"/>
      <c r="K1343" s="739"/>
      <c r="L1343" s="735">
        <v>4</v>
      </c>
      <c r="M1343" s="735">
        <v>29153.599999999999</v>
      </c>
      <c r="N1343" s="739"/>
      <c r="O1343" s="735">
        <v>6</v>
      </c>
      <c r="P1343" s="736">
        <v>55044.9</v>
      </c>
      <c r="Q1343" s="214"/>
    </row>
    <row r="1344" spans="1:17" ht="12" customHeight="1" x14ac:dyDescent="0.2">
      <c r="A1344" s="735" t="s">
        <v>5497</v>
      </c>
      <c r="B1344" s="735" t="s">
        <v>2170</v>
      </c>
      <c r="C1344" s="735" t="s">
        <v>451</v>
      </c>
      <c r="D1344" s="644" t="s">
        <v>5978</v>
      </c>
      <c r="E1344" s="736">
        <v>9000</v>
      </c>
      <c r="F1344" s="638" t="s">
        <v>5979</v>
      </c>
      <c r="G1344" s="636" t="s">
        <v>5980</v>
      </c>
      <c r="H1344" s="636" t="s">
        <v>5501</v>
      </c>
      <c r="I1344" s="636" t="s">
        <v>5502</v>
      </c>
      <c r="J1344" s="644"/>
      <c r="K1344" s="739"/>
      <c r="L1344" s="735">
        <v>2</v>
      </c>
      <c r="M1344" s="735">
        <v>11026.8</v>
      </c>
      <c r="N1344" s="739"/>
      <c r="O1344" s="735">
        <v>6</v>
      </c>
      <c r="P1344" s="736">
        <v>55044.9</v>
      </c>
      <c r="Q1344" s="214"/>
    </row>
    <row r="1345" spans="1:17" ht="12" customHeight="1" x14ac:dyDescent="0.2">
      <c r="A1345" s="735" t="s">
        <v>5497</v>
      </c>
      <c r="B1345" s="735" t="s">
        <v>2170</v>
      </c>
      <c r="C1345" s="735" t="s">
        <v>451</v>
      </c>
      <c r="D1345" s="644" t="s">
        <v>2394</v>
      </c>
      <c r="E1345" s="736">
        <v>10000</v>
      </c>
      <c r="F1345" s="638" t="s">
        <v>5981</v>
      </c>
      <c r="G1345" s="636" t="s">
        <v>5982</v>
      </c>
      <c r="H1345" s="636" t="s">
        <v>5501</v>
      </c>
      <c r="I1345" s="636" t="s">
        <v>5502</v>
      </c>
      <c r="J1345" s="644"/>
      <c r="K1345" s="739"/>
      <c r="L1345" s="735">
        <v>10</v>
      </c>
      <c r="M1345" s="735">
        <v>89381.709999999992</v>
      </c>
      <c r="N1345" s="739"/>
      <c r="O1345" s="735">
        <v>2</v>
      </c>
      <c r="P1345" s="736">
        <v>18459.41</v>
      </c>
      <c r="Q1345" s="214"/>
    </row>
    <row r="1346" spans="1:17" ht="12" customHeight="1" x14ac:dyDescent="0.2">
      <c r="A1346" s="735" t="s">
        <v>5497</v>
      </c>
      <c r="B1346" s="735" t="s">
        <v>2170</v>
      </c>
      <c r="C1346" s="735" t="s">
        <v>451</v>
      </c>
      <c r="D1346" s="644" t="s">
        <v>5983</v>
      </c>
      <c r="E1346" s="736">
        <v>9000</v>
      </c>
      <c r="F1346" s="638" t="s">
        <v>5984</v>
      </c>
      <c r="G1346" s="636" t="s">
        <v>5985</v>
      </c>
      <c r="H1346" s="636" t="s">
        <v>5506</v>
      </c>
      <c r="I1346" s="636" t="s">
        <v>5502</v>
      </c>
      <c r="J1346" s="644"/>
      <c r="K1346" s="739"/>
      <c r="L1346" s="735">
        <v>12</v>
      </c>
      <c r="M1346" s="735">
        <v>109960.79999999997</v>
      </c>
      <c r="N1346" s="739"/>
      <c r="O1346" s="735">
        <v>6</v>
      </c>
      <c r="P1346" s="736">
        <v>55044.9</v>
      </c>
      <c r="Q1346" s="214"/>
    </row>
    <row r="1347" spans="1:17" ht="12" customHeight="1" x14ac:dyDescent="0.2">
      <c r="A1347" s="735" t="s">
        <v>5497</v>
      </c>
      <c r="B1347" s="735" t="s">
        <v>2170</v>
      </c>
      <c r="C1347" s="735" t="s">
        <v>451</v>
      </c>
      <c r="D1347" s="644" t="s">
        <v>5986</v>
      </c>
      <c r="E1347" s="736">
        <v>10000</v>
      </c>
      <c r="F1347" s="638" t="s">
        <v>5987</v>
      </c>
      <c r="G1347" s="636" t="s">
        <v>5988</v>
      </c>
      <c r="H1347" s="636" t="s">
        <v>5501</v>
      </c>
      <c r="I1347" s="636" t="s">
        <v>5502</v>
      </c>
      <c r="J1347" s="644"/>
      <c r="K1347" s="739"/>
      <c r="L1347" s="735">
        <v>8</v>
      </c>
      <c r="M1347" s="735">
        <v>79818.31</v>
      </c>
      <c r="N1347" s="739"/>
      <c r="O1347" s="735"/>
      <c r="P1347" s="736"/>
      <c r="Q1347" s="214"/>
    </row>
    <row r="1348" spans="1:17" ht="12" customHeight="1" x14ac:dyDescent="0.2">
      <c r="A1348" s="735" t="s">
        <v>5497</v>
      </c>
      <c r="B1348" s="735" t="s">
        <v>2170</v>
      </c>
      <c r="C1348" s="735" t="s">
        <v>451</v>
      </c>
      <c r="D1348" s="644" t="s">
        <v>5538</v>
      </c>
      <c r="E1348" s="736">
        <v>9000</v>
      </c>
      <c r="F1348" s="638" t="s">
        <v>5989</v>
      </c>
      <c r="G1348" s="636" t="s">
        <v>5990</v>
      </c>
      <c r="H1348" s="636" t="s">
        <v>5578</v>
      </c>
      <c r="I1348" s="636" t="s">
        <v>5502</v>
      </c>
      <c r="J1348" s="644"/>
      <c r="K1348" s="739"/>
      <c r="L1348" s="735">
        <v>9</v>
      </c>
      <c r="M1348" s="735">
        <v>68557.2</v>
      </c>
      <c r="N1348" s="739"/>
      <c r="O1348" s="735">
        <v>5</v>
      </c>
      <c r="P1348" s="736">
        <v>44970.75</v>
      </c>
      <c r="Q1348" s="214"/>
    </row>
    <row r="1349" spans="1:17" ht="12" customHeight="1" x14ac:dyDescent="0.2">
      <c r="A1349" s="735" t="s">
        <v>5497</v>
      </c>
      <c r="B1349" s="735" t="s">
        <v>2170</v>
      </c>
      <c r="C1349" s="735" t="s">
        <v>451</v>
      </c>
      <c r="D1349" s="644" t="s">
        <v>5991</v>
      </c>
      <c r="E1349" s="736">
        <v>9000</v>
      </c>
      <c r="F1349" s="638" t="s">
        <v>5992</v>
      </c>
      <c r="G1349" s="636" t="s">
        <v>5993</v>
      </c>
      <c r="H1349" s="636" t="s">
        <v>5501</v>
      </c>
      <c r="I1349" s="636" t="s">
        <v>5502</v>
      </c>
      <c r="J1349" s="644"/>
      <c r="K1349" s="739"/>
      <c r="L1349" s="735">
        <v>12</v>
      </c>
      <c r="M1349" s="735">
        <v>124796.41999999997</v>
      </c>
      <c r="N1349" s="739"/>
      <c r="O1349" s="735">
        <v>6</v>
      </c>
      <c r="P1349" s="736">
        <v>55044.9</v>
      </c>
      <c r="Q1349" s="214"/>
    </row>
    <row r="1350" spans="1:17" ht="12" customHeight="1" x14ac:dyDescent="0.2">
      <c r="A1350" s="735" t="s">
        <v>5497</v>
      </c>
      <c r="B1350" s="735" t="s">
        <v>2170</v>
      </c>
      <c r="C1350" s="735" t="s">
        <v>451</v>
      </c>
      <c r="D1350" s="644" t="s">
        <v>5709</v>
      </c>
      <c r="E1350" s="736">
        <v>9500</v>
      </c>
      <c r="F1350" s="638" t="s">
        <v>5994</v>
      </c>
      <c r="G1350" s="636" t="s">
        <v>5995</v>
      </c>
      <c r="H1350" s="636" t="s">
        <v>5501</v>
      </c>
      <c r="I1350" s="636" t="s">
        <v>5502</v>
      </c>
      <c r="J1350" s="644"/>
      <c r="K1350" s="739"/>
      <c r="L1350" s="735">
        <v>4</v>
      </c>
      <c r="M1350" s="735">
        <v>37450.819999999992</v>
      </c>
      <c r="N1350" s="739"/>
      <c r="O1350" s="735"/>
      <c r="P1350" s="736"/>
      <c r="Q1350" s="214"/>
    </row>
    <row r="1351" spans="1:17" ht="12" customHeight="1" x14ac:dyDescent="0.2">
      <c r="A1351" s="735" t="s">
        <v>5497</v>
      </c>
      <c r="B1351" s="735" t="s">
        <v>2170</v>
      </c>
      <c r="C1351" s="735" t="s">
        <v>451</v>
      </c>
      <c r="D1351" s="644" t="s">
        <v>2261</v>
      </c>
      <c r="E1351" s="736">
        <v>3500</v>
      </c>
      <c r="F1351" s="638" t="s">
        <v>5996</v>
      </c>
      <c r="G1351" s="636" t="s">
        <v>5997</v>
      </c>
      <c r="H1351" s="636" t="s">
        <v>5998</v>
      </c>
      <c r="I1351" s="636"/>
      <c r="J1351" s="644" t="s">
        <v>5515</v>
      </c>
      <c r="K1351" s="739"/>
      <c r="L1351" s="735">
        <v>12</v>
      </c>
      <c r="M1351" s="735">
        <v>43960.80000000001</v>
      </c>
      <c r="N1351" s="739"/>
      <c r="O1351" s="735">
        <v>3</v>
      </c>
      <c r="P1351" s="736">
        <v>10066.73</v>
      </c>
      <c r="Q1351" s="214"/>
    </row>
    <row r="1352" spans="1:17" ht="12" customHeight="1" x14ac:dyDescent="0.2">
      <c r="A1352" s="735" t="s">
        <v>5497</v>
      </c>
      <c r="B1352" s="735" t="s">
        <v>2170</v>
      </c>
      <c r="C1352" s="735" t="s">
        <v>451</v>
      </c>
      <c r="D1352" s="644" t="s">
        <v>3721</v>
      </c>
      <c r="E1352" s="736">
        <v>8000</v>
      </c>
      <c r="F1352" s="638" t="s">
        <v>5999</v>
      </c>
      <c r="G1352" s="636" t="s">
        <v>6000</v>
      </c>
      <c r="H1352" s="636" t="s">
        <v>5565</v>
      </c>
      <c r="I1352" s="636" t="s">
        <v>5502</v>
      </c>
      <c r="J1352" s="644"/>
      <c r="K1352" s="739"/>
      <c r="L1352" s="735">
        <v>6</v>
      </c>
      <c r="M1352" s="735">
        <v>47113.73</v>
      </c>
      <c r="N1352" s="739"/>
      <c r="O1352" s="735">
        <v>6</v>
      </c>
      <c r="P1352" s="736">
        <v>49228.790000000008</v>
      </c>
      <c r="Q1352" s="214"/>
    </row>
    <row r="1353" spans="1:17" ht="12" customHeight="1" x14ac:dyDescent="0.2">
      <c r="A1353" s="735" t="s">
        <v>5497</v>
      </c>
      <c r="B1353" s="735" t="s">
        <v>2170</v>
      </c>
      <c r="C1353" s="735" t="s">
        <v>451</v>
      </c>
      <c r="D1353" s="644" t="s">
        <v>6001</v>
      </c>
      <c r="E1353" s="736">
        <v>6000</v>
      </c>
      <c r="F1353" s="638" t="s">
        <v>6002</v>
      </c>
      <c r="G1353" s="636" t="s">
        <v>6003</v>
      </c>
      <c r="H1353" s="636" t="s">
        <v>5565</v>
      </c>
      <c r="I1353" s="636" t="s">
        <v>5502</v>
      </c>
      <c r="J1353" s="644"/>
      <c r="K1353" s="739"/>
      <c r="L1353" s="735">
        <v>10</v>
      </c>
      <c r="M1353" s="735">
        <v>61734.000000000007</v>
      </c>
      <c r="N1353" s="739"/>
      <c r="O1353" s="735">
        <v>6</v>
      </c>
      <c r="P1353" s="736">
        <v>37111.57</v>
      </c>
      <c r="Q1353" s="214"/>
    </row>
    <row r="1354" spans="1:17" ht="12" customHeight="1" x14ac:dyDescent="0.2">
      <c r="A1354" s="735" t="s">
        <v>5497</v>
      </c>
      <c r="B1354" s="735" t="s">
        <v>2170</v>
      </c>
      <c r="C1354" s="735" t="s">
        <v>451</v>
      </c>
      <c r="D1354" s="644" t="s">
        <v>5579</v>
      </c>
      <c r="E1354" s="736">
        <v>9000</v>
      </c>
      <c r="F1354" s="638" t="s">
        <v>6004</v>
      </c>
      <c r="G1354" s="636" t="s">
        <v>6005</v>
      </c>
      <c r="H1354" s="636" t="s">
        <v>5501</v>
      </c>
      <c r="I1354" s="636" t="s">
        <v>5502</v>
      </c>
      <c r="J1354" s="644"/>
      <c r="K1354" s="739"/>
      <c r="L1354" s="735">
        <v>12</v>
      </c>
      <c r="M1354" s="735">
        <v>109960.79999999997</v>
      </c>
      <c r="N1354" s="739"/>
      <c r="O1354" s="735">
        <v>6</v>
      </c>
      <c r="P1354" s="736">
        <v>55044.9</v>
      </c>
      <c r="Q1354" s="214"/>
    </row>
    <row r="1355" spans="1:17" ht="12" customHeight="1" x14ac:dyDescent="0.2">
      <c r="A1355" s="735" t="s">
        <v>5497</v>
      </c>
      <c r="B1355" s="735" t="s">
        <v>2170</v>
      </c>
      <c r="C1355" s="735" t="s">
        <v>451</v>
      </c>
      <c r="D1355" s="644" t="s">
        <v>6006</v>
      </c>
      <c r="E1355" s="736">
        <v>10000</v>
      </c>
      <c r="F1355" s="638" t="s">
        <v>6007</v>
      </c>
      <c r="G1355" s="636" t="s">
        <v>6008</v>
      </c>
      <c r="H1355" s="636" t="s">
        <v>5506</v>
      </c>
      <c r="I1355" s="636" t="s">
        <v>5502</v>
      </c>
      <c r="J1355" s="644"/>
      <c r="K1355" s="739"/>
      <c r="L1355" s="735">
        <v>12</v>
      </c>
      <c r="M1355" s="735">
        <v>121960.79999999997</v>
      </c>
      <c r="N1355" s="739"/>
      <c r="O1355" s="735">
        <v>6</v>
      </c>
      <c r="P1355" s="736">
        <v>61044.9</v>
      </c>
      <c r="Q1355" s="214"/>
    </row>
    <row r="1356" spans="1:17" ht="12" customHeight="1" x14ac:dyDescent="0.2">
      <c r="A1356" s="735" t="s">
        <v>5497</v>
      </c>
      <c r="B1356" s="735" t="s">
        <v>2170</v>
      </c>
      <c r="C1356" s="735" t="s">
        <v>451</v>
      </c>
      <c r="D1356" s="644" t="s">
        <v>6009</v>
      </c>
      <c r="E1356" s="736">
        <v>8500</v>
      </c>
      <c r="F1356" s="638" t="s">
        <v>6010</v>
      </c>
      <c r="G1356" s="636" t="s">
        <v>6011</v>
      </c>
      <c r="H1356" s="636" t="s">
        <v>2675</v>
      </c>
      <c r="I1356" s="636" t="s">
        <v>5502</v>
      </c>
      <c r="J1356" s="644"/>
      <c r="K1356" s="739"/>
      <c r="L1356" s="735">
        <v>12</v>
      </c>
      <c r="M1356" s="735">
        <v>119204.75999999997</v>
      </c>
      <c r="N1356" s="739"/>
      <c r="O1356" s="735">
        <v>6</v>
      </c>
      <c r="P1356" s="736">
        <v>55044.9</v>
      </c>
      <c r="Q1356" s="214"/>
    </row>
    <row r="1357" spans="1:17" ht="12" customHeight="1" x14ac:dyDescent="0.2">
      <c r="A1357" s="735" t="s">
        <v>5497</v>
      </c>
      <c r="B1357" s="735" t="s">
        <v>2170</v>
      </c>
      <c r="C1357" s="735" t="s">
        <v>451</v>
      </c>
      <c r="D1357" s="644" t="s">
        <v>6012</v>
      </c>
      <c r="E1357" s="736">
        <v>4800</v>
      </c>
      <c r="F1357" s="638" t="s">
        <v>6013</v>
      </c>
      <c r="G1357" s="636" t="s">
        <v>6014</v>
      </c>
      <c r="H1357" s="636" t="s">
        <v>6015</v>
      </c>
      <c r="I1357" s="636" t="s">
        <v>5502</v>
      </c>
      <c r="J1357" s="644"/>
      <c r="K1357" s="739"/>
      <c r="L1357" s="735">
        <v>12</v>
      </c>
      <c r="M1357" s="735">
        <v>59560.80000000001</v>
      </c>
      <c r="N1357" s="739"/>
      <c r="O1357" s="735">
        <v>6</v>
      </c>
      <c r="P1357" s="736">
        <v>29844.9</v>
      </c>
      <c r="Q1357" s="214"/>
    </row>
    <row r="1358" spans="1:17" ht="12" customHeight="1" x14ac:dyDescent="0.2">
      <c r="A1358" s="735" t="s">
        <v>5497</v>
      </c>
      <c r="B1358" s="735" t="s">
        <v>2170</v>
      </c>
      <c r="C1358" s="735" t="s">
        <v>451</v>
      </c>
      <c r="D1358" s="644" t="s">
        <v>6016</v>
      </c>
      <c r="E1358" s="736">
        <v>4500</v>
      </c>
      <c r="F1358" s="638" t="s">
        <v>6017</v>
      </c>
      <c r="G1358" s="636" t="s">
        <v>6018</v>
      </c>
      <c r="H1358" s="636" t="s">
        <v>6019</v>
      </c>
      <c r="I1358" s="636" t="s">
        <v>5502</v>
      </c>
      <c r="J1358" s="644"/>
      <c r="K1358" s="739"/>
      <c r="L1358" s="735">
        <v>6</v>
      </c>
      <c r="M1358" s="735">
        <v>27980.400000000001</v>
      </c>
      <c r="N1358" s="739"/>
      <c r="O1358" s="735">
        <v>6</v>
      </c>
      <c r="P1358" s="736">
        <v>28044.9</v>
      </c>
      <c r="Q1358" s="214"/>
    </row>
    <row r="1359" spans="1:17" ht="12" customHeight="1" x14ac:dyDescent="0.2">
      <c r="A1359" s="735" t="s">
        <v>5497</v>
      </c>
      <c r="B1359" s="735" t="s">
        <v>2170</v>
      </c>
      <c r="C1359" s="735" t="s">
        <v>451</v>
      </c>
      <c r="D1359" s="644" t="s">
        <v>6020</v>
      </c>
      <c r="E1359" s="736">
        <v>9500</v>
      </c>
      <c r="F1359" s="638" t="s">
        <v>6021</v>
      </c>
      <c r="G1359" s="636" t="s">
        <v>6022</v>
      </c>
      <c r="H1359" s="636" t="s">
        <v>5501</v>
      </c>
      <c r="I1359" s="636" t="s">
        <v>5502</v>
      </c>
      <c r="J1359" s="644"/>
      <c r="K1359" s="739"/>
      <c r="L1359" s="735"/>
      <c r="M1359" s="735"/>
      <c r="N1359" s="739"/>
      <c r="O1359" s="735">
        <v>4</v>
      </c>
      <c r="P1359" s="736">
        <v>35529.93</v>
      </c>
      <c r="Q1359" s="214"/>
    </row>
    <row r="1360" spans="1:17" ht="12" customHeight="1" x14ac:dyDescent="0.2">
      <c r="A1360" s="735" t="s">
        <v>5497</v>
      </c>
      <c r="B1360" s="735" t="s">
        <v>2170</v>
      </c>
      <c r="C1360" s="735" t="s">
        <v>451</v>
      </c>
      <c r="D1360" s="644" t="s">
        <v>6023</v>
      </c>
      <c r="E1360" s="736">
        <v>12000</v>
      </c>
      <c r="F1360" s="638" t="s">
        <v>6024</v>
      </c>
      <c r="G1360" s="636" t="s">
        <v>6025</v>
      </c>
      <c r="H1360" s="636" t="s">
        <v>5501</v>
      </c>
      <c r="I1360" s="636" t="s">
        <v>5502</v>
      </c>
      <c r="J1360" s="644"/>
      <c r="K1360" s="739"/>
      <c r="L1360" s="735"/>
      <c r="M1360" s="735"/>
      <c r="N1360" s="739"/>
      <c r="O1360" s="735">
        <v>1</v>
      </c>
      <c r="P1360" s="736">
        <v>9374.15</v>
      </c>
      <c r="Q1360" s="214"/>
    </row>
    <row r="1361" spans="1:17" ht="12" customHeight="1" x14ac:dyDescent="0.2">
      <c r="A1361" s="735" t="s">
        <v>5497</v>
      </c>
      <c r="B1361" s="735" t="s">
        <v>2170</v>
      </c>
      <c r="C1361" s="735" t="s">
        <v>451</v>
      </c>
      <c r="D1361" s="644" t="s">
        <v>5691</v>
      </c>
      <c r="E1361" s="736">
        <v>3200</v>
      </c>
      <c r="F1361" s="638" t="s">
        <v>6026</v>
      </c>
      <c r="G1361" s="636" t="s">
        <v>6027</v>
      </c>
      <c r="H1361" s="636" t="s">
        <v>5694</v>
      </c>
      <c r="I1361" s="636"/>
      <c r="J1361" s="644" t="s">
        <v>5515</v>
      </c>
      <c r="K1361" s="739"/>
      <c r="L1361" s="735">
        <v>12</v>
      </c>
      <c r="M1361" s="735">
        <v>40360.80000000001</v>
      </c>
      <c r="N1361" s="739"/>
      <c r="O1361" s="735">
        <v>6</v>
      </c>
      <c r="P1361" s="736">
        <v>20283.34</v>
      </c>
      <c r="Q1361" s="214"/>
    </row>
    <row r="1362" spans="1:17" ht="12" customHeight="1" x14ac:dyDescent="0.2">
      <c r="A1362" s="735" t="s">
        <v>5497</v>
      </c>
      <c r="B1362" s="735" t="s">
        <v>2170</v>
      </c>
      <c r="C1362" s="735" t="s">
        <v>451</v>
      </c>
      <c r="D1362" s="644" t="s">
        <v>5592</v>
      </c>
      <c r="E1362" s="736">
        <v>7500</v>
      </c>
      <c r="F1362" s="638" t="s">
        <v>6028</v>
      </c>
      <c r="G1362" s="636" t="s">
        <v>6029</v>
      </c>
      <c r="H1362" s="636" t="s">
        <v>5506</v>
      </c>
      <c r="I1362" s="636" t="s">
        <v>5502</v>
      </c>
      <c r="J1362" s="644"/>
      <c r="K1362" s="739"/>
      <c r="L1362" s="735">
        <v>12</v>
      </c>
      <c r="M1362" s="735">
        <v>104697.77999999998</v>
      </c>
      <c r="N1362" s="739"/>
      <c r="O1362" s="735">
        <v>6</v>
      </c>
      <c r="P1362" s="736">
        <v>55044.9</v>
      </c>
      <c r="Q1362" s="214"/>
    </row>
    <row r="1363" spans="1:17" ht="12" customHeight="1" x14ac:dyDescent="0.2">
      <c r="A1363" s="735" t="s">
        <v>5497</v>
      </c>
      <c r="B1363" s="735" t="s">
        <v>2170</v>
      </c>
      <c r="C1363" s="735" t="s">
        <v>451</v>
      </c>
      <c r="D1363" s="644" t="s">
        <v>6030</v>
      </c>
      <c r="E1363" s="736">
        <v>9000</v>
      </c>
      <c r="F1363" s="638" t="s">
        <v>6031</v>
      </c>
      <c r="G1363" s="636" t="s">
        <v>6032</v>
      </c>
      <c r="H1363" s="636" t="s">
        <v>6033</v>
      </c>
      <c r="I1363" s="636" t="s">
        <v>5502</v>
      </c>
      <c r="J1363" s="644"/>
      <c r="K1363" s="739"/>
      <c r="L1363" s="735">
        <v>12</v>
      </c>
      <c r="M1363" s="735">
        <v>109960.79999999997</v>
      </c>
      <c r="N1363" s="739"/>
      <c r="O1363" s="735">
        <v>6</v>
      </c>
      <c r="P1363" s="736">
        <v>55044.9</v>
      </c>
      <c r="Q1363" s="214"/>
    </row>
    <row r="1364" spans="1:17" ht="12" customHeight="1" x14ac:dyDescent="0.2">
      <c r="A1364" s="735" t="s">
        <v>5497</v>
      </c>
      <c r="B1364" s="735" t="s">
        <v>2170</v>
      </c>
      <c r="C1364" s="735" t="s">
        <v>451</v>
      </c>
      <c r="D1364" s="644" t="s">
        <v>2491</v>
      </c>
      <c r="E1364" s="736">
        <v>9000</v>
      </c>
      <c r="F1364" s="638" t="s">
        <v>6034</v>
      </c>
      <c r="G1364" s="636" t="s">
        <v>6035</v>
      </c>
      <c r="H1364" s="636" t="s">
        <v>5565</v>
      </c>
      <c r="I1364" s="636" t="s">
        <v>5502</v>
      </c>
      <c r="J1364" s="644"/>
      <c r="K1364" s="739"/>
      <c r="L1364" s="735">
        <v>9</v>
      </c>
      <c r="M1364" s="735">
        <v>81920.599999999991</v>
      </c>
      <c r="N1364" s="739"/>
      <c r="O1364" s="735">
        <v>6</v>
      </c>
      <c r="P1364" s="736">
        <v>55044.9</v>
      </c>
      <c r="Q1364" s="214"/>
    </row>
    <row r="1365" spans="1:17" ht="12" customHeight="1" x14ac:dyDescent="0.2">
      <c r="A1365" s="735" t="s">
        <v>5497</v>
      </c>
      <c r="B1365" s="735" t="s">
        <v>2170</v>
      </c>
      <c r="C1365" s="735" t="s">
        <v>451</v>
      </c>
      <c r="D1365" s="644" t="s">
        <v>5671</v>
      </c>
      <c r="E1365" s="736">
        <v>12500</v>
      </c>
      <c r="F1365" s="638" t="s">
        <v>6036</v>
      </c>
      <c r="G1365" s="636" t="s">
        <v>6037</v>
      </c>
      <c r="H1365" s="636" t="s">
        <v>5506</v>
      </c>
      <c r="I1365" s="636" t="s">
        <v>5502</v>
      </c>
      <c r="J1365" s="644"/>
      <c r="K1365" s="739"/>
      <c r="L1365" s="735">
        <v>12</v>
      </c>
      <c r="M1365" s="735">
        <v>151960.79999999996</v>
      </c>
      <c r="N1365" s="739"/>
      <c r="O1365" s="735">
        <v>5</v>
      </c>
      <c r="P1365" s="736">
        <v>74829.08</v>
      </c>
      <c r="Q1365" s="214"/>
    </row>
    <row r="1366" spans="1:17" ht="12" customHeight="1" x14ac:dyDescent="0.2">
      <c r="A1366" s="735" t="s">
        <v>5497</v>
      </c>
      <c r="B1366" s="735" t="s">
        <v>2170</v>
      </c>
      <c r="C1366" s="735" t="s">
        <v>451</v>
      </c>
      <c r="D1366" s="644" t="s">
        <v>5624</v>
      </c>
      <c r="E1366" s="736">
        <v>9000</v>
      </c>
      <c r="F1366" s="638" t="s">
        <v>6038</v>
      </c>
      <c r="G1366" s="636" t="s">
        <v>6039</v>
      </c>
      <c r="H1366" s="636" t="s">
        <v>5501</v>
      </c>
      <c r="I1366" s="636" t="s">
        <v>5502</v>
      </c>
      <c r="J1366" s="644"/>
      <c r="K1366" s="739"/>
      <c r="L1366" s="735">
        <v>12</v>
      </c>
      <c r="M1366" s="735">
        <v>109960.79999999997</v>
      </c>
      <c r="N1366" s="739"/>
      <c r="O1366" s="735">
        <v>6</v>
      </c>
      <c r="P1366" s="736">
        <v>55044.9</v>
      </c>
      <c r="Q1366" s="214"/>
    </row>
    <row r="1367" spans="1:17" ht="12" customHeight="1" x14ac:dyDescent="0.2">
      <c r="A1367" s="735" t="s">
        <v>5497</v>
      </c>
      <c r="B1367" s="735" t="s">
        <v>2170</v>
      </c>
      <c r="C1367" s="735" t="s">
        <v>451</v>
      </c>
      <c r="D1367" s="644" t="s">
        <v>5498</v>
      </c>
      <c r="E1367" s="736">
        <v>9000</v>
      </c>
      <c r="F1367" s="638" t="s">
        <v>6040</v>
      </c>
      <c r="G1367" s="636" t="s">
        <v>6041</v>
      </c>
      <c r="H1367" s="636" t="s">
        <v>5501</v>
      </c>
      <c r="I1367" s="636" t="s">
        <v>5502</v>
      </c>
      <c r="J1367" s="644"/>
      <c r="K1367" s="739"/>
      <c r="L1367" s="735"/>
      <c r="M1367" s="735"/>
      <c r="N1367" s="739"/>
      <c r="O1367" s="735">
        <v>4</v>
      </c>
      <c r="P1367" s="736">
        <v>36396.6</v>
      </c>
      <c r="Q1367" s="214"/>
    </row>
    <row r="1368" spans="1:17" ht="12" customHeight="1" x14ac:dyDescent="0.2">
      <c r="A1368" s="735" t="s">
        <v>5497</v>
      </c>
      <c r="B1368" s="735" t="s">
        <v>2170</v>
      </c>
      <c r="C1368" s="735" t="s">
        <v>451</v>
      </c>
      <c r="D1368" s="644" t="s">
        <v>5579</v>
      </c>
      <c r="E1368" s="736">
        <v>9000</v>
      </c>
      <c r="F1368" s="638" t="s">
        <v>6042</v>
      </c>
      <c r="G1368" s="636" t="s">
        <v>6043</v>
      </c>
      <c r="H1368" s="636" t="s">
        <v>5501</v>
      </c>
      <c r="I1368" s="636" t="s">
        <v>5502</v>
      </c>
      <c r="J1368" s="644"/>
      <c r="K1368" s="739"/>
      <c r="L1368" s="735">
        <v>9</v>
      </c>
      <c r="M1368" s="735">
        <v>80245.599999999991</v>
      </c>
      <c r="N1368" s="739"/>
      <c r="O1368" s="735"/>
      <c r="P1368" s="736"/>
      <c r="Q1368" s="214"/>
    </row>
    <row r="1369" spans="1:17" ht="12" customHeight="1" x14ac:dyDescent="0.2">
      <c r="A1369" s="735" t="s">
        <v>5497</v>
      </c>
      <c r="B1369" s="735" t="s">
        <v>2170</v>
      </c>
      <c r="C1369" s="735" t="s">
        <v>451</v>
      </c>
      <c r="D1369" s="644" t="s">
        <v>5614</v>
      </c>
      <c r="E1369" s="736">
        <v>9000</v>
      </c>
      <c r="F1369" s="638" t="s">
        <v>6044</v>
      </c>
      <c r="G1369" s="636" t="s">
        <v>6045</v>
      </c>
      <c r="H1369" s="636" t="s">
        <v>5501</v>
      </c>
      <c r="I1369" s="636" t="s">
        <v>5502</v>
      </c>
      <c r="J1369" s="644"/>
      <c r="K1369" s="739"/>
      <c r="L1369" s="735">
        <v>4</v>
      </c>
      <c r="M1369" s="735">
        <v>35753.599999999999</v>
      </c>
      <c r="N1369" s="739"/>
      <c r="O1369" s="735">
        <v>6</v>
      </c>
      <c r="P1369" s="736">
        <v>55129.280000000006</v>
      </c>
      <c r="Q1369" s="214"/>
    </row>
    <row r="1370" spans="1:17" ht="12" customHeight="1" x14ac:dyDescent="0.2">
      <c r="A1370" s="735" t="s">
        <v>5497</v>
      </c>
      <c r="B1370" s="735" t="s">
        <v>2170</v>
      </c>
      <c r="C1370" s="735" t="s">
        <v>451</v>
      </c>
      <c r="D1370" s="644" t="s">
        <v>5503</v>
      </c>
      <c r="E1370" s="736">
        <v>9000</v>
      </c>
      <c r="F1370" s="638" t="s">
        <v>6046</v>
      </c>
      <c r="G1370" s="636" t="s">
        <v>6047</v>
      </c>
      <c r="H1370" s="636" t="s">
        <v>5501</v>
      </c>
      <c r="I1370" s="636" t="s">
        <v>5502</v>
      </c>
      <c r="J1370" s="644"/>
      <c r="K1370" s="739"/>
      <c r="L1370" s="735">
        <v>12</v>
      </c>
      <c r="M1370" s="735">
        <v>108377.39999999998</v>
      </c>
      <c r="N1370" s="739"/>
      <c r="O1370" s="735">
        <v>6</v>
      </c>
      <c r="P1370" s="736">
        <v>50697.600000000006</v>
      </c>
      <c r="Q1370" s="214"/>
    </row>
    <row r="1371" spans="1:17" ht="12" customHeight="1" x14ac:dyDescent="0.2">
      <c r="A1371" s="735" t="s">
        <v>5497</v>
      </c>
      <c r="B1371" s="735" t="s">
        <v>2170</v>
      </c>
      <c r="C1371" s="735" t="s">
        <v>451</v>
      </c>
      <c r="D1371" s="644" t="s">
        <v>6048</v>
      </c>
      <c r="E1371" s="736">
        <v>4500</v>
      </c>
      <c r="F1371" s="638" t="s">
        <v>6049</v>
      </c>
      <c r="G1371" s="636" t="s">
        <v>6050</v>
      </c>
      <c r="H1371" s="636" t="s">
        <v>5751</v>
      </c>
      <c r="I1371" s="636" t="s">
        <v>5502</v>
      </c>
      <c r="J1371" s="644"/>
      <c r="K1371" s="739"/>
      <c r="L1371" s="735">
        <v>8</v>
      </c>
      <c r="M1371" s="735">
        <v>37157.200000000004</v>
      </c>
      <c r="N1371" s="739"/>
      <c r="O1371" s="735">
        <v>6</v>
      </c>
      <c r="P1371" s="736">
        <v>28044.9</v>
      </c>
      <c r="Q1371" s="214"/>
    </row>
    <row r="1372" spans="1:17" ht="12" customHeight="1" x14ac:dyDescent="0.2">
      <c r="A1372" s="735" t="s">
        <v>5497</v>
      </c>
      <c r="B1372" s="735" t="s">
        <v>2170</v>
      </c>
      <c r="C1372" s="735" t="s">
        <v>451</v>
      </c>
      <c r="D1372" s="644" t="s">
        <v>6051</v>
      </c>
      <c r="E1372" s="736">
        <v>8000</v>
      </c>
      <c r="F1372" s="638" t="s">
        <v>6052</v>
      </c>
      <c r="G1372" s="636" t="s">
        <v>6053</v>
      </c>
      <c r="H1372" s="636" t="s">
        <v>6054</v>
      </c>
      <c r="I1372" s="636" t="s">
        <v>5502</v>
      </c>
      <c r="J1372" s="644"/>
      <c r="K1372" s="739"/>
      <c r="L1372" s="735">
        <v>12</v>
      </c>
      <c r="M1372" s="735">
        <v>97960.799999999988</v>
      </c>
      <c r="N1372" s="739"/>
      <c r="O1372" s="735">
        <v>6</v>
      </c>
      <c r="P1372" s="736">
        <v>49044.9</v>
      </c>
      <c r="Q1372" s="214"/>
    </row>
    <row r="1373" spans="1:17" ht="12" customHeight="1" x14ac:dyDescent="0.2">
      <c r="A1373" s="735" t="s">
        <v>5497</v>
      </c>
      <c r="B1373" s="735" t="s">
        <v>2170</v>
      </c>
      <c r="C1373" s="735" t="s">
        <v>451</v>
      </c>
      <c r="D1373" s="644" t="s">
        <v>6055</v>
      </c>
      <c r="E1373" s="736">
        <v>9000</v>
      </c>
      <c r="F1373" s="638" t="s">
        <v>6056</v>
      </c>
      <c r="G1373" s="636" t="s">
        <v>6057</v>
      </c>
      <c r="H1373" s="636" t="s">
        <v>5501</v>
      </c>
      <c r="I1373" s="636" t="s">
        <v>5502</v>
      </c>
      <c r="J1373" s="644"/>
      <c r="K1373" s="739"/>
      <c r="L1373" s="735">
        <v>12</v>
      </c>
      <c r="M1373" s="735">
        <v>109960.79999999997</v>
      </c>
      <c r="N1373" s="739"/>
      <c r="O1373" s="735">
        <v>6</v>
      </c>
      <c r="P1373" s="736">
        <v>55044.9</v>
      </c>
      <c r="Q1373" s="214"/>
    </row>
    <row r="1374" spans="1:17" ht="12" customHeight="1" x14ac:dyDescent="0.2">
      <c r="A1374" s="735" t="s">
        <v>5497</v>
      </c>
      <c r="B1374" s="735" t="s">
        <v>2170</v>
      </c>
      <c r="C1374" s="735" t="s">
        <v>451</v>
      </c>
      <c r="D1374" s="644" t="s">
        <v>6058</v>
      </c>
      <c r="E1374" s="736">
        <v>9000</v>
      </c>
      <c r="F1374" s="638" t="s">
        <v>6059</v>
      </c>
      <c r="G1374" s="636" t="s">
        <v>6060</v>
      </c>
      <c r="H1374" s="636" t="s">
        <v>2675</v>
      </c>
      <c r="I1374" s="636" t="s">
        <v>5502</v>
      </c>
      <c r="J1374" s="644"/>
      <c r="K1374" s="739"/>
      <c r="L1374" s="735">
        <v>4</v>
      </c>
      <c r="M1374" s="735">
        <v>27740.199999999997</v>
      </c>
      <c r="N1374" s="739"/>
      <c r="O1374" s="735">
        <v>4</v>
      </c>
      <c r="P1374" s="736">
        <v>33696.6</v>
      </c>
      <c r="Q1374" s="214"/>
    </row>
    <row r="1375" spans="1:17" ht="12" customHeight="1" x14ac:dyDescent="0.2">
      <c r="A1375" s="735" t="s">
        <v>5497</v>
      </c>
      <c r="B1375" s="735" t="s">
        <v>2170</v>
      </c>
      <c r="C1375" s="735" t="s">
        <v>451</v>
      </c>
      <c r="D1375" s="644" t="s">
        <v>6061</v>
      </c>
      <c r="E1375" s="736">
        <v>14000</v>
      </c>
      <c r="F1375" s="638" t="s">
        <v>6062</v>
      </c>
      <c r="G1375" s="636" t="s">
        <v>6063</v>
      </c>
      <c r="H1375" s="636" t="s">
        <v>5812</v>
      </c>
      <c r="I1375" s="636" t="s">
        <v>5502</v>
      </c>
      <c r="J1375" s="644"/>
      <c r="K1375" s="739"/>
      <c r="L1375" s="735">
        <v>12</v>
      </c>
      <c r="M1375" s="735">
        <v>169960.79999999996</v>
      </c>
      <c r="N1375" s="739"/>
      <c r="O1375" s="735">
        <v>6</v>
      </c>
      <c r="P1375" s="736">
        <v>85044.9</v>
      </c>
      <c r="Q1375" s="214"/>
    </row>
    <row r="1376" spans="1:17" ht="12" customHeight="1" x14ac:dyDescent="0.2">
      <c r="A1376" s="735" t="s">
        <v>5497</v>
      </c>
      <c r="B1376" s="735" t="s">
        <v>2170</v>
      </c>
      <c r="C1376" s="735" t="s">
        <v>451</v>
      </c>
      <c r="D1376" s="644" t="s">
        <v>5813</v>
      </c>
      <c r="E1376" s="736">
        <v>9000</v>
      </c>
      <c r="F1376" s="638" t="s">
        <v>6064</v>
      </c>
      <c r="G1376" s="636" t="s">
        <v>6065</v>
      </c>
      <c r="H1376" s="636" t="s">
        <v>5501</v>
      </c>
      <c r="I1376" s="636" t="s">
        <v>5502</v>
      </c>
      <c r="J1376" s="644"/>
      <c r="K1376" s="739"/>
      <c r="L1376" s="735"/>
      <c r="M1376" s="735"/>
      <c r="N1376" s="739"/>
      <c r="O1376" s="735">
        <v>5</v>
      </c>
      <c r="P1376" s="736">
        <v>41970.75</v>
      </c>
      <c r="Q1376" s="214"/>
    </row>
    <row r="1377" spans="1:17" ht="12" customHeight="1" x14ac:dyDescent="0.2">
      <c r="A1377" s="735" t="s">
        <v>5497</v>
      </c>
      <c r="B1377" s="735" t="s">
        <v>2170</v>
      </c>
      <c r="C1377" s="735" t="s">
        <v>451</v>
      </c>
      <c r="D1377" s="644" t="s">
        <v>6066</v>
      </c>
      <c r="E1377" s="736">
        <v>8000</v>
      </c>
      <c r="F1377" s="638" t="s">
        <v>6067</v>
      </c>
      <c r="G1377" s="636" t="s">
        <v>6068</v>
      </c>
      <c r="H1377" s="636" t="s">
        <v>6069</v>
      </c>
      <c r="I1377" s="636" t="s">
        <v>5502</v>
      </c>
      <c r="J1377" s="644"/>
      <c r="K1377" s="739"/>
      <c r="L1377" s="735">
        <v>12</v>
      </c>
      <c r="M1377" s="735">
        <v>97960.799999999988</v>
      </c>
      <c r="N1377" s="739"/>
      <c r="O1377" s="735">
        <v>6</v>
      </c>
      <c r="P1377" s="736">
        <v>49044.9</v>
      </c>
      <c r="Q1377" s="214"/>
    </row>
    <row r="1378" spans="1:17" ht="12" customHeight="1" x14ac:dyDescent="0.2">
      <c r="A1378" s="735" t="s">
        <v>5497</v>
      </c>
      <c r="B1378" s="735" t="s">
        <v>2170</v>
      </c>
      <c r="C1378" s="735" t="s">
        <v>451</v>
      </c>
      <c r="D1378" s="644" t="s">
        <v>5614</v>
      </c>
      <c r="E1378" s="736">
        <v>8500</v>
      </c>
      <c r="F1378" s="638" t="s">
        <v>6070</v>
      </c>
      <c r="G1378" s="636" t="s">
        <v>6071</v>
      </c>
      <c r="H1378" s="636" t="s">
        <v>5506</v>
      </c>
      <c r="I1378" s="636" t="s">
        <v>5502</v>
      </c>
      <c r="J1378" s="644"/>
      <c r="K1378" s="739"/>
      <c r="L1378" s="735">
        <v>11</v>
      </c>
      <c r="M1378" s="735">
        <v>95347.39999999998</v>
      </c>
      <c r="N1378" s="739"/>
      <c r="O1378" s="735">
        <v>6</v>
      </c>
      <c r="P1378" s="736">
        <v>61608.840000000004</v>
      </c>
      <c r="Q1378" s="214"/>
    </row>
    <row r="1379" spans="1:17" ht="12" customHeight="1" x14ac:dyDescent="0.2">
      <c r="A1379" s="735" t="s">
        <v>5497</v>
      </c>
      <c r="B1379" s="735" t="s">
        <v>2170</v>
      </c>
      <c r="C1379" s="735" t="s">
        <v>451</v>
      </c>
      <c r="D1379" s="644" t="s">
        <v>5624</v>
      </c>
      <c r="E1379" s="736">
        <v>9000</v>
      </c>
      <c r="F1379" s="638" t="s">
        <v>6072</v>
      </c>
      <c r="G1379" s="636" t="s">
        <v>6073</v>
      </c>
      <c r="H1379" s="636" t="s">
        <v>5501</v>
      </c>
      <c r="I1379" s="636" t="s">
        <v>5502</v>
      </c>
      <c r="J1379" s="644"/>
      <c r="K1379" s="739"/>
      <c r="L1379" s="735">
        <v>12</v>
      </c>
      <c r="M1379" s="735">
        <v>109960.79999999997</v>
      </c>
      <c r="N1379" s="739"/>
      <c r="O1379" s="735">
        <v>6</v>
      </c>
      <c r="P1379" s="736">
        <v>55044.9</v>
      </c>
      <c r="Q1379" s="214"/>
    </row>
    <row r="1380" spans="1:17" ht="12" customHeight="1" x14ac:dyDescent="0.2">
      <c r="A1380" s="735" t="s">
        <v>5497</v>
      </c>
      <c r="B1380" s="735" t="s">
        <v>2170</v>
      </c>
      <c r="C1380" s="735" t="s">
        <v>451</v>
      </c>
      <c r="D1380" s="644" t="s">
        <v>6074</v>
      </c>
      <c r="E1380" s="736">
        <v>9000</v>
      </c>
      <c r="F1380" s="638" t="s">
        <v>6075</v>
      </c>
      <c r="G1380" s="636" t="s">
        <v>6076</v>
      </c>
      <c r="H1380" s="636" t="s">
        <v>2675</v>
      </c>
      <c r="I1380" s="636" t="s">
        <v>5502</v>
      </c>
      <c r="J1380" s="644"/>
      <c r="K1380" s="739"/>
      <c r="L1380" s="735">
        <v>12</v>
      </c>
      <c r="M1380" s="735">
        <v>109960.79999999997</v>
      </c>
      <c r="N1380" s="739"/>
      <c r="O1380" s="735">
        <v>6</v>
      </c>
      <c r="P1380" s="736">
        <v>55044.9</v>
      </c>
      <c r="Q1380" s="214"/>
    </row>
    <row r="1381" spans="1:17" ht="12" customHeight="1" x14ac:dyDescent="0.2">
      <c r="A1381" s="735" t="s">
        <v>5497</v>
      </c>
      <c r="B1381" s="735" t="s">
        <v>2170</v>
      </c>
      <c r="C1381" s="735" t="s">
        <v>451</v>
      </c>
      <c r="D1381" s="644" t="s">
        <v>5560</v>
      </c>
      <c r="E1381" s="736">
        <v>9000</v>
      </c>
      <c r="F1381" s="638" t="s">
        <v>6077</v>
      </c>
      <c r="G1381" s="636" t="s">
        <v>6078</v>
      </c>
      <c r="H1381" s="636" t="s">
        <v>5501</v>
      </c>
      <c r="I1381" s="636" t="s">
        <v>5502</v>
      </c>
      <c r="J1381" s="644"/>
      <c r="K1381" s="739"/>
      <c r="L1381" s="735">
        <v>1</v>
      </c>
      <c r="M1381" s="735">
        <v>525</v>
      </c>
      <c r="N1381" s="739"/>
      <c r="O1381" s="735"/>
      <c r="P1381" s="736"/>
      <c r="Q1381" s="214"/>
    </row>
    <row r="1382" spans="1:17" ht="12" customHeight="1" x14ac:dyDescent="0.2">
      <c r="A1382" s="735" t="s">
        <v>5497</v>
      </c>
      <c r="B1382" s="735" t="s">
        <v>2170</v>
      </c>
      <c r="C1382" s="735" t="s">
        <v>451</v>
      </c>
      <c r="D1382" s="644" t="s">
        <v>6079</v>
      </c>
      <c r="E1382" s="736">
        <v>9000</v>
      </c>
      <c r="F1382" s="638" t="s">
        <v>6080</v>
      </c>
      <c r="G1382" s="636" t="s">
        <v>6081</v>
      </c>
      <c r="H1382" s="636" t="s">
        <v>5654</v>
      </c>
      <c r="I1382" s="636" t="s">
        <v>5502</v>
      </c>
      <c r="J1382" s="644"/>
      <c r="K1382" s="739"/>
      <c r="L1382" s="735">
        <v>12</v>
      </c>
      <c r="M1382" s="735">
        <v>109960.79999999997</v>
      </c>
      <c r="N1382" s="739"/>
      <c r="O1382" s="735">
        <v>6</v>
      </c>
      <c r="P1382" s="736">
        <v>55044.9</v>
      </c>
      <c r="Q1382" s="214"/>
    </row>
    <row r="1383" spans="1:17" ht="12" customHeight="1" x14ac:dyDescent="0.2">
      <c r="A1383" s="735" t="s">
        <v>5497</v>
      </c>
      <c r="B1383" s="735" t="s">
        <v>2170</v>
      </c>
      <c r="C1383" s="735" t="s">
        <v>451</v>
      </c>
      <c r="D1383" s="644" t="s">
        <v>6082</v>
      </c>
      <c r="E1383" s="736">
        <v>9500</v>
      </c>
      <c r="F1383" s="638" t="s">
        <v>6083</v>
      </c>
      <c r="G1383" s="636" t="s">
        <v>6084</v>
      </c>
      <c r="H1383" s="636" t="s">
        <v>5722</v>
      </c>
      <c r="I1383" s="636" t="s">
        <v>5502</v>
      </c>
      <c r="J1383" s="644"/>
      <c r="K1383" s="739"/>
      <c r="L1383" s="735">
        <v>12</v>
      </c>
      <c r="M1383" s="735">
        <v>115960.79999999997</v>
      </c>
      <c r="N1383" s="739"/>
      <c r="O1383" s="735">
        <v>6</v>
      </c>
      <c r="P1383" s="736">
        <v>58044.9</v>
      </c>
      <c r="Q1383" s="214"/>
    </row>
    <row r="1384" spans="1:17" ht="12" customHeight="1" x14ac:dyDescent="0.2">
      <c r="A1384" s="735" t="s">
        <v>5497</v>
      </c>
      <c r="B1384" s="735" t="s">
        <v>2170</v>
      </c>
      <c r="C1384" s="735" t="s">
        <v>451</v>
      </c>
      <c r="D1384" s="644" t="s">
        <v>5503</v>
      </c>
      <c r="E1384" s="736">
        <v>9000</v>
      </c>
      <c r="F1384" s="638" t="s">
        <v>6085</v>
      </c>
      <c r="G1384" s="636" t="s">
        <v>6086</v>
      </c>
      <c r="H1384" s="636" t="s">
        <v>5501</v>
      </c>
      <c r="I1384" s="636" t="s">
        <v>5502</v>
      </c>
      <c r="J1384" s="644"/>
      <c r="K1384" s="739"/>
      <c r="L1384" s="735">
        <v>12</v>
      </c>
      <c r="M1384" s="735">
        <v>109960.79999999997</v>
      </c>
      <c r="N1384" s="739"/>
      <c r="O1384" s="735">
        <v>6</v>
      </c>
      <c r="P1384" s="736">
        <v>55044.9</v>
      </c>
      <c r="Q1384" s="214"/>
    </row>
    <row r="1385" spans="1:17" ht="12" customHeight="1" x14ac:dyDescent="0.2">
      <c r="A1385" s="735" t="s">
        <v>5497</v>
      </c>
      <c r="B1385" s="735" t="s">
        <v>2170</v>
      </c>
      <c r="C1385" s="735" t="s">
        <v>451</v>
      </c>
      <c r="D1385" s="644" t="s">
        <v>5579</v>
      </c>
      <c r="E1385" s="736">
        <v>9000</v>
      </c>
      <c r="F1385" s="638" t="s">
        <v>6087</v>
      </c>
      <c r="G1385" s="636" t="s">
        <v>6088</v>
      </c>
      <c r="H1385" s="636" t="s">
        <v>5501</v>
      </c>
      <c r="I1385" s="636" t="s">
        <v>5502</v>
      </c>
      <c r="J1385" s="644"/>
      <c r="K1385" s="739"/>
      <c r="L1385" s="735">
        <v>11</v>
      </c>
      <c r="M1385" s="735">
        <v>103097.39999999998</v>
      </c>
      <c r="N1385" s="739"/>
      <c r="O1385" s="735"/>
      <c r="P1385" s="736"/>
      <c r="Q1385" s="214"/>
    </row>
    <row r="1386" spans="1:17" ht="12" customHeight="1" x14ac:dyDescent="0.2">
      <c r="A1386" s="735" t="s">
        <v>5497</v>
      </c>
      <c r="B1386" s="735" t="s">
        <v>2170</v>
      </c>
      <c r="C1386" s="735" t="s">
        <v>451</v>
      </c>
      <c r="D1386" s="644" t="s">
        <v>2258</v>
      </c>
      <c r="E1386" s="736">
        <v>9000</v>
      </c>
      <c r="F1386" s="638" t="s">
        <v>6089</v>
      </c>
      <c r="G1386" s="636" t="s">
        <v>6090</v>
      </c>
      <c r="H1386" s="636" t="s">
        <v>6091</v>
      </c>
      <c r="I1386" s="636" t="s">
        <v>5502</v>
      </c>
      <c r="J1386" s="644"/>
      <c r="K1386" s="739"/>
      <c r="L1386" s="735">
        <v>12</v>
      </c>
      <c r="M1386" s="735">
        <v>109960.79999999997</v>
      </c>
      <c r="N1386" s="739"/>
      <c r="O1386" s="735">
        <v>6</v>
      </c>
      <c r="P1386" s="736">
        <v>55044.9</v>
      </c>
      <c r="Q1386" s="214"/>
    </row>
    <row r="1387" spans="1:17" ht="12" customHeight="1" x14ac:dyDescent="0.2">
      <c r="A1387" s="735" t="s">
        <v>5497</v>
      </c>
      <c r="B1387" s="735" t="s">
        <v>2170</v>
      </c>
      <c r="C1387" s="735" t="s">
        <v>451</v>
      </c>
      <c r="D1387" s="644" t="s">
        <v>2505</v>
      </c>
      <c r="E1387" s="736">
        <v>3500</v>
      </c>
      <c r="F1387" s="638" t="s">
        <v>6092</v>
      </c>
      <c r="G1387" s="636" t="s">
        <v>6093</v>
      </c>
      <c r="H1387" s="636" t="s">
        <v>5694</v>
      </c>
      <c r="I1387" s="636"/>
      <c r="J1387" s="644" t="s">
        <v>5515</v>
      </c>
      <c r="K1387" s="739"/>
      <c r="L1387" s="735">
        <v>12</v>
      </c>
      <c r="M1387" s="735">
        <v>43960.80000000001</v>
      </c>
      <c r="N1387" s="739"/>
      <c r="O1387" s="735">
        <v>6</v>
      </c>
      <c r="P1387" s="736">
        <v>22044.9</v>
      </c>
      <c r="Q1387" s="214"/>
    </row>
    <row r="1388" spans="1:17" ht="12" customHeight="1" x14ac:dyDescent="0.2">
      <c r="A1388" s="735" t="s">
        <v>5497</v>
      </c>
      <c r="B1388" s="735" t="s">
        <v>2170</v>
      </c>
      <c r="C1388" s="735" t="s">
        <v>451</v>
      </c>
      <c r="D1388" s="644" t="s">
        <v>5503</v>
      </c>
      <c r="E1388" s="736">
        <v>9000</v>
      </c>
      <c r="F1388" s="638" t="s">
        <v>6094</v>
      </c>
      <c r="G1388" s="636" t="s">
        <v>6095</v>
      </c>
      <c r="H1388" s="636" t="s">
        <v>5501</v>
      </c>
      <c r="I1388" s="636" t="s">
        <v>5502</v>
      </c>
      <c r="J1388" s="644"/>
      <c r="K1388" s="739"/>
      <c r="L1388" s="735">
        <v>8</v>
      </c>
      <c r="M1388" s="735">
        <v>73182.2</v>
      </c>
      <c r="N1388" s="739"/>
      <c r="O1388" s="735"/>
      <c r="P1388" s="736"/>
      <c r="Q1388" s="214"/>
    </row>
    <row r="1389" spans="1:17" ht="12" customHeight="1" x14ac:dyDescent="0.2">
      <c r="A1389" s="735" t="s">
        <v>5497</v>
      </c>
      <c r="B1389" s="735" t="s">
        <v>2170</v>
      </c>
      <c r="C1389" s="735" t="s">
        <v>451</v>
      </c>
      <c r="D1389" s="644" t="s">
        <v>6096</v>
      </c>
      <c r="E1389" s="736">
        <v>7000</v>
      </c>
      <c r="F1389" s="638" t="s">
        <v>6097</v>
      </c>
      <c r="G1389" s="636" t="s">
        <v>6098</v>
      </c>
      <c r="H1389" s="636" t="s">
        <v>5501</v>
      </c>
      <c r="I1389" s="636" t="s">
        <v>5502</v>
      </c>
      <c r="J1389" s="644"/>
      <c r="K1389" s="739"/>
      <c r="L1389" s="735">
        <v>12</v>
      </c>
      <c r="M1389" s="735">
        <v>97819.12999999999</v>
      </c>
      <c r="N1389" s="739"/>
      <c r="O1389" s="735">
        <v>6</v>
      </c>
      <c r="P1389" s="736">
        <v>49044.9</v>
      </c>
      <c r="Q1389" s="214"/>
    </row>
    <row r="1390" spans="1:17" ht="12" customHeight="1" x14ac:dyDescent="0.2">
      <c r="A1390" s="735" t="s">
        <v>5497</v>
      </c>
      <c r="B1390" s="735" t="s">
        <v>2170</v>
      </c>
      <c r="C1390" s="735" t="s">
        <v>451</v>
      </c>
      <c r="D1390" s="644" t="s">
        <v>5671</v>
      </c>
      <c r="E1390" s="736">
        <v>8500</v>
      </c>
      <c r="F1390" s="638" t="s">
        <v>6099</v>
      </c>
      <c r="G1390" s="636" t="s">
        <v>6100</v>
      </c>
      <c r="H1390" s="636" t="s">
        <v>5501</v>
      </c>
      <c r="I1390" s="636" t="s">
        <v>5502</v>
      </c>
      <c r="J1390" s="644"/>
      <c r="K1390" s="739"/>
      <c r="L1390" s="735">
        <v>4</v>
      </c>
      <c r="M1390" s="735">
        <v>48620.27</v>
      </c>
      <c r="N1390" s="739"/>
      <c r="O1390" s="735"/>
      <c r="P1390" s="736"/>
      <c r="Q1390" s="214"/>
    </row>
    <row r="1391" spans="1:17" ht="12" customHeight="1" x14ac:dyDescent="0.2">
      <c r="A1391" s="735" t="s">
        <v>5497</v>
      </c>
      <c r="B1391" s="735" t="s">
        <v>2170</v>
      </c>
      <c r="C1391" s="735" t="s">
        <v>451</v>
      </c>
      <c r="D1391" s="644" t="s">
        <v>2179</v>
      </c>
      <c r="E1391" s="736">
        <v>9000</v>
      </c>
      <c r="F1391" s="638" t="s">
        <v>6101</v>
      </c>
      <c r="G1391" s="636" t="s">
        <v>6102</v>
      </c>
      <c r="H1391" s="636" t="s">
        <v>2675</v>
      </c>
      <c r="I1391" s="636" t="s">
        <v>5502</v>
      </c>
      <c r="J1391" s="644"/>
      <c r="K1391" s="739"/>
      <c r="L1391" s="735">
        <v>12</v>
      </c>
      <c r="M1391" s="735">
        <v>109960.79999999997</v>
      </c>
      <c r="N1391" s="739"/>
      <c r="O1391" s="735">
        <v>6</v>
      </c>
      <c r="P1391" s="736">
        <v>55044.9</v>
      </c>
      <c r="Q1391" s="214"/>
    </row>
    <row r="1392" spans="1:17" ht="12" customHeight="1" x14ac:dyDescent="0.2">
      <c r="A1392" s="735" t="s">
        <v>5497</v>
      </c>
      <c r="B1392" s="735" t="s">
        <v>2170</v>
      </c>
      <c r="C1392" s="735" t="s">
        <v>451</v>
      </c>
      <c r="D1392" s="644" t="s">
        <v>6103</v>
      </c>
      <c r="E1392" s="736">
        <v>9500</v>
      </c>
      <c r="F1392" s="638" t="s">
        <v>6104</v>
      </c>
      <c r="G1392" s="636" t="s">
        <v>6105</v>
      </c>
      <c r="H1392" s="636" t="s">
        <v>5501</v>
      </c>
      <c r="I1392" s="636" t="s">
        <v>5502</v>
      </c>
      <c r="J1392" s="644"/>
      <c r="K1392" s="739"/>
      <c r="L1392" s="735">
        <v>10</v>
      </c>
      <c r="M1392" s="735">
        <v>94833.999999999985</v>
      </c>
      <c r="N1392" s="739"/>
      <c r="O1392" s="735">
        <v>6</v>
      </c>
      <c r="P1392" s="736">
        <v>58044.9</v>
      </c>
      <c r="Q1392" s="214"/>
    </row>
    <row r="1393" spans="1:17" ht="12" customHeight="1" x14ac:dyDescent="0.2">
      <c r="A1393" s="735" t="s">
        <v>5497</v>
      </c>
      <c r="B1393" s="735" t="s">
        <v>2170</v>
      </c>
      <c r="C1393" s="735" t="s">
        <v>451</v>
      </c>
      <c r="D1393" s="644" t="s">
        <v>6106</v>
      </c>
      <c r="E1393" s="736">
        <v>2500</v>
      </c>
      <c r="F1393" s="638" t="s">
        <v>6107</v>
      </c>
      <c r="G1393" s="636" t="s">
        <v>6108</v>
      </c>
      <c r="H1393" s="636" t="s">
        <v>6109</v>
      </c>
      <c r="I1393" s="636"/>
      <c r="J1393" s="644" t="s">
        <v>5515</v>
      </c>
      <c r="K1393" s="739"/>
      <c r="L1393" s="735">
        <v>12</v>
      </c>
      <c r="M1393" s="735">
        <v>31960.800000000007</v>
      </c>
      <c r="N1393" s="739"/>
      <c r="O1393" s="735">
        <v>6</v>
      </c>
      <c r="P1393" s="736">
        <v>16044.9</v>
      </c>
      <c r="Q1393" s="214"/>
    </row>
    <row r="1394" spans="1:17" ht="12" customHeight="1" x14ac:dyDescent="0.2">
      <c r="A1394" s="735" t="s">
        <v>5497</v>
      </c>
      <c r="B1394" s="735" t="s">
        <v>2170</v>
      </c>
      <c r="C1394" s="735" t="s">
        <v>451</v>
      </c>
      <c r="D1394" s="644" t="s">
        <v>6110</v>
      </c>
      <c r="E1394" s="736">
        <v>10500</v>
      </c>
      <c r="F1394" s="638" t="s">
        <v>6111</v>
      </c>
      <c r="G1394" s="636" t="s">
        <v>6112</v>
      </c>
      <c r="H1394" s="636" t="s">
        <v>5578</v>
      </c>
      <c r="I1394" s="636" t="s">
        <v>5502</v>
      </c>
      <c r="J1394" s="644"/>
      <c r="K1394" s="739"/>
      <c r="L1394" s="735">
        <v>8</v>
      </c>
      <c r="M1394" s="735">
        <v>87248.87</v>
      </c>
      <c r="N1394" s="739"/>
      <c r="O1394" s="735"/>
      <c r="P1394" s="736"/>
      <c r="Q1394" s="214"/>
    </row>
    <row r="1395" spans="1:17" ht="12" customHeight="1" x14ac:dyDescent="0.2">
      <c r="A1395" s="735" t="s">
        <v>5497</v>
      </c>
      <c r="B1395" s="735" t="s">
        <v>2170</v>
      </c>
      <c r="C1395" s="735" t="s">
        <v>451</v>
      </c>
      <c r="D1395" s="644" t="s">
        <v>5560</v>
      </c>
      <c r="E1395" s="736">
        <v>9000</v>
      </c>
      <c r="F1395" s="638" t="s">
        <v>6113</v>
      </c>
      <c r="G1395" s="636" t="s">
        <v>6114</v>
      </c>
      <c r="H1395" s="636" t="s">
        <v>5501</v>
      </c>
      <c r="I1395" s="636" t="s">
        <v>5502</v>
      </c>
      <c r="J1395" s="644"/>
      <c r="K1395" s="739"/>
      <c r="L1395" s="735">
        <v>12</v>
      </c>
      <c r="M1395" s="735">
        <v>109960.79999999997</v>
      </c>
      <c r="N1395" s="739"/>
      <c r="O1395" s="735">
        <v>6</v>
      </c>
      <c r="P1395" s="736">
        <v>55044.9</v>
      </c>
      <c r="Q1395" s="214"/>
    </row>
    <row r="1396" spans="1:17" ht="12" customHeight="1" x14ac:dyDescent="0.2">
      <c r="A1396" s="735" t="s">
        <v>5497</v>
      </c>
      <c r="B1396" s="735" t="s">
        <v>2170</v>
      </c>
      <c r="C1396" s="735" t="s">
        <v>451</v>
      </c>
      <c r="D1396" s="644" t="s">
        <v>6115</v>
      </c>
      <c r="E1396" s="736">
        <v>10000</v>
      </c>
      <c r="F1396" s="638" t="s">
        <v>4167</v>
      </c>
      <c r="G1396" s="636" t="s">
        <v>4168</v>
      </c>
      <c r="H1396" s="636" t="s">
        <v>5506</v>
      </c>
      <c r="I1396" s="636" t="s">
        <v>5502</v>
      </c>
      <c r="J1396" s="644"/>
      <c r="K1396" s="739"/>
      <c r="L1396" s="735">
        <v>4</v>
      </c>
      <c r="M1396" s="735">
        <v>59425.82</v>
      </c>
      <c r="N1396" s="739"/>
      <c r="O1396" s="735"/>
      <c r="P1396" s="736"/>
      <c r="Q1396" s="214"/>
    </row>
    <row r="1397" spans="1:17" ht="12" customHeight="1" x14ac:dyDescent="0.2">
      <c r="A1397" s="735" t="s">
        <v>5497</v>
      </c>
      <c r="B1397" s="735" t="s">
        <v>2170</v>
      </c>
      <c r="C1397" s="735" t="s">
        <v>451</v>
      </c>
      <c r="D1397" s="644" t="s">
        <v>6116</v>
      </c>
      <c r="E1397" s="736">
        <v>9500</v>
      </c>
      <c r="F1397" s="638" t="s">
        <v>6117</v>
      </c>
      <c r="G1397" s="636" t="s">
        <v>6118</v>
      </c>
      <c r="H1397" s="636" t="s">
        <v>5506</v>
      </c>
      <c r="I1397" s="636" t="s">
        <v>5502</v>
      </c>
      <c r="J1397" s="644"/>
      <c r="K1397" s="739"/>
      <c r="L1397" s="735">
        <v>12</v>
      </c>
      <c r="M1397" s="735">
        <v>115960.79999999997</v>
      </c>
      <c r="N1397" s="739"/>
      <c r="O1397" s="735">
        <v>6</v>
      </c>
      <c r="P1397" s="736">
        <v>58044.9</v>
      </c>
      <c r="Q1397" s="214"/>
    </row>
    <row r="1398" spans="1:17" ht="12" customHeight="1" x14ac:dyDescent="0.2">
      <c r="A1398" s="735" t="s">
        <v>5497</v>
      </c>
      <c r="B1398" s="735" t="s">
        <v>2170</v>
      </c>
      <c r="C1398" s="735" t="s">
        <v>451</v>
      </c>
      <c r="D1398" s="644" t="s">
        <v>5624</v>
      </c>
      <c r="E1398" s="736">
        <v>9000</v>
      </c>
      <c r="F1398" s="638" t="s">
        <v>6119</v>
      </c>
      <c r="G1398" s="636" t="s">
        <v>6120</v>
      </c>
      <c r="H1398" s="636" t="s">
        <v>5501</v>
      </c>
      <c r="I1398" s="636" t="s">
        <v>5502</v>
      </c>
      <c r="J1398" s="644"/>
      <c r="K1398" s="739"/>
      <c r="L1398" s="735">
        <v>12</v>
      </c>
      <c r="M1398" s="735">
        <v>109960.79999999997</v>
      </c>
      <c r="N1398" s="739"/>
      <c r="O1398" s="735">
        <v>6</v>
      </c>
      <c r="P1398" s="736">
        <v>55044.9</v>
      </c>
      <c r="Q1398" s="214"/>
    </row>
    <row r="1399" spans="1:17" ht="12" customHeight="1" x14ac:dyDescent="0.2">
      <c r="A1399" s="735" t="s">
        <v>5497</v>
      </c>
      <c r="B1399" s="735" t="s">
        <v>2170</v>
      </c>
      <c r="C1399" s="735" t="s">
        <v>451</v>
      </c>
      <c r="D1399" s="644" t="s">
        <v>6121</v>
      </c>
      <c r="E1399" s="736">
        <v>9000</v>
      </c>
      <c r="F1399" s="638" t="s">
        <v>6122</v>
      </c>
      <c r="G1399" s="636" t="s">
        <v>6123</v>
      </c>
      <c r="H1399" s="636" t="s">
        <v>5501</v>
      </c>
      <c r="I1399" s="636" t="s">
        <v>5502</v>
      </c>
      <c r="J1399" s="644"/>
      <c r="K1399" s="739"/>
      <c r="L1399" s="735"/>
      <c r="M1399" s="735"/>
      <c r="N1399" s="739"/>
      <c r="O1399" s="735">
        <v>1</v>
      </c>
      <c r="P1399" s="736">
        <v>9174.15</v>
      </c>
      <c r="Q1399" s="214"/>
    </row>
    <row r="1400" spans="1:17" ht="12" customHeight="1" x14ac:dyDescent="0.2">
      <c r="A1400" s="735" t="s">
        <v>5497</v>
      </c>
      <c r="B1400" s="735" t="s">
        <v>2170</v>
      </c>
      <c r="C1400" s="735" t="s">
        <v>451</v>
      </c>
      <c r="D1400" s="644" t="s">
        <v>5090</v>
      </c>
      <c r="E1400" s="736">
        <v>9000</v>
      </c>
      <c r="F1400" s="638" t="s">
        <v>6124</v>
      </c>
      <c r="G1400" s="636" t="s">
        <v>6125</v>
      </c>
      <c r="H1400" s="636" t="s">
        <v>5501</v>
      </c>
      <c r="I1400" s="636" t="s">
        <v>5502</v>
      </c>
      <c r="J1400" s="644"/>
      <c r="K1400" s="739"/>
      <c r="L1400" s="735">
        <v>12</v>
      </c>
      <c r="M1400" s="735">
        <v>101410.79999999997</v>
      </c>
      <c r="N1400" s="739"/>
      <c r="O1400" s="735"/>
      <c r="P1400" s="736"/>
      <c r="Q1400" s="214"/>
    </row>
    <row r="1401" spans="1:17" ht="12" customHeight="1" x14ac:dyDescent="0.2">
      <c r="A1401" s="735" t="s">
        <v>5497</v>
      </c>
      <c r="B1401" s="735" t="s">
        <v>2170</v>
      </c>
      <c r="C1401" s="735" t="s">
        <v>451</v>
      </c>
      <c r="D1401" s="644" t="s">
        <v>6126</v>
      </c>
      <c r="E1401" s="736">
        <v>9500</v>
      </c>
      <c r="F1401" s="638" t="s">
        <v>6127</v>
      </c>
      <c r="G1401" s="636" t="s">
        <v>6128</v>
      </c>
      <c r="H1401" s="636" t="s">
        <v>5506</v>
      </c>
      <c r="I1401" s="636" t="s">
        <v>5502</v>
      </c>
      <c r="J1401" s="644"/>
      <c r="K1401" s="739"/>
      <c r="L1401" s="735">
        <v>12</v>
      </c>
      <c r="M1401" s="735">
        <v>115960.79999999997</v>
      </c>
      <c r="N1401" s="739"/>
      <c r="O1401" s="735">
        <v>6</v>
      </c>
      <c r="P1401" s="736">
        <v>58044.9</v>
      </c>
      <c r="Q1401" s="214"/>
    </row>
    <row r="1402" spans="1:17" ht="12" customHeight="1" x14ac:dyDescent="0.2">
      <c r="A1402" s="735" t="s">
        <v>5497</v>
      </c>
      <c r="B1402" s="735" t="s">
        <v>2170</v>
      </c>
      <c r="C1402" s="735" t="s">
        <v>451</v>
      </c>
      <c r="D1402" s="644" t="s">
        <v>6129</v>
      </c>
      <c r="E1402" s="736">
        <v>9000</v>
      </c>
      <c r="F1402" s="638" t="s">
        <v>6130</v>
      </c>
      <c r="G1402" s="636" t="s">
        <v>6131</v>
      </c>
      <c r="H1402" s="636" t="s">
        <v>5501</v>
      </c>
      <c r="I1402" s="636" t="s">
        <v>5502</v>
      </c>
      <c r="J1402" s="644"/>
      <c r="K1402" s="739"/>
      <c r="L1402" s="735">
        <v>12</v>
      </c>
      <c r="M1402" s="735">
        <v>109960.79999999997</v>
      </c>
      <c r="N1402" s="739"/>
      <c r="O1402" s="735">
        <v>6</v>
      </c>
      <c r="P1402" s="736">
        <v>55044.9</v>
      </c>
      <c r="Q1402" s="214"/>
    </row>
    <row r="1403" spans="1:17" ht="12" customHeight="1" x14ac:dyDescent="0.2">
      <c r="A1403" s="735" t="s">
        <v>5497</v>
      </c>
      <c r="B1403" s="735" t="s">
        <v>2170</v>
      </c>
      <c r="C1403" s="735" t="s">
        <v>451</v>
      </c>
      <c r="D1403" s="644" t="s">
        <v>5579</v>
      </c>
      <c r="E1403" s="736">
        <v>9000</v>
      </c>
      <c r="F1403" s="638" t="s">
        <v>6132</v>
      </c>
      <c r="G1403" s="636" t="s">
        <v>6133</v>
      </c>
      <c r="H1403" s="636" t="s">
        <v>5501</v>
      </c>
      <c r="I1403" s="636" t="s">
        <v>5502</v>
      </c>
      <c r="J1403" s="644"/>
      <c r="K1403" s="739"/>
      <c r="L1403" s="735">
        <v>12</v>
      </c>
      <c r="M1403" s="735">
        <v>109960.79999999997</v>
      </c>
      <c r="N1403" s="739"/>
      <c r="O1403" s="735">
        <v>6</v>
      </c>
      <c r="P1403" s="736">
        <v>55044.9</v>
      </c>
      <c r="Q1403" s="214"/>
    </row>
    <row r="1404" spans="1:17" ht="12" customHeight="1" x14ac:dyDescent="0.2">
      <c r="A1404" s="735" t="s">
        <v>5497</v>
      </c>
      <c r="B1404" s="735" t="s">
        <v>2170</v>
      </c>
      <c r="C1404" s="735" t="s">
        <v>451</v>
      </c>
      <c r="D1404" s="644" t="s">
        <v>5624</v>
      </c>
      <c r="E1404" s="736">
        <v>9000</v>
      </c>
      <c r="F1404" s="638" t="s">
        <v>6134</v>
      </c>
      <c r="G1404" s="636" t="s">
        <v>6135</v>
      </c>
      <c r="H1404" s="636" t="s">
        <v>5501</v>
      </c>
      <c r="I1404" s="636" t="s">
        <v>5502</v>
      </c>
      <c r="J1404" s="644"/>
      <c r="K1404" s="739"/>
      <c r="L1404" s="735">
        <v>12</v>
      </c>
      <c r="M1404" s="735">
        <v>109960.79999999997</v>
      </c>
      <c r="N1404" s="739"/>
      <c r="O1404" s="735">
        <v>6</v>
      </c>
      <c r="P1404" s="736">
        <v>55044.9</v>
      </c>
      <c r="Q1404" s="214"/>
    </row>
    <row r="1405" spans="1:17" ht="12" customHeight="1" x14ac:dyDescent="0.2">
      <c r="A1405" s="735" t="s">
        <v>5497</v>
      </c>
      <c r="B1405" s="735" t="s">
        <v>2170</v>
      </c>
      <c r="C1405" s="735" t="s">
        <v>451</v>
      </c>
      <c r="D1405" s="644" t="s">
        <v>6058</v>
      </c>
      <c r="E1405" s="736">
        <v>9000</v>
      </c>
      <c r="F1405" s="638" t="s">
        <v>6136</v>
      </c>
      <c r="G1405" s="636" t="s">
        <v>6137</v>
      </c>
      <c r="H1405" s="636" t="s">
        <v>2675</v>
      </c>
      <c r="I1405" s="636" t="s">
        <v>5502</v>
      </c>
      <c r="J1405" s="644"/>
      <c r="K1405" s="739"/>
      <c r="L1405" s="735">
        <v>10</v>
      </c>
      <c r="M1405" s="735">
        <v>84433.37999999999</v>
      </c>
      <c r="N1405" s="739"/>
      <c r="O1405" s="735"/>
      <c r="P1405" s="736"/>
      <c r="Q1405" s="214"/>
    </row>
    <row r="1406" spans="1:17" ht="12" customHeight="1" x14ac:dyDescent="0.2">
      <c r="A1406" s="735" t="s">
        <v>5497</v>
      </c>
      <c r="B1406" s="735" t="s">
        <v>2170</v>
      </c>
      <c r="C1406" s="735" t="s">
        <v>451</v>
      </c>
      <c r="D1406" s="644" t="s">
        <v>6138</v>
      </c>
      <c r="E1406" s="736">
        <v>12000</v>
      </c>
      <c r="F1406" s="638" t="s">
        <v>6139</v>
      </c>
      <c r="G1406" s="636" t="s">
        <v>6140</v>
      </c>
      <c r="H1406" s="636" t="s">
        <v>5506</v>
      </c>
      <c r="I1406" s="636" t="s">
        <v>5502</v>
      </c>
      <c r="J1406" s="644"/>
      <c r="K1406" s="739"/>
      <c r="L1406" s="735">
        <v>12</v>
      </c>
      <c r="M1406" s="735">
        <v>161660.79999999996</v>
      </c>
      <c r="N1406" s="739"/>
      <c r="O1406" s="735">
        <v>6</v>
      </c>
      <c r="P1406" s="736">
        <v>85044.9</v>
      </c>
      <c r="Q1406" s="214"/>
    </row>
    <row r="1407" spans="1:17" ht="12" customHeight="1" x14ac:dyDescent="0.2">
      <c r="A1407" s="735" t="s">
        <v>5497</v>
      </c>
      <c r="B1407" s="735" t="s">
        <v>2170</v>
      </c>
      <c r="C1407" s="735" t="s">
        <v>451</v>
      </c>
      <c r="D1407" s="644" t="s">
        <v>6141</v>
      </c>
      <c r="E1407" s="736">
        <v>4500</v>
      </c>
      <c r="F1407" s="638" t="s">
        <v>6142</v>
      </c>
      <c r="G1407" s="636" t="s">
        <v>6143</v>
      </c>
      <c r="H1407" s="636" t="s">
        <v>2570</v>
      </c>
      <c r="I1407" s="636"/>
      <c r="J1407" s="644" t="s">
        <v>5515</v>
      </c>
      <c r="K1407" s="739"/>
      <c r="L1407" s="735">
        <v>12</v>
      </c>
      <c r="M1407" s="735">
        <v>55960.80000000001</v>
      </c>
      <c r="N1407" s="739"/>
      <c r="O1407" s="735">
        <v>6</v>
      </c>
      <c r="P1407" s="736">
        <v>28044.9</v>
      </c>
      <c r="Q1407" s="214"/>
    </row>
    <row r="1408" spans="1:17" ht="12" customHeight="1" x14ac:dyDescent="0.2">
      <c r="A1408" s="735" t="s">
        <v>5497</v>
      </c>
      <c r="B1408" s="735" t="s">
        <v>2170</v>
      </c>
      <c r="C1408" s="735" t="s">
        <v>451</v>
      </c>
      <c r="D1408" s="644" t="s">
        <v>6144</v>
      </c>
      <c r="E1408" s="736">
        <v>9000</v>
      </c>
      <c r="F1408" s="638" t="s">
        <v>6145</v>
      </c>
      <c r="G1408" s="636" t="s">
        <v>6146</v>
      </c>
      <c r="H1408" s="636" t="s">
        <v>5501</v>
      </c>
      <c r="I1408" s="636" t="s">
        <v>5502</v>
      </c>
      <c r="J1408" s="644"/>
      <c r="K1408" s="739"/>
      <c r="L1408" s="735"/>
      <c r="M1408" s="735"/>
      <c r="N1408" s="739"/>
      <c r="O1408" s="735">
        <v>4</v>
      </c>
      <c r="P1408" s="736">
        <v>36396.6</v>
      </c>
      <c r="Q1408" s="214"/>
    </row>
    <row r="1409" spans="1:17" ht="12" customHeight="1" x14ac:dyDescent="0.2">
      <c r="A1409" s="735" t="s">
        <v>5497</v>
      </c>
      <c r="B1409" s="735" t="s">
        <v>2170</v>
      </c>
      <c r="C1409" s="735" t="s">
        <v>451</v>
      </c>
      <c r="D1409" s="644" t="s">
        <v>6006</v>
      </c>
      <c r="E1409" s="736">
        <v>10000</v>
      </c>
      <c r="F1409" s="638" t="s">
        <v>6147</v>
      </c>
      <c r="G1409" s="636" t="s">
        <v>6148</v>
      </c>
      <c r="H1409" s="636" t="s">
        <v>5501</v>
      </c>
      <c r="I1409" s="636" t="s">
        <v>5502</v>
      </c>
      <c r="J1409" s="644"/>
      <c r="K1409" s="739"/>
      <c r="L1409" s="735">
        <v>12</v>
      </c>
      <c r="M1409" s="735">
        <v>121960.79999999997</v>
      </c>
      <c r="N1409" s="739"/>
      <c r="O1409" s="735">
        <v>6</v>
      </c>
      <c r="P1409" s="736">
        <v>61044.9</v>
      </c>
      <c r="Q1409" s="214"/>
    </row>
    <row r="1410" spans="1:17" ht="12" customHeight="1" x14ac:dyDescent="0.2">
      <c r="A1410" s="735" t="s">
        <v>5497</v>
      </c>
      <c r="B1410" s="735" t="s">
        <v>2170</v>
      </c>
      <c r="C1410" s="735" t="s">
        <v>451</v>
      </c>
      <c r="D1410" s="644" t="s">
        <v>6012</v>
      </c>
      <c r="E1410" s="736">
        <v>4200</v>
      </c>
      <c r="F1410" s="638" t="s">
        <v>6149</v>
      </c>
      <c r="G1410" s="636" t="s">
        <v>6150</v>
      </c>
      <c r="H1410" s="636" t="s">
        <v>6151</v>
      </c>
      <c r="I1410" s="636"/>
      <c r="J1410" s="644" t="s">
        <v>5515</v>
      </c>
      <c r="K1410" s="739"/>
      <c r="L1410" s="735">
        <v>12</v>
      </c>
      <c r="M1410" s="735">
        <v>52360.80000000001</v>
      </c>
      <c r="N1410" s="739"/>
      <c r="O1410" s="735">
        <v>6</v>
      </c>
      <c r="P1410" s="736">
        <v>26244.9</v>
      </c>
      <c r="Q1410" s="214"/>
    </row>
    <row r="1411" spans="1:17" ht="12" customHeight="1" x14ac:dyDescent="0.2">
      <c r="A1411" s="735" t="s">
        <v>5497</v>
      </c>
      <c r="B1411" s="735" t="s">
        <v>2170</v>
      </c>
      <c r="C1411" s="735" t="s">
        <v>451</v>
      </c>
      <c r="D1411" s="644" t="s">
        <v>6152</v>
      </c>
      <c r="E1411" s="736">
        <v>9000</v>
      </c>
      <c r="F1411" s="638" t="s">
        <v>6153</v>
      </c>
      <c r="G1411" s="636" t="s">
        <v>6154</v>
      </c>
      <c r="H1411" s="636" t="s">
        <v>5501</v>
      </c>
      <c r="I1411" s="636" t="s">
        <v>5502</v>
      </c>
      <c r="J1411" s="644"/>
      <c r="K1411" s="739"/>
      <c r="L1411" s="735">
        <v>12</v>
      </c>
      <c r="M1411" s="735">
        <v>109960.79999999997</v>
      </c>
      <c r="N1411" s="739"/>
      <c r="O1411" s="735">
        <v>6</v>
      </c>
      <c r="P1411" s="736">
        <v>55044.9</v>
      </c>
      <c r="Q1411" s="214"/>
    </row>
    <row r="1412" spans="1:17" ht="12" customHeight="1" x14ac:dyDescent="0.2">
      <c r="A1412" s="735" t="s">
        <v>5497</v>
      </c>
      <c r="B1412" s="735" t="s">
        <v>2170</v>
      </c>
      <c r="C1412" s="735" t="s">
        <v>451</v>
      </c>
      <c r="D1412" s="644" t="s">
        <v>2724</v>
      </c>
      <c r="E1412" s="736">
        <v>3200</v>
      </c>
      <c r="F1412" s="638" t="s">
        <v>6155</v>
      </c>
      <c r="G1412" s="636" t="s">
        <v>6156</v>
      </c>
      <c r="H1412" s="636" t="s">
        <v>5694</v>
      </c>
      <c r="I1412" s="636"/>
      <c r="J1412" s="644" t="s">
        <v>5515</v>
      </c>
      <c r="K1412" s="739"/>
      <c r="L1412" s="735">
        <v>12</v>
      </c>
      <c r="M1412" s="735">
        <v>42700.73000000001</v>
      </c>
      <c r="N1412" s="739"/>
      <c r="O1412" s="735"/>
      <c r="P1412" s="736"/>
      <c r="Q1412" s="214"/>
    </row>
    <row r="1413" spans="1:17" ht="12" customHeight="1" x14ac:dyDescent="0.2">
      <c r="A1413" s="735" t="s">
        <v>5497</v>
      </c>
      <c r="B1413" s="735" t="s">
        <v>2170</v>
      </c>
      <c r="C1413" s="735" t="s">
        <v>451</v>
      </c>
      <c r="D1413" s="644" t="s">
        <v>5579</v>
      </c>
      <c r="E1413" s="736">
        <v>9000</v>
      </c>
      <c r="F1413" s="638" t="s">
        <v>6157</v>
      </c>
      <c r="G1413" s="636" t="s">
        <v>6158</v>
      </c>
      <c r="H1413" s="636" t="s">
        <v>5501</v>
      </c>
      <c r="I1413" s="636" t="s">
        <v>5502</v>
      </c>
      <c r="J1413" s="644"/>
      <c r="K1413" s="739"/>
      <c r="L1413" s="735">
        <v>6</v>
      </c>
      <c r="M1413" s="735">
        <v>53455.4</v>
      </c>
      <c r="N1413" s="739"/>
      <c r="O1413" s="735"/>
      <c r="P1413" s="736"/>
      <c r="Q1413" s="214"/>
    </row>
    <row r="1414" spans="1:17" ht="12" customHeight="1" x14ac:dyDescent="0.2">
      <c r="A1414" s="735" t="s">
        <v>5497</v>
      </c>
      <c r="B1414" s="735" t="s">
        <v>2170</v>
      </c>
      <c r="C1414" s="735" t="s">
        <v>451</v>
      </c>
      <c r="D1414" s="644" t="s">
        <v>6121</v>
      </c>
      <c r="E1414" s="736">
        <v>9000</v>
      </c>
      <c r="F1414" s="638" t="s">
        <v>6159</v>
      </c>
      <c r="G1414" s="636" t="s">
        <v>6160</v>
      </c>
      <c r="H1414" s="636" t="s">
        <v>5506</v>
      </c>
      <c r="I1414" s="636" t="s">
        <v>5502</v>
      </c>
      <c r="J1414" s="644"/>
      <c r="K1414" s="739"/>
      <c r="L1414" s="735">
        <v>12</v>
      </c>
      <c r="M1414" s="735">
        <v>107860.79999999997</v>
      </c>
      <c r="N1414" s="739"/>
      <c r="O1414" s="735">
        <v>6</v>
      </c>
      <c r="P1414" s="736">
        <v>55044.9</v>
      </c>
      <c r="Q1414" s="214"/>
    </row>
    <row r="1415" spans="1:17" ht="12" customHeight="1" x14ac:dyDescent="0.2">
      <c r="A1415" s="735" t="s">
        <v>5497</v>
      </c>
      <c r="B1415" s="735" t="s">
        <v>2170</v>
      </c>
      <c r="C1415" s="735" t="s">
        <v>451</v>
      </c>
      <c r="D1415" s="644" t="s">
        <v>6161</v>
      </c>
      <c r="E1415" s="736">
        <v>9500</v>
      </c>
      <c r="F1415" s="638" t="s">
        <v>6162</v>
      </c>
      <c r="G1415" s="636" t="s">
        <v>6163</v>
      </c>
      <c r="H1415" s="636" t="s">
        <v>2186</v>
      </c>
      <c r="I1415" s="636" t="s">
        <v>5502</v>
      </c>
      <c r="J1415" s="644"/>
      <c r="K1415" s="739"/>
      <c r="L1415" s="735">
        <v>10</v>
      </c>
      <c r="M1415" s="735">
        <v>94833.999999999985</v>
      </c>
      <c r="N1415" s="739"/>
      <c r="O1415" s="735">
        <v>6</v>
      </c>
      <c r="P1415" s="736">
        <v>58044.9</v>
      </c>
      <c r="Q1415" s="214"/>
    </row>
    <row r="1416" spans="1:17" ht="12" customHeight="1" x14ac:dyDescent="0.2">
      <c r="A1416" s="735" t="s">
        <v>5497</v>
      </c>
      <c r="B1416" s="735" t="s">
        <v>2170</v>
      </c>
      <c r="C1416" s="735" t="s">
        <v>451</v>
      </c>
      <c r="D1416" s="644" t="s">
        <v>5503</v>
      </c>
      <c r="E1416" s="736">
        <v>9000</v>
      </c>
      <c r="F1416" s="638" t="s">
        <v>6164</v>
      </c>
      <c r="G1416" s="636" t="s">
        <v>6165</v>
      </c>
      <c r="H1416" s="636" t="s">
        <v>5501</v>
      </c>
      <c r="I1416" s="636" t="s">
        <v>5502</v>
      </c>
      <c r="J1416" s="644"/>
      <c r="K1416" s="739"/>
      <c r="L1416" s="735">
        <v>12</v>
      </c>
      <c r="M1416" s="735">
        <v>98679.599999999977</v>
      </c>
      <c r="N1416" s="739"/>
      <c r="O1416" s="735">
        <v>6</v>
      </c>
      <c r="P1416" s="736">
        <v>55044.9</v>
      </c>
      <c r="Q1416" s="214"/>
    </row>
    <row r="1417" spans="1:17" ht="12" customHeight="1" x14ac:dyDescent="0.2">
      <c r="A1417" s="735" t="s">
        <v>5497</v>
      </c>
      <c r="B1417" s="735" t="s">
        <v>2170</v>
      </c>
      <c r="C1417" s="735" t="s">
        <v>451</v>
      </c>
      <c r="D1417" s="644" t="s">
        <v>6166</v>
      </c>
      <c r="E1417" s="736">
        <v>9500</v>
      </c>
      <c r="F1417" s="638" t="s">
        <v>6167</v>
      </c>
      <c r="G1417" s="636" t="s">
        <v>6168</v>
      </c>
      <c r="H1417" s="636" t="s">
        <v>5506</v>
      </c>
      <c r="I1417" s="636" t="s">
        <v>5502</v>
      </c>
      <c r="J1417" s="644"/>
      <c r="K1417" s="739"/>
      <c r="L1417" s="735">
        <v>12</v>
      </c>
      <c r="M1417" s="735">
        <v>139432.03999999998</v>
      </c>
      <c r="N1417" s="739"/>
      <c r="O1417" s="735">
        <v>6</v>
      </c>
      <c r="P1417" s="736">
        <v>61044.9</v>
      </c>
      <c r="Q1417" s="214"/>
    </row>
    <row r="1418" spans="1:17" ht="12" customHeight="1" x14ac:dyDescent="0.2">
      <c r="A1418" s="735" t="s">
        <v>5497</v>
      </c>
      <c r="B1418" s="735" t="s">
        <v>2170</v>
      </c>
      <c r="C1418" s="735" t="s">
        <v>451</v>
      </c>
      <c r="D1418" s="644" t="s">
        <v>5538</v>
      </c>
      <c r="E1418" s="736">
        <v>9000</v>
      </c>
      <c r="F1418" s="638" t="s">
        <v>6169</v>
      </c>
      <c r="G1418" s="636" t="s">
        <v>6170</v>
      </c>
      <c r="H1418" s="636" t="s">
        <v>5578</v>
      </c>
      <c r="I1418" s="636" t="s">
        <v>5502</v>
      </c>
      <c r="J1418" s="644"/>
      <c r="K1418" s="739"/>
      <c r="L1418" s="735">
        <v>12</v>
      </c>
      <c r="M1418" s="735">
        <v>109708.79999999997</v>
      </c>
      <c r="N1418" s="739"/>
      <c r="O1418" s="735">
        <v>3</v>
      </c>
      <c r="P1418" s="736">
        <v>25097.449999999997</v>
      </c>
      <c r="Q1418" s="214"/>
    </row>
    <row r="1419" spans="1:17" ht="12" customHeight="1" x14ac:dyDescent="0.2">
      <c r="A1419" s="735" t="s">
        <v>5497</v>
      </c>
      <c r="B1419" s="735" t="s">
        <v>2170</v>
      </c>
      <c r="C1419" s="735" t="s">
        <v>451</v>
      </c>
      <c r="D1419" s="644" t="s">
        <v>6171</v>
      </c>
      <c r="E1419" s="736">
        <v>9000</v>
      </c>
      <c r="F1419" s="638" t="s">
        <v>6172</v>
      </c>
      <c r="G1419" s="636" t="s">
        <v>6173</v>
      </c>
      <c r="H1419" s="636" t="s">
        <v>5501</v>
      </c>
      <c r="I1419" s="636" t="s">
        <v>5502</v>
      </c>
      <c r="J1419" s="644"/>
      <c r="K1419" s="739"/>
      <c r="L1419" s="735">
        <v>4</v>
      </c>
      <c r="M1419" s="735">
        <v>27740.199999999997</v>
      </c>
      <c r="N1419" s="739"/>
      <c r="O1419" s="735"/>
      <c r="P1419" s="736"/>
      <c r="Q1419" s="214"/>
    </row>
    <row r="1420" spans="1:17" ht="12" customHeight="1" x14ac:dyDescent="0.2">
      <c r="A1420" s="735" t="s">
        <v>5497</v>
      </c>
      <c r="B1420" s="735" t="s">
        <v>2170</v>
      </c>
      <c r="C1420" s="735" t="s">
        <v>451</v>
      </c>
      <c r="D1420" s="644" t="s">
        <v>6174</v>
      </c>
      <c r="E1420" s="736">
        <v>9000</v>
      </c>
      <c r="F1420" s="638" t="s">
        <v>6175</v>
      </c>
      <c r="G1420" s="636" t="s">
        <v>6176</v>
      </c>
      <c r="H1420" s="636" t="s">
        <v>5565</v>
      </c>
      <c r="I1420" s="636" t="s">
        <v>5502</v>
      </c>
      <c r="J1420" s="644"/>
      <c r="K1420" s="739"/>
      <c r="L1420" s="735">
        <v>12</v>
      </c>
      <c r="M1420" s="735">
        <v>132060.79999999999</v>
      </c>
      <c r="N1420" s="739"/>
      <c r="O1420" s="735">
        <v>6</v>
      </c>
      <c r="P1420" s="736">
        <v>73044.899999999994</v>
      </c>
      <c r="Q1420" s="214"/>
    </row>
    <row r="1421" spans="1:17" ht="12" customHeight="1" x14ac:dyDescent="0.2">
      <c r="A1421" s="735" t="s">
        <v>5497</v>
      </c>
      <c r="B1421" s="735" t="s">
        <v>2170</v>
      </c>
      <c r="C1421" s="735" t="s">
        <v>451</v>
      </c>
      <c r="D1421" s="644" t="s">
        <v>6177</v>
      </c>
      <c r="E1421" s="736">
        <v>9500</v>
      </c>
      <c r="F1421" s="638" t="s">
        <v>6178</v>
      </c>
      <c r="G1421" s="636" t="s">
        <v>6179</v>
      </c>
      <c r="H1421" s="636" t="s">
        <v>5670</v>
      </c>
      <c r="I1421" s="636" t="s">
        <v>5502</v>
      </c>
      <c r="J1421" s="644"/>
      <c r="K1421" s="739"/>
      <c r="L1421" s="735">
        <v>12</v>
      </c>
      <c r="M1421" s="735">
        <v>115960.79999999997</v>
      </c>
      <c r="N1421" s="739"/>
      <c r="O1421" s="735">
        <v>6</v>
      </c>
      <c r="P1421" s="736">
        <v>58044.9</v>
      </c>
      <c r="Q1421" s="214"/>
    </row>
    <row r="1422" spans="1:17" ht="12" customHeight="1" x14ac:dyDescent="0.2">
      <c r="A1422" s="735" t="s">
        <v>5497</v>
      </c>
      <c r="B1422" s="735" t="s">
        <v>2170</v>
      </c>
      <c r="C1422" s="735" t="s">
        <v>451</v>
      </c>
      <c r="D1422" s="644" t="s">
        <v>2394</v>
      </c>
      <c r="E1422" s="736">
        <v>10000</v>
      </c>
      <c r="F1422" s="638" t="s">
        <v>6180</v>
      </c>
      <c r="G1422" s="636" t="s">
        <v>6181</v>
      </c>
      <c r="H1422" s="636" t="s">
        <v>6182</v>
      </c>
      <c r="I1422" s="636" t="s">
        <v>5502</v>
      </c>
      <c r="J1422" s="644"/>
      <c r="K1422" s="739"/>
      <c r="L1422" s="735">
        <v>12</v>
      </c>
      <c r="M1422" s="735">
        <v>121960.79999999997</v>
      </c>
      <c r="N1422" s="739"/>
      <c r="O1422" s="735">
        <v>6</v>
      </c>
      <c r="P1422" s="736">
        <v>61044.9</v>
      </c>
      <c r="Q1422" s="214"/>
    </row>
    <row r="1423" spans="1:17" ht="12" customHeight="1" x14ac:dyDescent="0.2">
      <c r="A1423" s="735" t="s">
        <v>5497</v>
      </c>
      <c r="B1423" s="735" t="s">
        <v>2170</v>
      </c>
      <c r="C1423" s="735" t="s">
        <v>451</v>
      </c>
      <c r="D1423" s="644" t="s">
        <v>5579</v>
      </c>
      <c r="E1423" s="736">
        <v>9000</v>
      </c>
      <c r="F1423" s="638" t="s">
        <v>6183</v>
      </c>
      <c r="G1423" s="636" t="s">
        <v>6184</v>
      </c>
      <c r="H1423" s="636" t="s">
        <v>5501</v>
      </c>
      <c r="I1423" s="636" t="s">
        <v>5502</v>
      </c>
      <c r="J1423" s="644"/>
      <c r="K1423" s="739"/>
      <c r="L1423" s="735">
        <v>12</v>
      </c>
      <c r="M1423" s="735">
        <v>109960.79999999997</v>
      </c>
      <c r="N1423" s="739"/>
      <c r="O1423" s="735">
        <v>6</v>
      </c>
      <c r="P1423" s="736">
        <v>55044.9</v>
      </c>
      <c r="Q1423" s="214"/>
    </row>
    <row r="1424" spans="1:17" ht="12" customHeight="1" x14ac:dyDescent="0.2">
      <c r="A1424" s="735" t="s">
        <v>5497</v>
      </c>
      <c r="B1424" s="735" t="s">
        <v>2170</v>
      </c>
      <c r="C1424" s="735" t="s">
        <v>451</v>
      </c>
      <c r="D1424" s="644" t="s">
        <v>6185</v>
      </c>
      <c r="E1424" s="736">
        <v>6500</v>
      </c>
      <c r="F1424" s="638" t="s">
        <v>6186</v>
      </c>
      <c r="G1424" s="636" t="s">
        <v>6187</v>
      </c>
      <c r="H1424" s="636" t="s">
        <v>6188</v>
      </c>
      <c r="I1424" s="636" t="s">
        <v>5502</v>
      </c>
      <c r="J1424" s="644"/>
      <c r="K1424" s="739"/>
      <c r="L1424" s="735">
        <v>12</v>
      </c>
      <c r="M1424" s="735">
        <v>79960.799999999988</v>
      </c>
      <c r="N1424" s="739"/>
      <c r="O1424" s="735">
        <v>6</v>
      </c>
      <c r="P1424" s="736">
        <v>40044.9</v>
      </c>
      <c r="Q1424" s="214"/>
    </row>
    <row r="1425" spans="1:17" ht="12" customHeight="1" x14ac:dyDescent="0.2">
      <c r="A1425" s="735" t="s">
        <v>5497</v>
      </c>
      <c r="B1425" s="735" t="s">
        <v>2170</v>
      </c>
      <c r="C1425" s="735" t="s">
        <v>451</v>
      </c>
      <c r="D1425" s="644" t="s">
        <v>5624</v>
      </c>
      <c r="E1425" s="736">
        <v>9000</v>
      </c>
      <c r="F1425" s="638" t="s">
        <v>6189</v>
      </c>
      <c r="G1425" s="636" t="s">
        <v>6190</v>
      </c>
      <c r="H1425" s="636" t="s">
        <v>5501</v>
      </c>
      <c r="I1425" s="636" t="s">
        <v>5502</v>
      </c>
      <c r="J1425" s="644"/>
      <c r="K1425" s="739"/>
      <c r="L1425" s="735">
        <v>12</v>
      </c>
      <c r="M1425" s="735">
        <v>109960.79999999997</v>
      </c>
      <c r="N1425" s="739"/>
      <c r="O1425" s="735">
        <v>6</v>
      </c>
      <c r="P1425" s="736">
        <v>55044.9</v>
      </c>
      <c r="Q1425" s="214"/>
    </row>
    <row r="1426" spans="1:17" ht="12" customHeight="1" x14ac:dyDescent="0.2">
      <c r="A1426" s="735" t="s">
        <v>5497</v>
      </c>
      <c r="B1426" s="735" t="s">
        <v>2170</v>
      </c>
      <c r="C1426" s="735" t="s">
        <v>451</v>
      </c>
      <c r="D1426" s="644" t="s">
        <v>5948</v>
      </c>
      <c r="E1426" s="736">
        <v>8000</v>
      </c>
      <c r="F1426" s="638" t="s">
        <v>6191</v>
      </c>
      <c r="G1426" s="636" t="s">
        <v>6192</v>
      </c>
      <c r="H1426" s="636" t="s">
        <v>6193</v>
      </c>
      <c r="I1426" s="636" t="s">
        <v>5502</v>
      </c>
      <c r="J1426" s="644"/>
      <c r="K1426" s="739"/>
      <c r="L1426" s="735">
        <v>12</v>
      </c>
      <c r="M1426" s="735">
        <v>97960.799999999988</v>
      </c>
      <c r="N1426" s="739"/>
      <c r="O1426" s="735">
        <v>6</v>
      </c>
      <c r="P1426" s="736">
        <v>49044.9</v>
      </c>
      <c r="Q1426" s="214"/>
    </row>
    <row r="1427" spans="1:17" ht="12" customHeight="1" x14ac:dyDescent="0.2">
      <c r="A1427" s="735" t="s">
        <v>5497</v>
      </c>
      <c r="B1427" s="735" t="s">
        <v>2170</v>
      </c>
      <c r="C1427" s="735" t="s">
        <v>451</v>
      </c>
      <c r="D1427" s="644" t="s">
        <v>5674</v>
      </c>
      <c r="E1427" s="736">
        <v>14000</v>
      </c>
      <c r="F1427" s="638" t="s">
        <v>6194</v>
      </c>
      <c r="G1427" s="636" t="s">
        <v>6195</v>
      </c>
      <c r="H1427" s="636" t="s">
        <v>5670</v>
      </c>
      <c r="I1427" s="636" t="s">
        <v>5502</v>
      </c>
      <c r="J1427" s="644"/>
      <c r="K1427" s="739"/>
      <c r="L1427" s="735">
        <v>12</v>
      </c>
      <c r="M1427" s="735">
        <v>169960.79999999996</v>
      </c>
      <c r="N1427" s="739"/>
      <c r="O1427" s="735">
        <v>6</v>
      </c>
      <c r="P1427" s="736">
        <v>85044.9</v>
      </c>
      <c r="Q1427" s="214"/>
    </row>
    <row r="1428" spans="1:17" ht="12" customHeight="1" x14ac:dyDescent="0.2">
      <c r="A1428" s="735" t="s">
        <v>5497</v>
      </c>
      <c r="B1428" s="735" t="s">
        <v>2170</v>
      </c>
      <c r="C1428" s="735" t="s">
        <v>451</v>
      </c>
      <c r="D1428" s="644" t="s">
        <v>5671</v>
      </c>
      <c r="E1428" s="736">
        <v>9500</v>
      </c>
      <c r="F1428" s="638" t="s">
        <v>6196</v>
      </c>
      <c r="G1428" s="636" t="s">
        <v>6197</v>
      </c>
      <c r="H1428" s="636" t="s">
        <v>5501</v>
      </c>
      <c r="I1428" s="636" t="s">
        <v>5502</v>
      </c>
      <c r="J1428" s="644"/>
      <c r="K1428" s="739"/>
      <c r="L1428" s="735">
        <v>12</v>
      </c>
      <c r="M1428" s="735">
        <v>135462.18999999997</v>
      </c>
      <c r="N1428" s="739"/>
      <c r="O1428" s="735"/>
      <c r="P1428" s="736"/>
      <c r="Q1428" s="214"/>
    </row>
    <row r="1429" spans="1:17" ht="12" customHeight="1" x14ac:dyDescent="0.2">
      <c r="A1429" s="735" t="s">
        <v>5497</v>
      </c>
      <c r="B1429" s="735" t="s">
        <v>2170</v>
      </c>
      <c r="C1429" s="735" t="s">
        <v>451</v>
      </c>
      <c r="D1429" s="644" t="s">
        <v>5503</v>
      </c>
      <c r="E1429" s="736">
        <v>9000</v>
      </c>
      <c r="F1429" s="638" t="s">
        <v>6198</v>
      </c>
      <c r="G1429" s="636" t="s">
        <v>6199</v>
      </c>
      <c r="H1429" s="636" t="s">
        <v>5501</v>
      </c>
      <c r="I1429" s="636" t="s">
        <v>5502</v>
      </c>
      <c r="J1429" s="644"/>
      <c r="K1429" s="739"/>
      <c r="L1429" s="735">
        <v>11</v>
      </c>
      <c r="M1429" s="735">
        <v>105197.39999999998</v>
      </c>
      <c r="N1429" s="739"/>
      <c r="O1429" s="735"/>
      <c r="P1429" s="736"/>
      <c r="Q1429" s="214"/>
    </row>
    <row r="1430" spans="1:17" ht="12" customHeight="1" x14ac:dyDescent="0.2">
      <c r="A1430" s="735" t="s">
        <v>5497</v>
      </c>
      <c r="B1430" s="735" t="s">
        <v>2170</v>
      </c>
      <c r="C1430" s="735" t="s">
        <v>451</v>
      </c>
      <c r="D1430" s="644" t="s">
        <v>6200</v>
      </c>
      <c r="E1430" s="736">
        <v>9000</v>
      </c>
      <c r="F1430" s="638" t="s">
        <v>6201</v>
      </c>
      <c r="G1430" s="636" t="s">
        <v>6202</v>
      </c>
      <c r="H1430" s="636" t="s">
        <v>5501</v>
      </c>
      <c r="I1430" s="636" t="s">
        <v>5502</v>
      </c>
      <c r="J1430" s="644"/>
      <c r="K1430" s="739"/>
      <c r="L1430" s="735">
        <v>6</v>
      </c>
      <c r="M1430" s="735">
        <v>50480.4</v>
      </c>
      <c r="N1430" s="739"/>
      <c r="O1430" s="735">
        <v>6</v>
      </c>
      <c r="P1430" s="736">
        <v>55044.9</v>
      </c>
      <c r="Q1430" s="214"/>
    </row>
    <row r="1431" spans="1:17" ht="12" customHeight="1" x14ac:dyDescent="0.2">
      <c r="A1431" s="735" t="s">
        <v>5497</v>
      </c>
      <c r="B1431" s="735" t="s">
        <v>2170</v>
      </c>
      <c r="C1431" s="735" t="s">
        <v>451</v>
      </c>
      <c r="D1431" s="644" t="s">
        <v>5503</v>
      </c>
      <c r="E1431" s="736">
        <v>9000</v>
      </c>
      <c r="F1431" s="638" t="s">
        <v>6203</v>
      </c>
      <c r="G1431" s="636" t="s">
        <v>6204</v>
      </c>
      <c r="H1431" s="636" t="s">
        <v>5501</v>
      </c>
      <c r="I1431" s="636" t="s">
        <v>5502</v>
      </c>
      <c r="J1431" s="644"/>
      <c r="K1431" s="739"/>
      <c r="L1431" s="735">
        <v>7</v>
      </c>
      <c r="M1431" s="735">
        <v>63243.8</v>
      </c>
      <c r="N1431" s="739"/>
      <c r="O1431" s="735">
        <v>6</v>
      </c>
      <c r="P1431" s="736">
        <v>55044.9</v>
      </c>
      <c r="Q1431" s="214"/>
    </row>
    <row r="1432" spans="1:17" ht="12" customHeight="1" x14ac:dyDescent="0.2">
      <c r="A1432" s="735" t="s">
        <v>5497</v>
      </c>
      <c r="B1432" s="735" t="s">
        <v>2170</v>
      </c>
      <c r="C1432" s="735" t="s">
        <v>451</v>
      </c>
      <c r="D1432" s="644" t="s">
        <v>5614</v>
      </c>
      <c r="E1432" s="736">
        <v>9000</v>
      </c>
      <c r="F1432" s="638" t="s">
        <v>6205</v>
      </c>
      <c r="G1432" s="636" t="s">
        <v>6206</v>
      </c>
      <c r="H1432" s="636" t="s">
        <v>5506</v>
      </c>
      <c r="I1432" s="636" t="s">
        <v>5502</v>
      </c>
      <c r="J1432" s="644"/>
      <c r="K1432" s="739"/>
      <c r="L1432" s="735">
        <v>7</v>
      </c>
      <c r="M1432" s="735">
        <v>63493.8</v>
      </c>
      <c r="N1432" s="739"/>
      <c r="O1432" s="735">
        <v>6</v>
      </c>
      <c r="P1432" s="736">
        <v>55044.9</v>
      </c>
      <c r="Q1432" s="214"/>
    </row>
    <row r="1433" spans="1:17" ht="12" customHeight="1" x14ac:dyDescent="0.2">
      <c r="A1433" s="735" t="s">
        <v>5497</v>
      </c>
      <c r="B1433" s="735" t="s">
        <v>2170</v>
      </c>
      <c r="C1433" s="735" t="s">
        <v>451</v>
      </c>
      <c r="D1433" s="644" t="s">
        <v>5579</v>
      </c>
      <c r="E1433" s="736">
        <v>9000</v>
      </c>
      <c r="F1433" s="638" t="s">
        <v>6207</v>
      </c>
      <c r="G1433" s="636" t="s">
        <v>6208</v>
      </c>
      <c r="H1433" s="636" t="s">
        <v>5501</v>
      </c>
      <c r="I1433" s="636" t="s">
        <v>5502</v>
      </c>
      <c r="J1433" s="644"/>
      <c r="K1433" s="739"/>
      <c r="L1433" s="735">
        <v>12</v>
      </c>
      <c r="M1433" s="735">
        <v>109960.79999999997</v>
      </c>
      <c r="N1433" s="739"/>
      <c r="O1433" s="735">
        <v>6</v>
      </c>
      <c r="P1433" s="736">
        <v>55044.9</v>
      </c>
      <c r="Q1433" s="214"/>
    </row>
    <row r="1434" spans="1:17" ht="12" customHeight="1" x14ac:dyDescent="0.2">
      <c r="A1434" s="735" t="s">
        <v>5497</v>
      </c>
      <c r="B1434" s="735" t="s">
        <v>2170</v>
      </c>
      <c r="C1434" s="735" t="s">
        <v>451</v>
      </c>
      <c r="D1434" s="644" t="s">
        <v>2190</v>
      </c>
      <c r="E1434" s="736">
        <v>3000</v>
      </c>
      <c r="F1434" s="638" t="s">
        <v>6209</v>
      </c>
      <c r="G1434" s="636" t="s">
        <v>6210</v>
      </c>
      <c r="H1434" s="636" t="s">
        <v>6211</v>
      </c>
      <c r="I1434" s="636"/>
      <c r="J1434" s="644" t="s">
        <v>5515</v>
      </c>
      <c r="K1434" s="739"/>
      <c r="L1434" s="735">
        <v>12</v>
      </c>
      <c r="M1434" s="735">
        <v>37960.80000000001</v>
      </c>
      <c r="N1434" s="739"/>
      <c r="O1434" s="735">
        <v>6</v>
      </c>
      <c r="P1434" s="736">
        <v>19044.900000000001</v>
      </c>
      <c r="Q1434" s="214"/>
    </row>
    <row r="1435" spans="1:17" ht="12" customHeight="1" x14ac:dyDescent="0.2">
      <c r="A1435" s="735" t="s">
        <v>5497</v>
      </c>
      <c r="B1435" s="735" t="s">
        <v>2170</v>
      </c>
      <c r="C1435" s="735" t="s">
        <v>451</v>
      </c>
      <c r="D1435" s="644" t="s">
        <v>5551</v>
      </c>
      <c r="E1435" s="736">
        <v>10000</v>
      </c>
      <c r="F1435" s="638" t="s">
        <v>6212</v>
      </c>
      <c r="G1435" s="636" t="s">
        <v>6213</v>
      </c>
      <c r="H1435" s="636" t="s">
        <v>5501</v>
      </c>
      <c r="I1435" s="636" t="s">
        <v>5502</v>
      </c>
      <c r="J1435" s="644"/>
      <c r="K1435" s="739"/>
      <c r="L1435" s="735">
        <v>12</v>
      </c>
      <c r="M1435" s="735">
        <v>121960.79999999997</v>
      </c>
      <c r="N1435" s="739"/>
      <c r="O1435" s="735">
        <v>6</v>
      </c>
      <c r="P1435" s="736">
        <v>61044.9</v>
      </c>
      <c r="Q1435" s="214"/>
    </row>
    <row r="1436" spans="1:17" ht="12" customHeight="1" x14ac:dyDescent="0.2">
      <c r="A1436" s="735" t="s">
        <v>5497</v>
      </c>
      <c r="B1436" s="735" t="s">
        <v>2170</v>
      </c>
      <c r="C1436" s="735" t="s">
        <v>451</v>
      </c>
      <c r="D1436" s="644" t="s">
        <v>2491</v>
      </c>
      <c r="E1436" s="736">
        <v>9000</v>
      </c>
      <c r="F1436" s="638" t="s">
        <v>6214</v>
      </c>
      <c r="G1436" s="636" t="s">
        <v>6215</v>
      </c>
      <c r="H1436" s="636" t="s">
        <v>5578</v>
      </c>
      <c r="I1436" s="636" t="s">
        <v>5502</v>
      </c>
      <c r="J1436" s="644"/>
      <c r="K1436" s="739"/>
      <c r="L1436" s="735">
        <v>4</v>
      </c>
      <c r="M1436" s="735">
        <v>39453.599999999999</v>
      </c>
      <c r="N1436" s="739"/>
      <c r="O1436" s="735"/>
      <c r="P1436" s="736"/>
      <c r="Q1436" s="214"/>
    </row>
    <row r="1437" spans="1:17" ht="12" customHeight="1" x14ac:dyDescent="0.2">
      <c r="A1437" s="735" t="s">
        <v>5497</v>
      </c>
      <c r="B1437" s="735" t="s">
        <v>2170</v>
      </c>
      <c r="C1437" s="735" t="s">
        <v>451</v>
      </c>
      <c r="D1437" s="644" t="s">
        <v>6171</v>
      </c>
      <c r="E1437" s="736">
        <v>9000</v>
      </c>
      <c r="F1437" s="638" t="s">
        <v>6216</v>
      </c>
      <c r="G1437" s="636" t="s">
        <v>6217</v>
      </c>
      <c r="H1437" s="636" t="s">
        <v>5501</v>
      </c>
      <c r="I1437" s="636" t="s">
        <v>5502</v>
      </c>
      <c r="J1437" s="644"/>
      <c r="K1437" s="739"/>
      <c r="L1437" s="735">
        <v>3</v>
      </c>
      <c r="M1437" s="735">
        <v>17451.8</v>
      </c>
      <c r="N1437" s="739"/>
      <c r="O1437" s="735"/>
      <c r="P1437" s="736"/>
      <c r="Q1437" s="214"/>
    </row>
    <row r="1438" spans="1:17" ht="12" customHeight="1" x14ac:dyDescent="0.2">
      <c r="A1438" s="735" t="s">
        <v>5497</v>
      </c>
      <c r="B1438" s="735" t="s">
        <v>2170</v>
      </c>
      <c r="C1438" s="735" t="s">
        <v>451</v>
      </c>
      <c r="D1438" s="644" t="s">
        <v>2261</v>
      </c>
      <c r="E1438" s="736">
        <v>3500</v>
      </c>
      <c r="F1438" s="638" t="s">
        <v>4486</v>
      </c>
      <c r="G1438" s="636" t="s">
        <v>4487</v>
      </c>
      <c r="H1438" s="636" t="s">
        <v>5565</v>
      </c>
      <c r="I1438" s="636" t="s">
        <v>5502</v>
      </c>
      <c r="J1438" s="644"/>
      <c r="K1438" s="739"/>
      <c r="L1438" s="735">
        <v>9</v>
      </c>
      <c r="M1438" s="735">
        <v>28464.510000000002</v>
      </c>
      <c r="N1438" s="739"/>
      <c r="O1438" s="735"/>
      <c r="P1438" s="736"/>
      <c r="Q1438" s="214"/>
    </row>
    <row r="1439" spans="1:17" ht="12" customHeight="1" x14ac:dyDescent="0.2">
      <c r="A1439" s="735" t="s">
        <v>5497</v>
      </c>
      <c r="B1439" s="735" t="s">
        <v>2170</v>
      </c>
      <c r="C1439" s="735" t="s">
        <v>451</v>
      </c>
      <c r="D1439" s="644" t="s">
        <v>6218</v>
      </c>
      <c r="E1439" s="736">
        <v>10400</v>
      </c>
      <c r="F1439" s="638" t="s">
        <v>6219</v>
      </c>
      <c r="G1439" s="636" t="s">
        <v>6220</v>
      </c>
      <c r="H1439" s="636" t="s">
        <v>2675</v>
      </c>
      <c r="I1439" s="636" t="s">
        <v>5502</v>
      </c>
      <c r="J1439" s="644"/>
      <c r="K1439" s="739"/>
      <c r="L1439" s="735">
        <v>9</v>
      </c>
      <c r="M1439" s="735">
        <v>55113.73</v>
      </c>
      <c r="N1439" s="739"/>
      <c r="O1439" s="735">
        <v>6</v>
      </c>
      <c r="P1439" s="736">
        <v>55044.9</v>
      </c>
      <c r="Q1439" s="214"/>
    </row>
    <row r="1440" spans="1:17" ht="12" customHeight="1" x14ac:dyDescent="0.2">
      <c r="A1440" s="735" t="s">
        <v>5497</v>
      </c>
      <c r="B1440" s="735" t="s">
        <v>2170</v>
      </c>
      <c r="C1440" s="735" t="s">
        <v>451</v>
      </c>
      <c r="D1440" s="644" t="s">
        <v>4124</v>
      </c>
      <c r="E1440" s="736">
        <v>8000</v>
      </c>
      <c r="F1440" s="638" t="s">
        <v>6221</v>
      </c>
      <c r="G1440" s="636" t="s">
        <v>6222</v>
      </c>
      <c r="H1440" s="636" t="s">
        <v>5547</v>
      </c>
      <c r="I1440" s="636" t="s">
        <v>5502</v>
      </c>
      <c r="J1440" s="644"/>
      <c r="K1440" s="739"/>
      <c r="L1440" s="735">
        <v>12</v>
      </c>
      <c r="M1440" s="735">
        <v>97960.799999999988</v>
      </c>
      <c r="N1440" s="739"/>
      <c r="O1440" s="735">
        <v>6</v>
      </c>
      <c r="P1440" s="736">
        <v>49044.9</v>
      </c>
      <c r="Q1440" s="214"/>
    </row>
    <row r="1441" spans="1:17" ht="12" customHeight="1" x14ac:dyDescent="0.2">
      <c r="A1441" s="735" t="s">
        <v>5497</v>
      </c>
      <c r="B1441" s="735" t="s">
        <v>2170</v>
      </c>
      <c r="C1441" s="735" t="s">
        <v>451</v>
      </c>
      <c r="D1441" s="644" t="s">
        <v>5671</v>
      </c>
      <c r="E1441" s="736">
        <v>8500</v>
      </c>
      <c r="F1441" s="638" t="s">
        <v>6223</v>
      </c>
      <c r="G1441" s="636" t="s">
        <v>6224</v>
      </c>
      <c r="H1441" s="636" t="s">
        <v>5501</v>
      </c>
      <c r="I1441" s="636" t="s">
        <v>5502</v>
      </c>
      <c r="J1441" s="644"/>
      <c r="K1441" s="739"/>
      <c r="L1441" s="735">
        <v>12</v>
      </c>
      <c r="M1441" s="735">
        <v>120911.54999999997</v>
      </c>
      <c r="N1441" s="739"/>
      <c r="O1441" s="735">
        <v>6</v>
      </c>
      <c r="P1441" s="736">
        <v>55044.9</v>
      </c>
      <c r="Q1441" s="214"/>
    </row>
    <row r="1442" spans="1:17" ht="12" customHeight="1" x14ac:dyDescent="0.2">
      <c r="A1442" s="735" t="s">
        <v>5497</v>
      </c>
      <c r="B1442" s="735" t="s">
        <v>2170</v>
      </c>
      <c r="C1442" s="735" t="s">
        <v>451</v>
      </c>
      <c r="D1442" s="644" t="s">
        <v>6225</v>
      </c>
      <c r="E1442" s="736">
        <v>12000</v>
      </c>
      <c r="F1442" s="638" t="s">
        <v>6226</v>
      </c>
      <c r="G1442" s="636" t="s">
        <v>6227</v>
      </c>
      <c r="H1442" s="636" t="s">
        <v>6228</v>
      </c>
      <c r="I1442" s="636" t="s">
        <v>5502</v>
      </c>
      <c r="J1442" s="644"/>
      <c r="K1442" s="739"/>
      <c r="L1442" s="735">
        <v>12</v>
      </c>
      <c r="M1442" s="735">
        <v>145960.79999999996</v>
      </c>
      <c r="N1442" s="739"/>
      <c r="O1442" s="735">
        <v>6</v>
      </c>
      <c r="P1442" s="736">
        <v>73044.899999999994</v>
      </c>
      <c r="Q1442" s="214"/>
    </row>
    <row r="1443" spans="1:17" ht="12" customHeight="1" x14ac:dyDescent="0.2">
      <c r="A1443" s="735" t="s">
        <v>5497</v>
      </c>
      <c r="B1443" s="735" t="s">
        <v>2170</v>
      </c>
      <c r="C1443" s="735" t="s">
        <v>451</v>
      </c>
      <c r="D1443" s="644" t="s">
        <v>6229</v>
      </c>
      <c r="E1443" s="736">
        <v>8000</v>
      </c>
      <c r="F1443" s="638" t="s">
        <v>6230</v>
      </c>
      <c r="G1443" s="636" t="s">
        <v>6231</v>
      </c>
      <c r="H1443" s="636" t="s">
        <v>2675</v>
      </c>
      <c r="I1443" s="636" t="s">
        <v>5502</v>
      </c>
      <c r="J1443" s="644"/>
      <c r="K1443" s="739"/>
      <c r="L1443" s="735">
        <v>12</v>
      </c>
      <c r="M1443" s="735">
        <v>123960.79999999999</v>
      </c>
      <c r="N1443" s="739"/>
      <c r="O1443" s="735">
        <v>6</v>
      </c>
      <c r="P1443" s="736">
        <v>55044.9</v>
      </c>
      <c r="Q1443" s="214"/>
    </row>
    <row r="1444" spans="1:17" ht="12" customHeight="1" x14ac:dyDescent="0.2">
      <c r="A1444" s="735" t="s">
        <v>5497</v>
      </c>
      <c r="B1444" s="735" t="s">
        <v>2170</v>
      </c>
      <c r="C1444" s="735" t="s">
        <v>451</v>
      </c>
      <c r="D1444" s="644" t="s">
        <v>5503</v>
      </c>
      <c r="E1444" s="736">
        <v>9000</v>
      </c>
      <c r="F1444" s="638" t="s">
        <v>6232</v>
      </c>
      <c r="G1444" s="636" t="s">
        <v>6233</v>
      </c>
      <c r="H1444" s="636" t="s">
        <v>6234</v>
      </c>
      <c r="I1444" s="636" t="s">
        <v>5502</v>
      </c>
      <c r="J1444" s="644"/>
      <c r="K1444" s="739"/>
      <c r="L1444" s="735">
        <v>12</v>
      </c>
      <c r="M1444" s="735">
        <v>109960.79999999997</v>
      </c>
      <c r="N1444" s="739"/>
      <c r="O1444" s="735">
        <v>6</v>
      </c>
      <c r="P1444" s="736">
        <v>55044.9</v>
      </c>
      <c r="Q1444" s="214"/>
    </row>
    <row r="1445" spans="1:17" ht="12" customHeight="1" x14ac:dyDescent="0.2">
      <c r="A1445" s="735" t="s">
        <v>5497</v>
      </c>
      <c r="B1445" s="735" t="s">
        <v>2170</v>
      </c>
      <c r="C1445" s="735" t="s">
        <v>451</v>
      </c>
      <c r="D1445" s="644" t="s">
        <v>5503</v>
      </c>
      <c r="E1445" s="736">
        <v>9000</v>
      </c>
      <c r="F1445" s="638" t="s">
        <v>6235</v>
      </c>
      <c r="G1445" s="636" t="s">
        <v>6236</v>
      </c>
      <c r="H1445" s="636" t="s">
        <v>5506</v>
      </c>
      <c r="I1445" s="636" t="s">
        <v>5502</v>
      </c>
      <c r="J1445" s="644"/>
      <c r="K1445" s="739"/>
      <c r="L1445" s="735">
        <v>12</v>
      </c>
      <c r="M1445" s="735">
        <v>109960.79999999997</v>
      </c>
      <c r="N1445" s="739"/>
      <c r="O1445" s="735">
        <v>6</v>
      </c>
      <c r="P1445" s="736">
        <v>55044.9</v>
      </c>
      <c r="Q1445" s="214"/>
    </row>
    <row r="1446" spans="1:17" ht="12" customHeight="1" x14ac:dyDescent="0.2">
      <c r="A1446" s="735" t="s">
        <v>5497</v>
      </c>
      <c r="B1446" s="735" t="s">
        <v>2170</v>
      </c>
      <c r="C1446" s="735" t="s">
        <v>451</v>
      </c>
      <c r="D1446" s="644" t="s">
        <v>6237</v>
      </c>
      <c r="E1446" s="736">
        <v>10000</v>
      </c>
      <c r="F1446" s="638" t="s">
        <v>6238</v>
      </c>
      <c r="G1446" s="636" t="s">
        <v>6239</v>
      </c>
      <c r="H1446" s="636" t="s">
        <v>5501</v>
      </c>
      <c r="I1446" s="636" t="s">
        <v>5502</v>
      </c>
      <c r="J1446" s="644"/>
      <c r="K1446" s="739"/>
      <c r="L1446" s="735">
        <v>1</v>
      </c>
      <c r="M1446" s="735">
        <v>9780.07</v>
      </c>
      <c r="N1446" s="739"/>
      <c r="O1446" s="735"/>
      <c r="P1446" s="736"/>
      <c r="Q1446" s="214"/>
    </row>
    <row r="1447" spans="1:17" ht="12" customHeight="1" x14ac:dyDescent="0.2">
      <c r="A1447" s="735" t="s">
        <v>5497</v>
      </c>
      <c r="B1447" s="735" t="s">
        <v>2170</v>
      </c>
      <c r="C1447" s="735" t="s">
        <v>451</v>
      </c>
      <c r="D1447" s="644" t="s">
        <v>5503</v>
      </c>
      <c r="E1447" s="736">
        <v>9000</v>
      </c>
      <c r="F1447" s="638" t="s">
        <v>6240</v>
      </c>
      <c r="G1447" s="636" t="s">
        <v>6241</v>
      </c>
      <c r="H1447" s="636" t="s">
        <v>5501</v>
      </c>
      <c r="I1447" s="636" t="s">
        <v>5502</v>
      </c>
      <c r="J1447" s="644"/>
      <c r="K1447" s="739"/>
      <c r="L1447" s="735">
        <v>12</v>
      </c>
      <c r="M1447" s="735">
        <v>109960.79999999997</v>
      </c>
      <c r="N1447" s="739"/>
      <c r="O1447" s="735">
        <v>6</v>
      </c>
      <c r="P1447" s="736">
        <v>55044.9</v>
      </c>
      <c r="Q1447" s="214"/>
    </row>
    <row r="1448" spans="1:17" ht="12" customHeight="1" x14ac:dyDescent="0.2">
      <c r="A1448" s="735" t="s">
        <v>5497</v>
      </c>
      <c r="B1448" s="735" t="s">
        <v>2170</v>
      </c>
      <c r="C1448" s="735" t="s">
        <v>451</v>
      </c>
      <c r="D1448" s="644" t="s">
        <v>5538</v>
      </c>
      <c r="E1448" s="736">
        <v>9000</v>
      </c>
      <c r="F1448" s="638" t="s">
        <v>6242</v>
      </c>
      <c r="G1448" s="636" t="s">
        <v>6243</v>
      </c>
      <c r="H1448" s="636" t="s">
        <v>6244</v>
      </c>
      <c r="I1448" s="636" t="s">
        <v>5502</v>
      </c>
      <c r="J1448" s="644"/>
      <c r="K1448" s="739"/>
      <c r="L1448" s="735">
        <v>12</v>
      </c>
      <c r="M1448" s="735">
        <v>109960.79999999997</v>
      </c>
      <c r="N1448" s="739"/>
      <c r="O1448" s="735">
        <v>6</v>
      </c>
      <c r="P1448" s="736">
        <v>55044.9</v>
      </c>
      <c r="Q1448" s="214"/>
    </row>
    <row r="1449" spans="1:17" ht="12" customHeight="1" x14ac:dyDescent="0.2">
      <c r="A1449" s="735" t="s">
        <v>5497</v>
      </c>
      <c r="B1449" s="735" t="s">
        <v>2170</v>
      </c>
      <c r="C1449" s="735" t="s">
        <v>451</v>
      </c>
      <c r="D1449" s="644" t="s">
        <v>5624</v>
      </c>
      <c r="E1449" s="736">
        <v>9000</v>
      </c>
      <c r="F1449" s="638" t="s">
        <v>6245</v>
      </c>
      <c r="G1449" s="636" t="s">
        <v>6246</v>
      </c>
      <c r="H1449" s="636" t="s">
        <v>5501</v>
      </c>
      <c r="I1449" s="636" t="s">
        <v>5502</v>
      </c>
      <c r="J1449" s="644"/>
      <c r="K1449" s="739"/>
      <c r="L1449" s="735">
        <v>12</v>
      </c>
      <c r="M1449" s="735">
        <v>109960.79999999997</v>
      </c>
      <c r="N1449" s="739"/>
      <c r="O1449" s="735">
        <v>6</v>
      </c>
      <c r="P1449" s="736">
        <v>55044.9</v>
      </c>
      <c r="Q1449" s="214"/>
    </row>
    <row r="1450" spans="1:17" ht="12" customHeight="1" x14ac:dyDescent="0.2">
      <c r="A1450" s="735" t="s">
        <v>5497</v>
      </c>
      <c r="B1450" s="735" t="s">
        <v>2170</v>
      </c>
      <c r="C1450" s="735" t="s">
        <v>451</v>
      </c>
      <c r="D1450" s="644" t="s">
        <v>5991</v>
      </c>
      <c r="E1450" s="736">
        <v>8500</v>
      </c>
      <c r="F1450" s="638" t="s">
        <v>6247</v>
      </c>
      <c r="G1450" s="636" t="s">
        <v>6248</v>
      </c>
      <c r="H1450" s="636" t="s">
        <v>5501</v>
      </c>
      <c r="I1450" s="636" t="s">
        <v>5502</v>
      </c>
      <c r="J1450" s="644"/>
      <c r="K1450" s="739"/>
      <c r="L1450" s="735">
        <v>2</v>
      </c>
      <c r="M1450" s="735">
        <v>24215.690000000002</v>
      </c>
      <c r="N1450" s="739"/>
      <c r="O1450" s="735"/>
      <c r="P1450" s="736"/>
      <c r="Q1450" s="214"/>
    </row>
    <row r="1451" spans="1:17" ht="12" customHeight="1" x14ac:dyDescent="0.2">
      <c r="A1451" s="735" t="s">
        <v>5497</v>
      </c>
      <c r="B1451" s="735" t="s">
        <v>2170</v>
      </c>
      <c r="C1451" s="735" t="s">
        <v>451</v>
      </c>
      <c r="D1451" s="644" t="s">
        <v>5859</v>
      </c>
      <c r="E1451" s="736">
        <v>9500</v>
      </c>
      <c r="F1451" s="638" t="s">
        <v>6249</v>
      </c>
      <c r="G1451" s="636" t="s">
        <v>6250</v>
      </c>
      <c r="H1451" s="636" t="s">
        <v>5501</v>
      </c>
      <c r="I1451" s="636" t="s">
        <v>5502</v>
      </c>
      <c r="J1451" s="644"/>
      <c r="K1451" s="739"/>
      <c r="L1451" s="735"/>
      <c r="M1451" s="735"/>
      <c r="N1451" s="739"/>
      <c r="O1451" s="735">
        <v>5</v>
      </c>
      <c r="P1451" s="736">
        <v>31571.599999999999</v>
      </c>
      <c r="Q1451" s="214"/>
    </row>
    <row r="1452" spans="1:17" ht="12" customHeight="1" x14ac:dyDescent="0.2">
      <c r="A1452" s="735" t="s">
        <v>5497</v>
      </c>
      <c r="B1452" s="735" t="s">
        <v>2170</v>
      </c>
      <c r="C1452" s="735" t="s">
        <v>451</v>
      </c>
      <c r="D1452" s="644" t="s">
        <v>5551</v>
      </c>
      <c r="E1452" s="736">
        <v>10000</v>
      </c>
      <c r="F1452" s="638" t="s">
        <v>6251</v>
      </c>
      <c r="G1452" s="636" t="s">
        <v>6252</v>
      </c>
      <c r="H1452" s="636" t="s">
        <v>5501</v>
      </c>
      <c r="I1452" s="636" t="s">
        <v>5502</v>
      </c>
      <c r="J1452" s="644"/>
      <c r="K1452" s="739"/>
      <c r="L1452" s="735">
        <v>12</v>
      </c>
      <c r="M1452" s="735">
        <v>122294.12999999998</v>
      </c>
      <c r="N1452" s="739"/>
      <c r="O1452" s="735">
        <v>6</v>
      </c>
      <c r="P1452" s="736">
        <v>61044.9</v>
      </c>
      <c r="Q1452" s="214"/>
    </row>
    <row r="1453" spans="1:17" ht="12" customHeight="1" x14ac:dyDescent="0.2">
      <c r="A1453" s="735" t="s">
        <v>5497</v>
      </c>
      <c r="B1453" s="735" t="s">
        <v>2170</v>
      </c>
      <c r="C1453" s="735" t="s">
        <v>451</v>
      </c>
      <c r="D1453" s="644" t="s">
        <v>5579</v>
      </c>
      <c r="E1453" s="736">
        <v>9000</v>
      </c>
      <c r="F1453" s="638" t="s">
        <v>6253</v>
      </c>
      <c r="G1453" s="636" t="s">
        <v>6254</v>
      </c>
      <c r="H1453" s="636" t="s">
        <v>5501</v>
      </c>
      <c r="I1453" s="636" t="s">
        <v>5502</v>
      </c>
      <c r="J1453" s="644"/>
      <c r="K1453" s="739"/>
      <c r="L1453" s="735">
        <v>12</v>
      </c>
      <c r="M1453" s="735">
        <v>109960.79999999997</v>
      </c>
      <c r="N1453" s="739"/>
      <c r="O1453" s="735">
        <v>6</v>
      </c>
      <c r="P1453" s="736">
        <v>55044.9</v>
      </c>
      <c r="Q1453" s="214"/>
    </row>
    <row r="1454" spans="1:17" ht="12" customHeight="1" x14ac:dyDescent="0.2">
      <c r="A1454" s="735" t="s">
        <v>5497</v>
      </c>
      <c r="B1454" s="735" t="s">
        <v>2170</v>
      </c>
      <c r="C1454" s="735" t="s">
        <v>451</v>
      </c>
      <c r="D1454" s="644" t="s">
        <v>6255</v>
      </c>
      <c r="E1454" s="736">
        <v>9000</v>
      </c>
      <c r="F1454" s="638" t="s">
        <v>6256</v>
      </c>
      <c r="G1454" s="636" t="s">
        <v>6257</v>
      </c>
      <c r="H1454" s="636" t="s">
        <v>5501</v>
      </c>
      <c r="I1454" s="636" t="s">
        <v>5502</v>
      </c>
      <c r="J1454" s="644"/>
      <c r="K1454" s="739"/>
      <c r="L1454" s="735">
        <v>9</v>
      </c>
      <c r="M1454" s="735">
        <v>82695.599999999991</v>
      </c>
      <c r="N1454" s="739"/>
      <c r="O1454" s="735"/>
      <c r="P1454" s="736"/>
      <c r="Q1454" s="214"/>
    </row>
    <row r="1455" spans="1:17" ht="12" customHeight="1" x14ac:dyDescent="0.2">
      <c r="A1455" s="735" t="s">
        <v>5497</v>
      </c>
      <c r="B1455" s="735" t="s">
        <v>2170</v>
      </c>
      <c r="C1455" s="735" t="s">
        <v>451</v>
      </c>
      <c r="D1455" s="644" t="s">
        <v>5503</v>
      </c>
      <c r="E1455" s="736">
        <v>9000</v>
      </c>
      <c r="F1455" s="638" t="s">
        <v>6258</v>
      </c>
      <c r="G1455" s="636" t="s">
        <v>6259</v>
      </c>
      <c r="H1455" s="636" t="s">
        <v>5506</v>
      </c>
      <c r="I1455" s="636" t="s">
        <v>5502</v>
      </c>
      <c r="J1455" s="644"/>
      <c r="K1455" s="739"/>
      <c r="L1455" s="735">
        <v>12</v>
      </c>
      <c r="M1455" s="735">
        <v>109960.79999999997</v>
      </c>
      <c r="N1455" s="739"/>
      <c r="O1455" s="735">
        <v>6</v>
      </c>
      <c r="P1455" s="736">
        <v>55044.9</v>
      </c>
      <c r="Q1455" s="214"/>
    </row>
    <row r="1456" spans="1:17" ht="12" customHeight="1" x14ac:dyDescent="0.2">
      <c r="A1456" s="735" t="s">
        <v>5497</v>
      </c>
      <c r="B1456" s="735" t="s">
        <v>2170</v>
      </c>
      <c r="C1456" s="735" t="s">
        <v>451</v>
      </c>
      <c r="D1456" s="644" t="s">
        <v>6260</v>
      </c>
      <c r="E1456" s="736">
        <v>10000</v>
      </c>
      <c r="F1456" s="638" t="s">
        <v>6261</v>
      </c>
      <c r="G1456" s="636" t="s">
        <v>6262</v>
      </c>
      <c r="H1456" s="636" t="s">
        <v>5578</v>
      </c>
      <c r="I1456" s="636" t="s">
        <v>5502</v>
      </c>
      <c r="J1456" s="644"/>
      <c r="K1456" s="739"/>
      <c r="L1456" s="735">
        <v>4</v>
      </c>
      <c r="M1456" s="735">
        <v>17651.309999999998</v>
      </c>
      <c r="N1456" s="739"/>
      <c r="O1456" s="735"/>
      <c r="P1456" s="736"/>
      <c r="Q1456" s="214"/>
    </row>
    <row r="1457" spans="1:17" ht="12" customHeight="1" x14ac:dyDescent="0.2">
      <c r="A1457" s="735" t="s">
        <v>5497</v>
      </c>
      <c r="B1457" s="735" t="s">
        <v>2170</v>
      </c>
      <c r="C1457" s="735" t="s">
        <v>451</v>
      </c>
      <c r="D1457" s="644" t="s">
        <v>6263</v>
      </c>
      <c r="E1457" s="736">
        <v>10000</v>
      </c>
      <c r="F1457" s="638" t="s">
        <v>6264</v>
      </c>
      <c r="G1457" s="636" t="s">
        <v>6265</v>
      </c>
      <c r="H1457" s="636" t="s">
        <v>5501</v>
      </c>
      <c r="I1457" s="636" t="s">
        <v>5502</v>
      </c>
      <c r="J1457" s="644"/>
      <c r="K1457" s="739"/>
      <c r="L1457" s="735">
        <v>6</v>
      </c>
      <c r="M1457" s="735">
        <v>60980.4</v>
      </c>
      <c r="N1457" s="739"/>
      <c r="O1457" s="735">
        <v>6</v>
      </c>
      <c r="P1457" s="736">
        <v>61044.9</v>
      </c>
      <c r="Q1457" s="214"/>
    </row>
    <row r="1458" spans="1:17" ht="12" customHeight="1" x14ac:dyDescent="0.2">
      <c r="A1458" s="735" t="s">
        <v>5497</v>
      </c>
      <c r="B1458" s="735" t="s">
        <v>2170</v>
      </c>
      <c r="C1458" s="735" t="s">
        <v>451</v>
      </c>
      <c r="D1458" s="644" t="s">
        <v>6266</v>
      </c>
      <c r="E1458" s="736">
        <v>9000</v>
      </c>
      <c r="F1458" s="638" t="s">
        <v>6267</v>
      </c>
      <c r="G1458" s="636" t="s">
        <v>6268</v>
      </c>
      <c r="H1458" s="636" t="s">
        <v>5541</v>
      </c>
      <c r="I1458" s="636" t="s">
        <v>5502</v>
      </c>
      <c r="J1458" s="644"/>
      <c r="K1458" s="739"/>
      <c r="L1458" s="735">
        <v>12</v>
      </c>
      <c r="M1458" s="735">
        <v>109750.79999999997</v>
      </c>
      <c r="N1458" s="739"/>
      <c r="O1458" s="735">
        <v>6</v>
      </c>
      <c r="P1458" s="736">
        <v>55044.9</v>
      </c>
      <c r="Q1458" s="214"/>
    </row>
    <row r="1459" spans="1:17" ht="12" customHeight="1" x14ac:dyDescent="0.2">
      <c r="A1459" s="735" t="s">
        <v>5497</v>
      </c>
      <c r="B1459" s="735" t="s">
        <v>2170</v>
      </c>
      <c r="C1459" s="735" t="s">
        <v>451</v>
      </c>
      <c r="D1459" s="644" t="s">
        <v>6016</v>
      </c>
      <c r="E1459" s="736">
        <v>7500</v>
      </c>
      <c r="F1459" s="638" t="s">
        <v>6269</v>
      </c>
      <c r="G1459" s="636" t="s">
        <v>6270</v>
      </c>
      <c r="H1459" s="636" t="s">
        <v>5578</v>
      </c>
      <c r="I1459" s="636" t="s">
        <v>5502</v>
      </c>
      <c r="J1459" s="644"/>
      <c r="K1459" s="739"/>
      <c r="L1459" s="735">
        <v>10</v>
      </c>
      <c r="M1459" s="735">
        <v>74984</v>
      </c>
      <c r="N1459" s="739"/>
      <c r="O1459" s="735">
        <v>6</v>
      </c>
      <c r="P1459" s="736">
        <v>46044.9</v>
      </c>
      <c r="Q1459" s="214"/>
    </row>
    <row r="1460" spans="1:17" ht="12" customHeight="1" x14ac:dyDescent="0.2">
      <c r="A1460" s="735" t="s">
        <v>5497</v>
      </c>
      <c r="B1460" s="735" t="s">
        <v>2170</v>
      </c>
      <c r="C1460" s="735" t="s">
        <v>451</v>
      </c>
      <c r="D1460" s="644" t="s">
        <v>6271</v>
      </c>
      <c r="E1460" s="736">
        <v>14000</v>
      </c>
      <c r="F1460" s="638" t="s">
        <v>6272</v>
      </c>
      <c r="G1460" s="636" t="s">
        <v>6273</v>
      </c>
      <c r="H1460" s="636" t="s">
        <v>5506</v>
      </c>
      <c r="I1460" s="636" t="s">
        <v>5502</v>
      </c>
      <c r="J1460" s="644"/>
      <c r="K1460" s="739"/>
      <c r="L1460" s="735">
        <v>12</v>
      </c>
      <c r="M1460" s="735">
        <v>193449.25999999998</v>
      </c>
      <c r="N1460" s="739"/>
      <c r="O1460" s="735"/>
      <c r="P1460" s="736"/>
      <c r="Q1460" s="214"/>
    </row>
    <row r="1461" spans="1:17" ht="12" customHeight="1" x14ac:dyDescent="0.2">
      <c r="A1461" s="735" t="s">
        <v>5497</v>
      </c>
      <c r="B1461" s="735" t="s">
        <v>2170</v>
      </c>
      <c r="C1461" s="735" t="s">
        <v>451</v>
      </c>
      <c r="D1461" s="644" t="s">
        <v>6274</v>
      </c>
      <c r="E1461" s="736">
        <v>12000</v>
      </c>
      <c r="F1461" s="638" t="s">
        <v>6275</v>
      </c>
      <c r="G1461" s="636" t="s">
        <v>6276</v>
      </c>
      <c r="H1461" s="636" t="s">
        <v>5670</v>
      </c>
      <c r="I1461" s="636" t="s">
        <v>5502</v>
      </c>
      <c r="J1461" s="644"/>
      <c r="K1461" s="739"/>
      <c r="L1461" s="735">
        <v>12</v>
      </c>
      <c r="M1461" s="735">
        <v>145960.79999999996</v>
      </c>
      <c r="N1461" s="739"/>
      <c r="O1461" s="735">
        <v>6</v>
      </c>
      <c r="P1461" s="736">
        <v>73044.899999999994</v>
      </c>
      <c r="Q1461" s="214"/>
    </row>
    <row r="1462" spans="1:17" ht="12" customHeight="1" x14ac:dyDescent="0.2">
      <c r="A1462" s="735" t="s">
        <v>5497</v>
      </c>
      <c r="B1462" s="735" t="s">
        <v>2170</v>
      </c>
      <c r="C1462" s="735" t="s">
        <v>451</v>
      </c>
      <c r="D1462" s="644" t="s">
        <v>6277</v>
      </c>
      <c r="E1462" s="736">
        <v>9000</v>
      </c>
      <c r="F1462" s="638" t="s">
        <v>6278</v>
      </c>
      <c r="G1462" s="636" t="s">
        <v>6279</v>
      </c>
      <c r="H1462" s="636" t="s">
        <v>2186</v>
      </c>
      <c r="I1462" s="636" t="s">
        <v>5502</v>
      </c>
      <c r="J1462" s="644"/>
      <c r="K1462" s="739"/>
      <c r="L1462" s="735">
        <v>4</v>
      </c>
      <c r="M1462" s="735">
        <v>30053.599999999999</v>
      </c>
      <c r="N1462" s="739"/>
      <c r="O1462" s="735">
        <v>6</v>
      </c>
      <c r="P1462" s="736">
        <v>55044.9</v>
      </c>
      <c r="Q1462" s="214"/>
    </row>
    <row r="1463" spans="1:17" ht="12" customHeight="1" x14ac:dyDescent="0.2">
      <c r="A1463" s="735" t="s">
        <v>5497</v>
      </c>
      <c r="B1463" s="735" t="s">
        <v>2170</v>
      </c>
      <c r="C1463" s="735" t="s">
        <v>451</v>
      </c>
      <c r="D1463" s="644" t="s">
        <v>5671</v>
      </c>
      <c r="E1463" s="736">
        <v>9000</v>
      </c>
      <c r="F1463" s="638" t="s">
        <v>4714</v>
      </c>
      <c r="G1463" s="636" t="s">
        <v>4715</v>
      </c>
      <c r="H1463" s="636" t="s">
        <v>5501</v>
      </c>
      <c r="I1463" s="636" t="s">
        <v>5502</v>
      </c>
      <c r="J1463" s="644"/>
      <c r="K1463" s="739"/>
      <c r="L1463" s="735">
        <v>4</v>
      </c>
      <c r="M1463" s="735">
        <v>48153.599999999999</v>
      </c>
      <c r="N1463" s="739"/>
      <c r="O1463" s="735"/>
      <c r="P1463" s="736"/>
      <c r="Q1463" s="214"/>
    </row>
    <row r="1464" spans="1:17" ht="12" customHeight="1" x14ac:dyDescent="0.2">
      <c r="A1464" s="735" t="s">
        <v>5497</v>
      </c>
      <c r="B1464" s="735" t="s">
        <v>2170</v>
      </c>
      <c r="C1464" s="735" t="s">
        <v>451</v>
      </c>
      <c r="D1464" s="644" t="s">
        <v>5671</v>
      </c>
      <c r="E1464" s="736">
        <v>9000</v>
      </c>
      <c r="F1464" s="638" t="s">
        <v>6280</v>
      </c>
      <c r="G1464" s="636" t="s">
        <v>6281</v>
      </c>
      <c r="H1464" s="636" t="s">
        <v>5501</v>
      </c>
      <c r="I1464" s="636" t="s">
        <v>5502</v>
      </c>
      <c r="J1464" s="644"/>
      <c r="K1464" s="739"/>
      <c r="L1464" s="735">
        <v>12</v>
      </c>
      <c r="M1464" s="735">
        <v>109960.79999999997</v>
      </c>
      <c r="N1464" s="739"/>
      <c r="O1464" s="735">
        <v>6</v>
      </c>
      <c r="P1464" s="736">
        <v>55044.9</v>
      </c>
      <c r="Q1464" s="214"/>
    </row>
    <row r="1465" spans="1:17" ht="12" customHeight="1" x14ac:dyDescent="0.2">
      <c r="A1465" s="735" t="s">
        <v>5497</v>
      </c>
      <c r="B1465" s="735" t="s">
        <v>2170</v>
      </c>
      <c r="C1465" s="735" t="s">
        <v>451</v>
      </c>
      <c r="D1465" s="644" t="s">
        <v>6006</v>
      </c>
      <c r="E1465" s="736">
        <v>10000</v>
      </c>
      <c r="F1465" s="638" t="s">
        <v>6282</v>
      </c>
      <c r="G1465" s="636" t="s">
        <v>6283</v>
      </c>
      <c r="H1465" s="636" t="s">
        <v>5506</v>
      </c>
      <c r="I1465" s="636" t="s">
        <v>5502</v>
      </c>
      <c r="J1465" s="644"/>
      <c r="K1465" s="739"/>
      <c r="L1465" s="735">
        <v>12</v>
      </c>
      <c r="M1465" s="735">
        <v>121960.79999999997</v>
      </c>
      <c r="N1465" s="739"/>
      <c r="O1465" s="735">
        <v>6</v>
      </c>
      <c r="P1465" s="736">
        <v>61044.9</v>
      </c>
      <c r="Q1465" s="214"/>
    </row>
    <row r="1466" spans="1:17" ht="12" customHeight="1" x14ac:dyDescent="0.2">
      <c r="A1466" s="735" t="s">
        <v>5497</v>
      </c>
      <c r="B1466" s="735" t="s">
        <v>2170</v>
      </c>
      <c r="C1466" s="735" t="s">
        <v>451</v>
      </c>
      <c r="D1466" s="644" t="s">
        <v>5859</v>
      </c>
      <c r="E1466" s="736">
        <v>9500</v>
      </c>
      <c r="F1466" s="638" t="s">
        <v>6284</v>
      </c>
      <c r="G1466" s="636" t="s">
        <v>6285</v>
      </c>
      <c r="H1466" s="636" t="s">
        <v>5506</v>
      </c>
      <c r="I1466" s="636" t="s">
        <v>5502</v>
      </c>
      <c r="J1466" s="644"/>
      <c r="K1466" s="739"/>
      <c r="L1466" s="735">
        <v>12</v>
      </c>
      <c r="M1466" s="735">
        <v>121317.73999999998</v>
      </c>
      <c r="N1466" s="739"/>
      <c r="O1466" s="735"/>
      <c r="P1466" s="736"/>
      <c r="Q1466" s="214"/>
    </row>
    <row r="1467" spans="1:17" ht="12" customHeight="1" x14ac:dyDescent="0.2">
      <c r="A1467" s="735" t="s">
        <v>5497</v>
      </c>
      <c r="B1467" s="735" t="s">
        <v>2170</v>
      </c>
      <c r="C1467" s="735" t="s">
        <v>451</v>
      </c>
      <c r="D1467" s="644" t="s">
        <v>2261</v>
      </c>
      <c r="E1467" s="736">
        <v>3500</v>
      </c>
      <c r="F1467" s="638" t="s">
        <v>6286</v>
      </c>
      <c r="G1467" s="636" t="s">
        <v>6287</v>
      </c>
      <c r="H1467" s="636" t="s">
        <v>5708</v>
      </c>
      <c r="I1467" s="636"/>
      <c r="J1467" s="644" t="s">
        <v>5515</v>
      </c>
      <c r="K1467" s="739"/>
      <c r="L1467" s="735">
        <v>1</v>
      </c>
      <c r="M1467" s="735">
        <v>3380.07</v>
      </c>
      <c r="N1467" s="739"/>
      <c r="O1467" s="735">
        <v>6</v>
      </c>
      <c r="P1467" s="736">
        <v>22044.9</v>
      </c>
      <c r="Q1467" s="214"/>
    </row>
    <row r="1468" spans="1:17" ht="12" customHeight="1" x14ac:dyDescent="0.2">
      <c r="A1468" s="735" t="s">
        <v>5497</v>
      </c>
      <c r="B1468" s="735" t="s">
        <v>2170</v>
      </c>
      <c r="C1468" s="735" t="s">
        <v>451</v>
      </c>
      <c r="D1468" s="644" t="s">
        <v>5538</v>
      </c>
      <c r="E1468" s="736">
        <v>9000</v>
      </c>
      <c r="F1468" s="638" t="s">
        <v>6288</v>
      </c>
      <c r="G1468" s="636" t="s">
        <v>6289</v>
      </c>
      <c r="H1468" s="636" t="s">
        <v>6290</v>
      </c>
      <c r="I1468" s="636" t="s">
        <v>5502</v>
      </c>
      <c r="J1468" s="644"/>
      <c r="K1468" s="739"/>
      <c r="L1468" s="735">
        <v>11</v>
      </c>
      <c r="M1468" s="735">
        <v>100847.39999999998</v>
      </c>
      <c r="N1468" s="739"/>
      <c r="O1468" s="735">
        <v>6</v>
      </c>
      <c r="P1468" s="736">
        <v>55044.9</v>
      </c>
      <c r="Q1468" s="214"/>
    </row>
    <row r="1469" spans="1:17" ht="12" customHeight="1" x14ac:dyDescent="0.2">
      <c r="A1469" s="735" t="s">
        <v>5497</v>
      </c>
      <c r="B1469" s="735" t="s">
        <v>2170</v>
      </c>
      <c r="C1469" s="735" t="s">
        <v>451</v>
      </c>
      <c r="D1469" s="644" t="s">
        <v>5624</v>
      </c>
      <c r="E1469" s="736">
        <v>9000</v>
      </c>
      <c r="F1469" s="638" t="s">
        <v>6291</v>
      </c>
      <c r="G1469" s="636" t="s">
        <v>6292</v>
      </c>
      <c r="H1469" s="636" t="s">
        <v>5501</v>
      </c>
      <c r="I1469" s="636" t="s">
        <v>5502</v>
      </c>
      <c r="J1469" s="644"/>
      <c r="K1469" s="739"/>
      <c r="L1469" s="735">
        <v>12</v>
      </c>
      <c r="M1469" s="735">
        <v>109960.79999999997</v>
      </c>
      <c r="N1469" s="739"/>
      <c r="O1469" s="735">
        <v>6</v>
      </c>
      <c r="P1469" s="736">
        <v>55044.9</v>
      </c>
      <c r="Q1469" s="214"/>
    </row>
    <row r="1470" spans="1:17" ht="12" customHeight="1" x14ac:dyDescent="0.2">
      <c r="A1470" s="735" t="s">
        <v>5497</v>
      </c>
      <c r="B1470" s="735" t="s">
        <v>2170</v>
      </c>
      <c r="C1470" s="735" t="s">
        <v>451</v>
      </c>
      <c r="D1470" s="644" t="s">
        <v>5579</v>
      </c>
      <c r="E1470" s="736">
        <v>9000</v>
      </c>
      <c r="F1470" s="638" t="s">
        <v>6293</v>
      </c>
      <c r="G1470" s="636" t="s">
        <v>6294</v>
      </c>
      <c r="H1470" s="636" t="s">
        <v>5501</v>
      </c>
      <c r="I1470" s="636" t="s">
        <v>5502</v>
      </c>
      <c r="J1470" s="644"/>
      <c r="K1470" s="739"/>
      <c r="L1470" s="735">
        <v>12</v>
      </c>
      <c r="M1470" s="735">
        <v>109960.79999999997</v>
      </c>
      <c r="N1470" s="739"/>
      <c r="O1470" s="735">
        <v>6</v>
      </c>
      <c r="P1470" s="736">
        <v>55044.9</v>
      </c>
      <c r="Q1470" s="214"/>
    </row>
    <row r="1471" spans="1:17" ht="12" customHeight="1" x14ac:dyDescent="0.2">
      <c r="A1471" s="735" t="s">
        <v>5497</v>
      </c>
      <c r="B1471" s="735" t="s">
        <v>2170</v>
      </c>
      <c r="C1471" s="735" t="s">
        <v>451</v>
      </c>
      <c r="D1471" s="644" t="s">
        <v>5723</v>
      </c>
      <c r="E1471" s="736">
        <v>11000</v>
      </c>
      <c r="F1471" s="638" t="s">
        <v>6295</v>
      </c>
      <c r="G1471" s="636" t="s">
        <v>6296</v>
      </c>
      <c r="H1471" s="636" t="s">
        <v>5501</v>
      </c>
      <c r="I1471" s="636" t="s">
        <v>5502</v>
      </c>
      <c r="J1471" s="644"/>
      <c r="K1471" s="739"/>
      <c r="L1471" s="735"/>
      <c r="M1471" s="735"/>
      <c r="N1471" s="739"/>
      <c r="O1471" s="735">
        <v>5</v>
      </c>
      <c r="P1471" s="736">
        <v>51104.08</v>
      </c>
      <c r="Q1471" s="214"/>
    </row>
    <row r="1472" spans="1:17" ht="12" customHeight="1" x14ac:dyDescent="0.2">
      <c r="A1472" s="735" t="s">
        <v>5497</v>
      </c>
      <c r="B1472" s="735" t="s">
        <v>2170</v>
      </c>
      <c r="C1472" s="735" t="s">
        <v>451</v>
      </c>
      <c r="D1472" s="644" t="s">
        <v>6297</v>
      </c>
      <c r="E1472" s="736">
        <v>9500</v>
      </c>
      <c r="F1472" s="638" t="s">
        <v>6298</v>
      </c>
      <c r="G1472" s="636" t="s">
        <v>6299</v>
      </c>
      <c r="H1472" s="636" t="s">
        <v>5506</v>
      </c>
      <c r="I1472" s="636" t="s">
        <v>5502</v>
      </c>
      <c r="J1472" s="644"/>
      <c r="K1472" s="739"/>
      <c r="L1472" s="735">
        <v>12</v>
      </c>
      <c r="M1472" s="735">
        <v>115960.79999999997</v>
      </c>
      <c r="N1472" s="739"/>
      <c r="O1472" s="735">
        <v>4</v>
      </c>
      <c r="P1472" s="736">
        <v>32521.599999999999</v>
      </c>
      <c r="Q1472" s="214"/>
    </row>
    <row r="1473" spans="1:17" ht="12" customHeight="1" x14ac:dyDescent="0.2">
      <c r="A1473" s="735" t="s">
        <v>5497</v>
      </c>
      <c r="B1473" s="735" t="s">
        <v>2170</v>
      </c>
      <c r="C1473" s="735" t="s">
        <v>451</v>
      </c>
      <c r="D1473" s="644" t="s">
        <v>6300</v>
      </c>
      <c r="E1473" s="736">
        <v>10000</v>
      </c>
      <c r="F1473" s="638" t="s">
        <v>6301</v>
      </c>
      <c r="G1473" s="636" t="s">
        <v>6302</v>
      </c>
      <c r="H1473" s="636" t="s">
        <v>5547</v>
      </c>
      <c r="I1473" s="636" t="s">
        <v>5502</v>
      </c>
      <c r="J1473" s="644"/>
      <c r="K1473" s="739"/>
      <c r="L1473" s="735">
        <v>12</v>
      </c>
      <c r="M1473" s="735">
        <v>120209.39999999998</v>
      </c>
      <c r="N1473" s="739"/>
      <c r="O1473" s="735">
        <v>6</v>
      </c>
      <c r="P1473" s="736">
        <v>59496.9</v>
      </c>
      <c r="Q1473" s="214"/>
    </row>
    <row r="1474" spans="1:17" ht="12" customHeight="1" x14ac:dyDescent="0.2">
      <c r="A1474" s="735" t="s">
        <v>5497</v>
      </c>
      <c r="B1474" s="735" t="s">
        <v>2170</v>
      </c>
      <c r="C1474" s="735" t="s">
        <v>451</v>
      </c>
      <c r="D1474" s="644" t="s">
        <v>5734</v>
      </c>
      <c r="E1474" s="736">
        <v>9000</v>
      </c>
      <c r="F1474" s="638" t="s">
        <v>6303</v>
      </c>
      <c r="G1474" s="636" t="s">
        <v>6304</v>
      </c>
      <c r="H1474" s="636" t="s">
        <v>6305</v>
      </c>
      <c r="I1474" s="636" t="s">
        <v>5502</v>
      </c>
      <c r="J1474" s="644"/>
      <c r="K1474" s="739"/>
      <c r="L1474" s="735">
        <v>12</v>
      </c>
      <c r="M1474" s="735">
        <v>109960.79999999997</v>
      </c>
      <c r="N1474" s="739"/>
      <c r="O1474" s="735">
        <v>6</v>
      </c>
      <c r="P1474" s="736">
        <v>55044.9</v>
      </c>
      <c r="Q1474" s="214"/>
    </row>
    <row r="1475" spans="1:17" ht="12" customHeight="1" x14ac:dyDescent="0.2">
      <c r="A1475" s="735" t="s">
        <v>5497</v>
      </c>
      <c r="B1475" s="735" t="s">
        <v>2170</v>
      </c>
      <c r="C1475" s="735" t="s">
        <v>451</v>
      </c>
      <c r="D1475" s="644" t="s">
        <v>5859</v>
      </c>
      <c r="E1475" s="736">
        <v>9000</v>
      </c>
      <c r="F1475" s="638" t="s">
        <v>6306</v>
      </c>
      <c r="G1475" s="636" t="s">
        <v>6307</v>
      </c>
      <c r="H1475" s="636" t="s">
        <v>5501</v>
      </c>
      <c r="I1475" s="636" t="s">
        <v>5502</v>
      </c>
      <c r="J1475" s="644"/>
      <c r="K1475" s="739"/>
      <c r="L1475" s="735">
        <v>12</v>
      </c>
      <c r="M1475" s="735">
        <v>105862.67999999998</v>
      </c>
      <c r="N1475" s="739"/>
      <c r="O1475" s="735">
        <v>6</v>
      </c>
      <c r="P1475" s="736">
        <v>55044.9</v>
      </c>
      <c r="Q1475" s="214"/>
    </row>
    <row r="1476" spans="1:17" ht="12" customHeight="1" x14ac:dyDescent="0.2">
      <c r="A1476" s="735" t="s">
        <v>5497</v>
      </c>
      <c r="B1476" s="735" t="s">
        <v>2170</v>
      </c>
      <c r="C1476" s="735" t="s">
        <v>451</v>
      </c>
      <c r="D1476" s="644" t="s">
        <v>6308</v>
      </c>
      <c r="E1476" s="736">
        <v>5000</v>
      </c>
      <c r="F1476" s="638" t="s">
        <v>6309</v>
      </c>
      <c r="G1476" s="636" t="s">
        <v>6310</v>
      </c>
      <c r="H1476" s="636" t="s">
        <v>6311</v>
      </c>
      <c r="I1476" s="636"/>
      <c r="J1476" s="644" t="s">
        <v>5515</v>
      </c>
      <c r="K1476" s="739"/>
      <c r="L1476" s="735">
        <v>12</v>
      </c>
      <c r="M1476" s="735">
        <v>61960.80000000001</v>
      </c>
      <c r="N1476" s="739"/>
      <c r="O1476" s="735">
        <v>6</v>
      </c>
      <c r="P1476" s="736">
        <v>31044.9</v>
      </c>
      <c r="Q1476" s="214"/>
    </row>
    <row r="1477" spans="1:17" ht="12" customHeight="1" x14ac:dyDescent="0.2">
      <c r="A1477" s="735" t="s">
        <v>5497</v>
      </c>
      <c r="B1477" s="735" t="s">
        <v>2170</v>
      </c>
      <c r="C1477" s="735" t="s">
        <v>451</v>
      </c>
      <c r="D1477" s="644" t="s">
        <v>5579</v>
      </c>
      <c r="E1477" s="736">
        <v>9000</v>
      </c>
      <c r="F1477" s="638" t="s">
        <v>6312</v>
      </c>
      <c r="G1477" s="636" t="s">
        <v>6313</v>
      </c>
      <c r="H1477" s="636" t="s">
        <v>5501</v>
      </c>
      <c r="I1477" s="636" t="s">
        <v>5502</v>
      </c>
      <c r="J1477" s="644"/>
      <c r="K1477" s="739"/>
      <c r="L1477" s="735">
        <v>12</v>
      </c>
      <c r="M1477" s="735">
        <v>109960.79999999997</v>
      </c>
      <c r="N1477" s="739"/>
      <c r="O1477" s="735">
        <v>6</v>
      </c>
      <c r="P1477" s="736">
        <v>55044.9</v>
      </c>
      <c r="Q1477" s="214"/>
    </row>
    <row r="1478" spans="1:17" ht="12" customHeight="1" x14ac:dyDescent="0.2">
      <c r="A1478" s="735" t="s">
        <v>5497</v>
      </c>
      <c r="B1478" s="735" t="s">
        <v>2170</v>
      </c>
      <c r="C1478" s="735" t="s">
        <v>451</v>
      </c>
      <c r="D1478" s="644" t="s">
        <v>6006</v>
      </c>
      <c r="E1478" s="736">
        <v>10000</v>
      </c>
      <c r="F1478" s="638" t="s">
        <v>6314</v>
      </c>
      <c r="G1478" s="636" t="s">
        <v>6315</v>
      </c>
      <c r="H1478" s="636" t="s">
        <v>5501</v>
      </c>
      <c r="I1478" s="636" t="s">
        <v>5502</v>
      </c>
      <c r="J1478" s="644"/>
      <c r="K1478" s="739"/>
      <c r="L1478" s="735">
        <v>2</v>
      </c>
      <c r="M1478" s="735">
        <v>38587.910000000003</v>
      </c>
      <c r="N1478" s="739"/>
      <c r="O1478" s="735"/>
      <c r="P1478" s="736"/>
      <c r="Q1478" s="214"/>
    </row>
    <row r="1479" spans="1:17" ht="12" customHeight="1" x14ac:dyDescent="0.2">
      <c r="A1479" s="735" t="s">
        <v>5497</v>
      </c>
      <c r="B1479" s="735" t="s">
        <v>2170</v>
      </c>
      <c r="C1479" s="735" t="s">
        <v>451</v>
      </c>
      <c r="D1479" s="644" t="s">
        <v>6082</v>
      </c>
      <c r="E1479" s="736">
        <v>9500</v>
      </c>
      <c r="F1479" s="638" t="s">
        <v>6316</v>
      </c>
      <c r="G1479" s="636" t="s">
        <v>6317</v>
      </c>
      <c r="H1479" s="636" t="s">
        <v>2186</v>
      </c>
      <c r="I1479" s="636" t="s">
        <v>5502</v>
      </c>
      <c r="J1479" s="644"/>
      <c r="K1479" s="739"/>
      <c r="L1479" s="735">
        <v>12</v>
      </c>
      <c r="M1479" s="735">
        <v>115960.79999999997</v>
      </c>
      <c r="N1479" s="739"/>
      <c r="O1479" s="735">
        <v>6</v>
      </c>
      <c r="P1479" s="736">
        <v>58044.9</v>
      </c>
      <c r="Q1479" s="214"/>
    </row>
    <row r="1480" spans="1:17" ht="12" customHeight="1" x14ac:dyDescent="0.2">
      <c r="A1480" s="735" t="s">
        <v>5497</v>
      </c>
      <c r="B1480" s="735" t="s">
        <v>2170</v>
      </c>
      <c r="C1480" s="735" t="s">
        <v>451</v>
      </c>
      <c r="D1480" s="644" t="s">
        <v>6318</v>
      </c>
      <c r="E1480" s="736">
        <v>10000</v>
      </c>
      <c r="F1480" s="638" t="s">
        <v>6319</v>
      </c>
      <c r="G1480" s="636" t="s">
        <v>6320</v>
      </c>
      <c r="H1480" s="636" t="s">
        <v>5670</v>
      </c>
      <c r="I1480" s="636" t="s">
        <v>5502</v>
      </c>
      <c r="J1480" s="644"/>
      <c r="K1480" s="739"/>
      <c r="L1480" s="735">
        <v>3</v>
      </c>
      <c r="M1480" s="735">
        <v>30540.199999999997</v>
      </c>
      <c r="N1480" s="739"/>
      <c r="O1480" s="735">
        <v>6</v>
      </c>
      <c r="P1480" s="736">
        <v>61044.9</v>
      </c>
      <c r="Q1480" s="214"/>
    </row>
    <row r="1481" spans="1:17" ht="12" customHeight="1" x14ac:dyDescent="0.2">
      <c r="A1481" s="735" t="s">
        <v>5497</v>
      </c>
      <c r="B1481" s="735" t="s">
        <v>2170</v>
      </c>
      <c r="C1481" s="735" t="s">
        <v>451</v>
      </c>
      <c r="D1481" s="644" t="s">
        <v>6321</v>
      </c>
      <c r="E1481" s="736">
        <v>10000</v>
      </c>
      <c r="F1481" s="638" t="s">
        <v>6322</v>
      </c>
      <c r="G1481" s="636" t="s">
        <v>6323</v>
      </c>
      <c r="H1481" s="636" t="s">
        <v>5506</v>
      </c>
      <c r="I1481" s="636" t="s">
        <v>5502</v>
      </c>
      <c r="J1481" s="644"/>
      <c r="K1481" s="739"/>
      <c r="L1481" s="735">
        <v>12</v>
      </c>
      <c r="M1481" s="735">
        <v>121960.79999999997</v>
      </c>
      <c r="N1481" s="739"/>
      <c r="O1481" s="735">
        <v>6</v>
      </c>
      <c r="P1481" s="736">
        <v>61044.9</v>
      </c>
      <c r="Q1481" s="214"/>
    </row>
    <row r="1482" spans="1:17" ht="12" customHeight="1" x14ac:dyDescent="0.2">
      <c r="A1482" s="735" t="s">
        <v>5497</v>
      </c>
      <c r="B1482" s="735" t="s">
        <v>2170</v>
      </c>
      <c r="C1482" s="735" t="s">
        <v>451</v>
      </c>
      <c r="D1482" s="644" t="s">
        <v>6324</v>
      </c>
      <c r="E1482" s="736">
        <v>10000</v>
      </c>
      <c r="F1482" s="638" t="s">
        <v>6325</v>
      </c>
      <c r="G1482" s="636" t="s">
        <v>6326</v>
      </c>
      <c r="H1482" s="636" t="s">
        <v>2675</v>
      </c>
      <c r="I1482" s="636" t="s">
        <v>5502</v>
      </c>
      <c r="J1482" s="644"/>
      <c r="K1482" s="739"/>
      <c r="L1482" s="735">
        <v>2</v>
      </c>
      <c r="M1482" s="735">
        <v>14560.13</v>
      </c>
      <c r="N1482" s="739"/>
      <c r="O1482" s="735">
        <v>6</v>
      </c>
      <c r="P1482" s="736">
        <v>61044.9</v>
      </c>
      <c r="Q1482" s="214"/>
    </row>
    <row r="1483" spans="1:17" ht="12" customHeight="1" x14ac:dyDescent="0.2">
      <c r="A1483" s="735" t="s">
        <v>5497</v>
      </c>
      <c r="B1483" s="735" t="s">
        <v>2170</v>
      </c>
      <c r="C1483" s="735" t="s">
        <v>451</v>
      </c>
      <c r="D1483" s="644" t="s">
        <v>6327</v>
      </c>
      <c r="E1483" s="736">
        <v>8000</v>
      </c>
      <c r="F1483" s="638" t="s">
        <v>6328</v>
      </c>
      <c r="G1483" s="636" t="s">
        <v>6329</v>
      </c>
      <c r="H1483" s="636" t="s">
        <v>6290</v>
      </c>
      <c r="I1483" s="636" t="s">
        <v>5502</v>
      </c>
      <c r="J1483" s="644"/>
      <c r="K1483" s="739"/>
      <c r="L1483" s="735">
        <v>4</v>
      </c>
      <c r="M1483" s="735">
        <v>26540.199999999997</v>
      </c>
      <c r="N1483" s="739"/>
      <c r="O1483" s="735"/>
      <c r="P1483" s="736"/>
      <c r="Q1483" s="214"/>
    </row>
    <row r="1484" spans="1:17" ht="12" customHeight="1" x14ac:dyDescent="0.2">
      <c r="A1484" s="735" t="s">
        <v>5497</v>
      </c>
      <c r="B1484" s="735" t="s">
        <v>2170</v>
      </c>
      <c r="C1484" s="735" t="s">
        <v>451</v>
      </c>
      <c r="D1484" s="644" t="s">
        <v>2190</v>
      </c>
      <c r="E1484" s="736">
        <v>1800</v>
      </c>
      <c r="F1484" s="638" t="s">
        <v>6330</v>
      </c>
      <c r="G1484" s="636" t="s">
        <v>6331</v>
      </c>
      <c r="H1484" s="636" t="s">
        <v>6332</v>
      </c>
      <c r="I1484" s="636" t="s">
        <v>5502</v>
      </c>
      <c r="J1484" s="644"/>
      <c r="K1484" s="739"/>
      <c r="L1484" s="735">
        <v>7</v>
      </c>
      <c r="M1484" s="735">
        <v>12892.199999999999</v>
      </c>
      <c r="N1484" s="739"/>
      <c r="O1484" s="735">
        <v>6</v>
      </c>
      <c r="P1484" s="736">
        <v>11772</v>
      </c>
      <c r="Q1484" s="214"/>
    </row>
    <row r="1485" spans="1:17" ht="12" customHeight="1" x14ac:dyDescent="0.2">
      <c r="A1485" s="735" t="s">
        <v>5497</v>
      </c>
      <c r="B1485" s="735" t="s">
        <v>2170</v>
      </c>
      <c r="C1485" s="735" t="s">
        <v>451</v>
      </c>
      <c r="D1485" s="644" t="s">
        <v>5624</v>
      </c>
      <c r="E1485" s="736">
        <v>9000</v>
      </c>
      <c r="F1485" s="638" t="s">
        <v>6333</v>
      </c>
      <c r="G1485" s="636" t="s">
        <v>6334</v>
      </c>
      <c r="H1485" s="636" t="s">
        <v>5501</v>
      </c>
      <c r="I1485" s="636" t="s">
        <v>5502</v>
      </c>
      <c r="J1485" s="644"/>
      <c r="K1485" s="739"/>
      <c r="L1485" s="735">
        <v>8</v>
      </c>
      <c r="M1485" s="735">
        <v>74382.2</v>
      </c>
      <c r="N1485" s="739"/>
      <c r="O1485" s="735"/>
      <c r="P1485" s="736"/>
      <c r="Q1485" s="214"/>
    </row>
    <row r="1486" spans="1:17" ht="12" customHeight="1" x14ac:dyDescent="0.2">
      <c r="A1486" s="735" t="s">
        <v>5497</v>
      </c>
      <c r="B1486" s="735" t="s">
        <v>2170</v>
      </c>
      <c r="C1486" s="735" t="s">
        <v>451</v>
      </c>
      <c r="D1486" s="644" t="s">
        <v>6335</v>
      </c>
      <c r="E1486" s="736">
        <v>9000</v>
      </c>
      <c r="F1486" s="638" t="s">
        <v>6336</v>
      </c>
      <c r="G1486" s="636" t="s">
        <v>6337</v>
      </c>
      <c r="H1486" s="636" t="s">
        <v>5506</v>
      </c>
      <c r="I1486" s="636" t="s">
        <v>5502</v>
      </c>
      <c r="J1486" s="644"/>
      <c r="K1486" s="739"/>
      <c r="L1486" s="735">
        <v>12</v>
      </c>
      <c r="M1486" s="735">
        <v>127679.54999999997</v>
      </c>
      <c r="N1486" s="739"/>
      <c r="O1486" s="735">
        <v>6</v>
      </c>
      <c r="P1486" s="736">
        <v>61044.9</v>
      </c>
      <c r="Q1486" s="214"/>
    </row>
    <row r="1487" spans="1:17" ht="12" customHeight="1" x14ac:dyDescent="0.2">
      <c r="A1487" s="735" t="s">
        <v>5497</v>
      </c>
      <c r="B1487" s="735" t="s">
        <v>2170</v>
      </c>
      <c r="C1487" s="735" t="s">
        <v>451</v>
      </c>
      <c r="D1487" s="644" t="s">
        <v>2394</v>
      </c>
      <c r="E1487" s="736">
        <v>10000</v>
      </c>
      <c r="F1487" s="638" t="s">
        <v>6338</v>
      </c>
      <c r="G1487" s="636" t="s">
        <v>6339</v>
      </c>
      <c r="H1487" s="636" t="s">
        <v>5506</v>
      </c>
      <c r="I1487" s="636" t="s">
        <v>5502</v>
      </c>
      <c r="J1487" s="644"/>
      <c r="K1487" s="739"/>
      <c r="L1487" s="735"/>
      <c r="M1487" s="735"/>
      <c r="N1487" s="739"/>
      <c r="O1487" s="735">
        <v>4</v>
      </c>
      <c r="P1487" s="736">
        <v>38029.93</v>
      </c>
      <c r="Q1487" s="214"/>
    </row>
    <row r="1488" spans="1:17" ht="12" customHeight="1" x14ac:dyDescent="0.2">
      <c r="A1488" s="735" t="s">
        <v>5497</v>
      </c>
      <c r="B1488" s="735" t="s">
        <v>2170</v>
      </c>
      <c r="C1488" s="735" t="s">
        <v>451</v>
      </c>
      <c r="D1488" s="644" t="s">
        <v>6340</v>
      </c>
      <c r="E1488" s="736">
        <v>9000</v>
      </c>
      <c r="F1488" s="638" t="s">
        <v>6341</v>
      </c>
      <c r="G1488" s="636" t="s">
        <v>6342</v>
      </c>
      <c r="H1488" s="636" t="s">
        <v>6343</v>
      </c>
      <c r="I1488" s="636" t="s">
        <v>5502</v>
      </c>
      <c r="J1488" s="644"/>
      <c r="K1488" s="739"/>
      <c r="L1488" s="735">
        <v>12</v>
      </c>
      <c r="M1488" s="735">
        <v>109960.79999999997</v>
      </c>
      <c r="N1488" s="739"/>
      <c r="O1488" s="735">
        <v>6</v>
      </c>
      <c r="P1488" s="736">
        <v>55044.9</v>
      </c>
      <c r="Q1488" s="214"/>
    </row>
    <row r="1489" spans="1:17" ht="12" customHeight="1" x14ac:dyDescent="0.2">
      <c r="A1489" s="735" t="s">
        <v>5497</v>
      </c>
      <c r="B1489" s="735" t="s">
        <v>2170</v>
      </c>
      <c r="C1489" s="735" t="s">
        <v>451</v>
      </c>
      <c r="D1489" s="644" t="s">
        <v>5967</v>
      </c>
      <c r="E1489" s="736">
        <v>8000</v>
      </c>
      <c r="F1489" s="638" t="s">
        <v>6344</v>
      </c>
      <c r="G1489" s="636" t="s">
        <v>6345</v>
      </c>
      <c r="H1489" s="636" t="s">
        <v>5501</v>
      </c>
      <c r="I1489" s="636" t="s">
        <v>5502</v>
      </c>
      <c r="J1489" s="644"/>
      <c r="K1489" s="739"/>
      <c r="L1489" s="735">
        <v>12</v>
      </c>
      <c r="M1489" s="735">
        <v>109560.79999999999</v>
      </c>
      <c r="N1489" s="739"/>
      <c r="O1489" s="735">
        <v>6</v>
      </c>
      <c r="P1489" s="736">
        <v>52044.9</v>
      </c>
      <c r="Q1489" s="214"/>
    </row>
    <row r="1490" spans="1:17" ht="12" customHeight="1" x14ac:dyDescent="0.2">
      <c r="A1490" s="735" t="s">
        <v>5497</v>
      </c>
      <c r="B1490" s="735" t="s">
        <v>2170</v>
      </c>
      <c r="C1490" s="735" t="s">
        <v>451</v>
      </c>
      <c r="D1490" s="644" t="s">
        <v>5503</v>
      </c>
      <c r="E1490" s="736">
        <v>9000</v>
      </c>
      <c r="F1490" s="638" t="s">
        <v>6346</v>
      </c>
      <c r="G1490" s="636" t="s">
        <v>6347</v>
      </c>
      <c r="H1490" s="636" t="s">
        <v>5506</v>
      </c>
      <c r="I1490" s="636" t="s">
        <v>5502</v>
      </c>
      <c r="J1490" s="644"/>
      <c r="K1490" s="739"/>
      <c r="L1490" s="735">
        <v>12</v>
      </c>
      <c r="M1490" s="735">
        <v>109960.79999999997</v>
      </c>
      <c r="N1490" s="739"/>
      <c r="O1490" s="735">
        <v>6</v>
      </c>
      <c r="P1490" s="736">
        <v>55044.9</v>
      </c>
      <c r="Q1490" s="214"/>
    </row>
    <row r="1491" spans="1:17" ht="12" customHeight="1" x14ac:dyDescent="0.2">
      <c r="A1491" s="735" t="s">
        <v>5497</v>
      </c>
      <c r="B1491" s="735" t="s">
        <v>2170</v>
      </c>
      <c r="C1491" s="735" t="s">
        <v>451</v>
      </c>
      <c r="D1491" s="644" t="s">
        <v>2261</v>
      </c>
      <c r="E1491" s="736">
        <v>4000</v>
      </c>
      <c r="F1491" s="638" t="s">
        <v>6348</v>
      </c>
      <c r="G1491" s="636" t="s">
        <v>6349</v>
      </c>
      <c r="H1491" s="636" t="s">
        <v>6350</v>
      </c>
      <c r="I1491" s="636"/>
      <c r="J1491" s="644" t="s">
        <v>5515</v>
      </c>
      <c r="K1491" s="739"/>
      <c r="L1491" s="735">
        <v>11</v>
      </c>
      <c r="M1491" s="735">
        <v>45447.400000000009</v>
      </c>
      <c r="N1491" s="739"/>
      <c r="O1491" s="735">
        <v>6</v>
      </c>
      <c r="P1491" s="736">
        <v>25044.9</v>
      </c>
      <c r="Q1491" s="214"/>
    </row>
    <row r="1492" spans="1:17" ht="12" customHeight="1" x14ac:dyDescent="0.2">
      <c r="A1492" s="735" t="s">
        <v>5497</v>
      </c>
      <c r="B1492" s="735" t="s">
        <v>2170</v>
      </c>
      <c r="C1492" s="735" t="s">
        <v>451</v>
      </c>
      <c r="D1492" s="644" t="s">
        <v>6006</v>
      </c>
      <c r="E1492" s="736">
        <v>10000</v>
      </c>
      <c r="F1492" s="638" t="s">
        <v>6351</v>
      </c>
      <c r="G1492" s="636" t="s">
        <v>6352</v>
      </c>
      <c r="H1492" s="636" t="s">
        <v>5599</v>
      </c>
      <c r="I1492" s="636" t="s">
        <v>5502</v>
      </c>
      <c r="J1492" s="644"/>
      <c r="K1492" s="739"/>
      <c r="L1492" s="735">
        <v>12</v>
      </c>
      <c r="M1492" s="735">
        <v>122055.93999999997</v>
      </c>
      <c r="N1492" s="739"/>
      <c r="O1492" s="735">
        <v>6</v>
      </c>
      <c r="P1492" s="736">
        <v>61044.9</v>
      </c>
      <c r="Q1492" s="214"/>
    </row>
    <row r="1493" spans="1:17" ht="12" customHeight="1" x14ac:dyDescent="0.2">
      <c r="A1493" s="735" t="s">
        <v>5497</v>
      </c>
      <c r="B1493" s="735" t="s">
        <v>2170</v>
      </c>
      <c r="C1493" s="735" t="s">
        <v>451</v>
      </c>
      <c r="D1493" s="644" t="s">
        <v>6016</v>
      </c>
      <c r="E1493" s="736">
        <v>7500</v>
      </c>
      <c r="F1493" s="638" t="s">
        <v>6353</v>
      </c>
      <c r="G1493" s="636" t="s">
        <v>6354</v>
      </c>
      <c r="H1493" s="636" t="s">
        <v>5578</v>
      </c>
      <c r="I1493" s="636" t="s">
        <v>5502</v>
      </c>
      <c r="J1493" s="644"/>
      <c r="K1493" s="739"/>
      <c r="L1493" s="735">
        <v>12</v>
      </c>
      <c r="M1493" s="735">
        <v>91960.799999999988</v>
      </c>
      <c r="N1493" s="739"/>
      <c r="O1493" s="735">
        <v>6</v>
      </c>
      <c r="P1493" s="736">
        <v>46044.9</v>
      </c>
      <c r="Q1493" s="214"/>
    </row>
    <row r="1494" spans="1:17" ht="12" customHeight="1" x14ac:dyDescent="0.2">
      <c r="A1494" s="735" t="s">
        <v>5497</v>
      </c>
      <c r="B1494" s="735" t="s">
        <v>2170</v>
      </c>
      <c r="C1494" s="735" t="s">
        <v>451</v>
      </c>
      <c r="D1494" s="644" t="s">
        <v>6355</v>
      </c>
      <c r="E1494" s="736">
        <v>9000</v>
      </c>
      <c r="F1494" s="638" t="s">
        <v>6356</v>
      </c>
      <c r="G1494" s="636" t="s">
        <v>6357</v>
      </c>
      <c r="H1494" s="636" t="s">
        <v>5501</v>
      </c>
      <c r="I1494" s="636" t="s">
        <v>5502</v>
      </c>
      <c r="J1494" s="644"/>
      <c r="K1494" s="739"/>
      <c r="L1494" s="735">
        <v>1</v>
      </c>
      <c r="M1494" s="735">
        <v>2513.4</v>
      </c>
      <c r="N1494" s="739"/>
      <c r="O1494" s="735">
        <v>6</v>
      </c>
      <c r="P1494" s="736">
        <v>55044.9</v>
      </c>
      <c r="Q1494" s="214"/>
    </row>
    <row r="1495" spans="1:17" ht="12" customHeight="1" x14ac:dyDescent="0.2">
      <c r="A1495" s="735" t="s">
        <v>5497</v>
      </c>
      <c r="B1495" s="735" t="s">
        <v>2170</v>
      </c>
      <c r="C1495" s="735" t="s">
        <v>451</v>
      </c>
      <c r="D1495" s="644" t="s">
        <v>6358</v>
      </c>
      <c r="E1495" s="736">
        <v>9000</v>
      </c>
      <c r="F1495" s="638" t="s">
        <v>6359</v>
      </c>
      <c r="G1495" s="636" t="s">
        <v>6360</v>
      </c>
      <c r="H1495" s="636" t="s">
        <v>5501</v>
      </c>
      <c r="I1495" s="636" t="s">
        <v>5502</v>
      </c>
      <c r="J1495" s="644"/>
      <c r="K1495" s="739"/>
      <c r="L1495" s="735">
        <v>1</v>
      </c>
      <c r="M1495" s="735">
        <v>8813.4</v>
      </c>
      <c r="N1495" s="739"/>
      <c r="O1495" s="735">
        <v>6</v>
      </c>
      <c r="P1495" s="736">
        <v>55044.9</v>
      </c>
      <c r="Q1495" s="214"/>
    </row>
    <row r="1496" spans="1:17" ht="12" customHeight="1" x14ac:dyDescent="0.2">
      <c r="A1496" s="735" t="s">
        <v>5497</v>
      </c>
      <c r="B1496" s="735" t="s">
        <v>2170</v>
      </c>
      <c r="C1496" s="735" t="s">
        <v>451</v>
      </c>
      <c r="D1496" s="644" t="s">
        <v>2261</v>
      </c>
      <c r="E1496" s="736">
        <v>5500</v>
      </c>
      <c r="F1496" s="638" t="s">
        <v>6361</v>
      </c>
      <c r="G1496" s="636" t="s">
        <v>6362</v>
      </c>
      <c r="H1496" s="636" t="s">
        <v>2570</v>
      </c>
      <c r="I1496" s="636"/>
      <c r="J1496" s="644" t="s">
        <v>5515</v>
      </c>
      <c r="K1496" s="739"/>
      <c r="L1496" s="735">
        <v>12</v>
      </c>
      <c r="M1496" s="735">
        <v>67960.800000000003</v>
      </c>
      <c r="N1496" s="739"/>
      <c r="O1496" s="735">
        <v>6</v>
      </c>
      <c r="P1496" s="736">
        <v>34044.9</v>
      </c>
      <c r="Q1496" s="214"/>
    </row>
    <row r="1497" spans="1:17" ht="12" customHeight="1" x14ac:dyDescent="0.2">
      <c r="A1497" s="735" t="s">
        <v>5497</v>
      </c>
      <c r="B1497" s="735" t="s">
        <v>2170</v>
      </c>
      <c r="C1497" s="735" t="s">
        <v>451</v>
      </c>
      <c r="D1497" s="644" t="s">
        <v>6363</v>
      </c>
      <c r="E1497" s="736">
        <v>9000</v>
      </c>
      <c r="F1497" s="638" t="s">
        <v>6364</v>
      </c>
      <c r="G1497" s="636" t="s">
        <v>6365</v>
      </c>
      <c r="H1497" s="636" t="s">
        <v>5506</v>
      </c>
      <c r="I1497" s="636" t="s">
        <v>5502</v>
      </c>
      <c r="J1497" s="644"/>
      <c r="K1497" s="739"/>
      <c r="L1497" s="735">
        <v>12</v>
      </c>
      <c r="M1497" s="735">
        <v>109960.79999999997</v>
      </c>
      <c r="N1497" s="739"/>
      <c r="O1497" s="735">
        <v>6</v>
      </c>
      <c r="P1497" s="736">
        <v>55044.9</v>
      </c>
      <c r="Q1497" s="214"/>
    </row>
    <row r="1498" spans="1:17" ht="12" customHeight="1" x14ac:dyDescent="0.2">
      <c r="A1498" s="735" t="s">
        <v>5497</v>
      </c>
      <c r="B1498" s="735" t="s">
        <v>2170</v>
      </c>
      <c r="C1498" s="735" t="s">
        <v>451</v>
      </c>
      <c r="D1498" s="644" t="s">
        <v>6366</v>
      </c>
      <c r="E1498" s="736">
        <v>8500</v>
      </c>
      <c r="F1498" s="638" t="s">
        <v>6367</v>
      </c>
      <c r="G1498" s="636" t="s">
        <v>6368</v>
      </c>
      <c r="H1498" s="636" t="s">
        <v>6343</v>
      </c>
      <c r="I1498" s="636" t="s">
        <v>5502</v>
      </c>
      <c r="J1498" s="644"/>
      <c r="K1498" s="739"/>
      <c r="L1498" s="735"/>
      <c r="M1498" s="735"/>
      <c r="N1498" s="739"/>
      <c r="O1498" s="735">
        <v>1</v>
      </c>
      <c r="P1498" s="736">
        <v>7540.82</v>
      </c>
      <c r="Q1498" s="214"/>
    </row>
    <row r="1499" spans="1:17" ht="12" customHeight="1" x14ac:dyDescent="0.2">
      <c r="A1499" s="735" t="s">
        <v>5497</v>
      </c>
      <c r="B1499" s="735" t="s">
        <v>2170</v>
      </c>
      <c r="C1499" s="735" t="s">
        <v>451</v>
      </c>
      <c r="D1499" s="644" t="s">
        <v>5560</v>
      </c>
      <c r="E1499" s="736">
        <v>9000</v>
      </c>
      <c r="F1499" s="638" t="s">
        <v>6369</v>
      </c>
      <c r="G1499" s="636" t="s">
        <v>6370</v>
      </c>
      <c r="H1499" s="636" t="s">
        <v>5506</v>
      </c>
      <c r="I1499" s="636" t="s">
        <v>5502</v>
      </c>
      <c r="J1499" s="644"/>
      <c r="K1499" s="739"/>
      <c r="L1499" s="735">
        <v>12</v>
      </c>
      <c r="M1499" s="735">
        <v>109960.79999999997</v>
      </c>
      <c r="N1499" s="739"/>
      <c r="O1499" s="735">
        <v>6</v>
      </c>
      <c r="P1499" s="736">
        <v>55044.9</v>
      </c>
      <c r="Q1499" s="214"/>
    </row>
    <row r="1500" spans="1:17" ht="12" customHeight="1" x14ac:dyDescent="0.2">
      <c r="A1500" s="735" t="s">
        <v>5497</v>
      </c>
      <c r="B1500" s="735" t="s">
        <v>2170</v>
      </c>
      <c r="C1500" s="735" t="s">
        <v>451</v>
      </c>
      <c r="D1500" s="644" t="s">
        <v>6371</v>
      </c>
      <c r="E1500" s="736">
        <v>9000</v>
      </c>
      <c r="F1500" s="638" t="s">
        <v>6372</v>
      </c>
      <c r="G1500" s="636" t="s">
        <v>6373</v>
      </c>
      <c r="H1500" s="636" t="s">
        <v>5506</v>
      </c>
      <c r="I1500" s="636" t="s">
        <v>5502</v>
      </c>
      <c r="J1500" s="644"/>
      <c r="K1500" s="739"/>
      <c r="L1500" s="735">
        <v>2</v>
      </c>
      <c r="M1500" s="735">
        <v>12226.8</v>
      </c>
      <c r="N1500" s="739"/>
      <c r="O1500" s="735">
        <v>6</v>
      </c>
      <c r="P1500" s="736">
        <v>55044.9</v>
      </c>
      <c r="Q1500" s="214"/>
    </row>
    <row r="1501" spans="1:17" ht="12" customHeight="1" x14ac:dyDescent="0.2">
      <c r="A1501" s="735" t="s">
        <v>5497</v>
      </c>
      <c r="B1501" s="735" t="s">
        <v>2170</v>
      </c>
      <c r="C1501" s="735" t="s">
        <v>451</v>
      </c>
      <c r="D1501" s="644" t="s">
        <v>6374</v>
      </c>
      <c r="E1501" s="736">
        <v>8000</v>
      </c>
      <c r="F1501" s="638" t="s">
        <v>6375</v>
      </c>
      <c r="G1501" s="636" t="s">
        <v>6376</v>
      </c>
      <c r="H1501" s="636" t="s">
        <v>5565</v>
      </c>
      <c r="I1501" s="636" t="s">
        <v>5502</v>
      </c>
      <c r="J1501" s="644"/>
      <c r="K1501" s="739"/>
      <c r="L1501" s="735">
        <v>7</v>
      </c>
      <c r="M1501" s="735">
        <v>49269.29</v>
      </c>
      <c r="N1501" s="739"/>
      <c r="O1501" s="735">
        <v>6</v>
      </c>
      <c r="P1501" s="736">
        <v>49044.9</v>
      </c>
      <c r="Q1501" s="214"/>
    </row>
    <row r="1502" spans="1:17" ht="12" customHeight="1" x14ac:dyDescent="0.2">
      <c r="A1502" s="735" t="s">
        <v>5497</v>
      </c>
      <c r="B1502" s="735" t="s">
        <v>2170</v>
      </c>
      <c r="C1502" s="735" t="s">
        <v>451</v>
      </c>
      <c r="D1502" s="644" t="s">
        <v>6377</v>
      </c>
      <c r="E1502" s="736">
        <v>9000</v>
      </c>
      <c r="F1502" s="638" t="s">
        <v>6378</v>
      </c>
      <c r="G1502" s="636" t="s">
        <v>6379</v>
      </c>
      <c r="H1502" s="636" t="s">
        <v>5506</v>
      </c>
      <c r="I1502" s="636" t="s">
        <v>5502</v>
      </c>
      <c r="J1502" s="644"/>
      <c r="K1502" s="739"/>
      <c r="L1502" s="735">
        <v>12</v>
      </c>
      <c r="M1502" s="735">
        <v>110227.46999999997</v>
      </c>
      <c r="N1502" s="739"/>
      <c r="O1502" s="735">
        <v>6</v>
      </c>
      <c r="P1502" s="736">
        <v>55044.9</v>
      </c>
      <c r="Q1502" s="214"/>
    </row>
    <row r="1503" spans="1:17" ht="12" customHeight="1" x14ac:dyDescent="0.2">
      <c r="A1503" s="735" t="s">
        <v>5497</v>
      </c>
      <c r="B1503" s="735" t="s">
        <v>2170</v>
      </c>
      <c r="C1503" s="735" t="s">
        <v>451</v>
      </c>
      <c r="D1503" s="644" t="s">
        <v>6380</v>
      </c>
      <c r="E1503" s="736">
        <v>8000</v>
      </c>
      <c r="F1503" s="638" t="s">
        <v>6381</v>
      </c>
      <c r="G1503" s="636" t="s">
        <v>6382</v>
      </c>
      <c r="H1503" s="636" t="s">
        <v>6383</v>
      </c>
      <c r="I1503" s="636" t="s">
        <v>5502</v>
      </c>
      <c r="J1503" s="644"/>
      <c r="K1503" s="739"/>
      <c r="L1503" s="735">
        <v>12</v>
      </c>
      <c r="M1503" s="735">
        <v>97960.799999999988</v>
      </c>
      <c r="N1503" s="739"/>
      <c r="O1503" s="735">
        <v>6</v>
      </c>
      <c r="P1503" s="736">
        <v>49044.9</v>
      </c>
      <c r="Q1503" s="214"/>
    </row>
    <row r="1504" spans="1:17" ht="12" customHeight="1" x14ac:dyDescent="0.2">
      <c r="A1504" s="735" t="s">
        <v>5497</v>
      </c>
      <c r="B1504" s="735" t="s">
        <v>2170</v>
      </c>
      <c r="C1504" s="735" t="s">
        <v>451</v>
      </c>
      <c r="D1504" s="644" t="s">
        <v>5671</v>
      </c>
      <c r="E1504" s="736">
        <v>10000</v>
      </c>
      <c r="F1504" s="638" t="s">
        <v>6384</v>
      </c>
      <c r="G1504" s="636" t="s">
        <v>6385</v>
      </c>
      <c r="H1504" s="636" t="s">
        <v>5501</v>
      </c>
      <c r="I1504" s="636" t="s">
        <v>5502</v>
      </c>
      <c r="J1504" s="644"/>
      <c r="K1504" s="739"/>
      <c r="L1504" s="735">
        <v>12</v>
      </c>
      <c r="M1504" s="735">
        <v>122026.46999999997</v>
      </c>
      <c r="N1504" s="739"/>
      <c r="O1504" s="735">
        <v>6</v>
      </c>
      <c r="P1504" s="736">
        <v>61044.9</v>
      </c>
      <c r="Q1504" s="214"/>
    </row>
    <row r="1505" spans="1:17" ht="12" customHeight="1" x14ac:dyDescent="0.2">
      <c r="A1505" s="735" t="s">
        <v>5497</v>
      </c>
      <c r="B1505" s="735" t="s">
        <v>2170</v>
      </c>
      <c r="C1505" s="735" t="s">
        <v>451</v>
      </c>
      <c r="D1505" s="644" t="s">
        <v>5648</v>
      </c>
      <c r="E1505" s="736">
        <v>6000</v>
      </c>
      <c r="F1505" s="638" t="s">
        <v>6386</v>
      </c>
      <c r="G1505" s="636" t="s">
        <v>6387</v>
      </c>
      <c r="H1505" s="636" t="s">
        <v>5501</v>
      </c>
      <c r="I1505" s="636" t="s">
        <v>5502</v>
      </c>
      <c r="J1505" s="644"/>
      <c r="K1505" s="739"/>
      <c r="L1505" s="735">
        <v>5</v>
      </c>
      <c r="M1505" s="735">
        <v>29792</v>
      </c>
      <c r="N1505" s="739"/>
      <c r="O1505" s="735"/>
      <c r="P1505" s="736"/>
      <c r="Q1505" s="214"/>
    </row>
    <row r="1506" spans="1:17" ht="12" customHeight="1" x14ac:dyDescent="0.2">
      <c r="A1506" s="735" t="s">
        <v>5497</v>
      </c>
      <c r="B1506" s="735" t="s">
        <v>2170</v>
      </c>
      <c r="C1506" s="735" t="s">
        <v>451</v>
      </c>
      <c r="D1506" s="644" t="s">
        <v>6388</v>
      </c>
      <c r="E1506" s="736">
        <v>14000</v>
      </c>
      <c r="F1506" s="638" t="s">
        <v>5383</v>
      </c>
      <c r="G1506" s="636" t="s">
        <v>5384</v>
      </c>
      <c r="H1506" s="636" t="s">
        <v>5501</v>
      </c>
      <c r="I1506" s="636" t="s">
        <v>5502</v>
      </c>
      <c r="J1506" s="644"/>
      <c r="K1506" s="739"/>
      <c r="L1506" s="735">
        <v>2</v>
      </c>
      <c r="M1506" s="735">
        <v>28382.350000000002</v>
      </c>
      <c r="N1506" s="739"/>
      <c r="O1506" s="735"/>
      <c r="P1506" s="736"/>
      <c r="Q1506" s="214"/>
    </row>
    <row r="1507" spans="1:17" ht="12" customHeight="1" x14ac:dyDescent="0.2">
      <c r="A1507" s="735" t="s">
        <v>5497</v>
      </c>
      <c r="B1507" s="735" t="s">
        <v>2170</v>
      </c>
      <c r="C1507" s="735" t="s">
        <v>451</v>
      </c>
      <c r="D1507" s="644" t="s">
        <v>6389</v>
      </c>
      <c r="E1507" s="736">
        <v>8500</v>
      </c>
      <c r="F1507" s="638" t="s">
        <v>6390</v>
      </c>
      <c r="G1507" s="636" t="s">
        <v>6391</v>
      </c>
      <c r="H1507" s="636" t="s">
        <v>5506</v>
      </c>
      <c r="I1507" s="636" t="s">
        <v>5502</v>
      </c>
      <c r="J1507" s="644"/>
      <c r="K1507" s="739"/>
      <c r="L1507" s="735">
        <v>7</v>
      </c>
      <c r="M1507" s="735">
        <v>60027.130000000005</v>
      </c>
      <c r="N1507" s="739"/>
      <c r="O1507" s="735">
        <v>6</v>
      </c>
      <c r="P1507" s="736">
        <v>52044.9</v>
      </c>
      <c r="Q1507" s="214"/>
    </row>
    <row r="1508" spans="1:17" ht="12" customHeight="1" x14ac:dyDescent="0.2">
      <c r="A1508" s="735" t="s">
        <v>5497</v>
      </c>
      <c r="B1508" s="735" t="s">
        <v>2170</v>
      </c>
      <c r="C1508" s="735" t="s">
        <v>451</v>
      </c>
      <c r="D1508" s="644" t="s">
        <v>6392</v>
      </c>
      <c r="E1508" s="736">
        <v>7000</v>
      </c>
      <c r="F1508" s="638" t="s">
        <v>6393</v>
      </c>
      <c r="G1508" s="636" t="s">
        <v>6394</v>
      </c>
      <c r="H1508" s="636" t="s">
        <v>6395</v>
      </c>
      <c r="I1508" s="636" t="s">
        <v>5502</v>
      </c>
      <c r="J1508" s="644"/>
      <c r="K1508" s="739"/>
      <c r="L1508" s="735">
        <v>10</v>
      </c>
      <c r="M1508" s="735">
        <v>69400.67</v>
      </c>
      <c r="N1508" s="739"/>
      <c r="O1508" s="735">
        <v>6</v>
      </c>
      <c r="P1508" s="736">
        <v>43044.9</v>
      </c>
      <c r="Q1508" s="214"/>
    </row>
    <row r="1509" spans="1:17" ht="12" customHeight="1" x14ac:dyDescent="0.2">
      <c r="A1509" s="735" t="s">
        <v>5497</v>
      </c>
      <c r="B1509" s="735" t="s">
        <v>2170</v>
      </c>
      <c r="C1509" s="735" t="s">
        <v>451</v>
      </c>
      <c r="D1509" s="644" t="s">
        <v>6121</v>
      </c>
      <c r="E1509" s="736">
        <v>8500</v>
      </c>
      <c r="F1509" s="638" t="s">
        <v>6396</v>
      </c>
      <c r="G1509" s="636" t="s">
        <v>6397</v>
      </c>
      <c r="H1509" s="636" t="s">
        <v>6398</v>
      </c>
      <c r="I1509" s="636" t="s">
        <v>5502</v>
      </c>
      <c r="J1509" s="644"/>
      <c r="K1509" s="739"/>
      <c r="L1509" s="735">
        <v>12</v>
      </c>
      <c r="M1509" s="735">
        <v>103960.79999999997</v>
      </c>
      <c r="N1509" s="739"/>
      <c r="O1509" s="735">
        <v>6</v>
      </c>
      <c r="P1509" s="736">
        <v>52044.9</v>
      </c>
      <c r="Q1509" s="214"/>
    </row>
    <row r="1510" spans="1:17" ht="12" customHeight="1" x14ac:dyDescent="0.2">
      <c r="A1510" s="735" t="s">
        <v>5497</v>
      </c>
      <c r="B1510" s="735" t="s">
        <v>2170</v>
      </c>
      <c r="C1510" s="735" t="s">
        <v>451</v>
      </c>
      <c r="D1510" s="644" t="s">
        <v>6399</v>
      </c>
      <c r="E1510" s="736">
        <v>14000</v>
      </c>
      <c r="F1510" s="638" t="s">
        <v>6400</v>
      </c>
      <c r="G1510" s="636" t="s">
        <v>6401</v>
      </c>
      <c r="H1510" s="636" t="s">
        <v>2186</v>
      </c>
      <c r="I1510" s="636" t="s">
        <v>5502</v>
      </c>
      <c r="J1510" s="644"/>
      <c r="K1510" s="739"/>
      <c r="L1510" s="735">
        <v>12</v>
      </c>
      <c r="M1510" s="735">
        <v>169960.79999999996</v>
      </c>
      <c r="N1510" s="739"/>
      <c r="O1510" s="735">
        <v>6</v>
      </c>
      <c r="P1510" s="736">
        <v>85044.9</v>
      </c>
      <c r="Q1510" s="214"/>
    </row>
    <row r="1511" spans="1:17" ht="12" customHeight="1" x14ac:dyDescent="0.2">
      <c r="A1511" s="735" t="s">
        <v>5497</v>
      </c>
      <c r="B1511" s="735" t="s">
        <v>2170</v>
      </c>
      <c r="C1511" s="735" t="s">
        <v>451</v>
      </c>
      <c r="D1511" s="644" t="s">
        <v>6402</v>
      </c>
      <c r="E1511" s="736">
        <v>8000</v>
      </c>
      <c r="F1511" s="638" t="s">
        <v>6403</v>
      </c>
      <c r="G1511" s="636" t="s">
        <v>6404</v>
      </c>
      <c r="H1511" s="636" t="s">
        <v>5578</v>
      </c>
      <c r="I1511" s="636" t="s">
        <v>5502</v>
      </c>
      <c r="J1511" s="644"/>
      <c r="K1511" s="739"/>
      <c r="L1511" s="735">
        <v>12</v>
      </c>
      <c r="M1511" s="735">
        <v>97960.799999999988</v>
      </c>
      <c r="N1511" s="739"/>
      <c r="O1511" s="735">
        <v>6</v>
      </c>
      <c r="P1511" s="736">
        <v>49044.9</v>
      </c>
      <c r="Q1511" s="214"/>
    </row>
    <row r="1512" spans="1:17" ht="12" customHeight="1" x14ac:dyDescent="0.2">
      <c r="A1512" s="735" t="s">
        <v>5497</v>
      </c>
      <c r="B1512" s="735" t="s">
        <v>2170</v>
      </c>
      <c r="C1512" s="735" t="s">
        <v>451</v>
      </c>
      <c r="D1512" s="644" t="s">
        <v>5503</v>
      </c>
      <c r="E1512" s="736">
        <v>9000</v>
      </c>
      <c r="F1512" s="638" t="s">
        <v>6405</v>
      </c>
      <c r="G1512" s="636" t="s">
        <v>6406</v>
      </c>
      <c r="H1512" s="636" t="s">
        <v>5506</v>
      </c>
      <c r="I1512" s="636" t="s">
        <v>5502</v>
      </c>
      <c r="J1512" s="644"/>
      <c r="K1512" s="739"/>
      <c r="L1512" s="735">
        <v>12</v>
      </c>
      <c r="M1512" s="735">
        <v>109960.79999999997</v>
      </c>
      <c r="N1512" s="739"/>
      <c r="O1512" s="735">
        <v>6</v>
      </c>
      <c r="P1512" s="736">
        <v>55044.9</v>
      </c>
      <c r="Q1512" s="214"/>
    </row>
    <row r="1513" spans="1:17" ht="12" customHeight="1" x14ac:dyDescent="0.2">
      <c r="A1513" s="735" t="s">
        <v>5497</v>
      </c>
      <c r="B1513" s="735" t="s">
        <v>2170</v>
      </c>
      <c r="C1513" s="735" t="s">
        <v>451</v>
      </c>
      <c r="D1513" s="644" t="s">
        <v>5579</v>
      </c>
      <c r="E1513" s="736">
        <v>9000</v>
      </c>
      <c r="F1513" s="638" t="s">
        <v>6407</v>
      </c>
      <c r="G1513" s="636" t="s">
        <v>6408</v>
      </c>
      <c r="H1513" s="636" t="s">
        <v>5501</v>
      </c>
      <c r="I1513" s="636" t="s">
        <v>5502</v>
      </c>
      <c r="J1513" s="644"/>
      <c r="K1513" s="739"/>
      <c r="L1513" s="735">
        <v>12</v>
      </c>
      <c r="M1513" s="735">
        <v>109960.79999999997</v>
      </c>
      <c r="N1513" s="739"/>
      <c r="O1513" s="735">
        <v>6</v>
      </c>
      <c r="P1513" s="736">
        <v>55044.9</v>
      </c>
      <c r="Q1513" s="214"/>
    </row>
    <row r="1514" spans="1:17" ht="12" customHeight="1" x14ac:dyDescent="0.2">
      <c r="A1514" s="735" t="s">
        <v>5497</v>
      </c>
      <c r="B1514" s="735" t="s">
        <v>2170</v>
      </c>
      <c r="C1514" s="735" t="s">
        <v>451</v>
      </c>
      <c r="D1514" s="644" t="s">
        <v>6409</v>
      </c>
      <c r="E1514" s="736">
        <v>8000</v>
      </c>
      <c r="F1514" s="638" t="s">
        <v>6410</v>
      </c>
      <c r="G1514" s="636" t="s">
        <v>6411</v>
      </c>
      <c r="H1514" s="636" t="s">
        <v>5506</v>
      </c>
      <c r="I1514" s="636" t="s">
        <v>5502</v>
      </c>
      <c r="J1514" s="644"/>
      <c r="K1514" s="739"/>
      <c r="L1514" s="735">
        <v>12</v>
      </c>
      <c r="M1514" s="735">
        <v>97960.799999999988</v>
      </c>
      <c r="N1514" s="739"/>
      <c r="O1514" s="735">
        <v>6</v>
      </c>
      <c r="P1514" s="736">
        <v>49044.9</v>
      </c>
      <c r="Q1514" s="214"/>
    </row>
    <row r="1515" spans="1:17" ht="12" customHeight="1" x14ac:dyDescent="0.2">
      <c r="A1515" s="735" t="s">
        <v>5497</v>
      </c>
      <c r="B1515" s="735" t="s">
        <v>2170</v>
      </c>
      <c r="C1515" s="735" t="s">
        <v>451</v>
      </c>
      <c r="D1515" s="644" t="s">
        <v>2469</v>
      </c>
      <c r="E1515" s="736">
        <v>3000</v>
      </c>
      <c r="F1515" s="638" t="s">
        <v>6412</v>
      </c>
      <c r="G1515" s="636" t="s">
        <v>6413</v>
      </c>
      <c r="H1515" s="636" t="s">
        <v>5694</v>
      </c>
      <c r="I1515" s="636"/>
      <c r="J1515" s="644"/>
      <c r="K1515" s="739"/>
      <c r="L1515" s="735"/>
      <c r="M1515" s="735"/>
      <c r="N1515" s="739"/>
      <c r="O1515" s="735">
        <v>4</v>
      </c>
      <c r="P1515" s="736">
        <v>12496.6</v>
      </c>
      <c r="Q1515" s="214"/>
    </row>
    <row r="1516" spans="1:17" ht="12" customHeight="1" x14ac:dyDescent="0.2">
      <c r="A1516" s="735" t="s">
        <v>5497</v>
      </c>
      <c r="B1516" s="735" t="s">
        <v>2170</v>
      </c>
      <c r="C1516" s="735" t="s">
        <v>451</v>
      </c>
      <c r="D1516" s="644" t="s">
        <v>6414</v>
      </c>
      <c r="E1516" s="736">
        <v>10000</v>
      </c>
      <c r="F1516" s="638" t="s">
        <v>6415</v>
      </c>
      <c r="G1516" s="636" t="s">
        <v>6416</v>
      </c>
      <c r="H1516" s="636" t="s">
        <v>5501</v>
      </c>
      <c r="I1516" s="636" t="s">
        <v>5502</v>
      </c>
      <c r="J1516" s="644"/>
      <c r="K1516" s="739"/>
      <c r="L1516" s="735">
        <v>4</v>
      </c>
      <c r="M1516" s="735">
        <v>30051.309999999998</v>
      </c>
      <c r="N1516" s="739"/>
      <c r="O1516" s="735"/>
      <c r="P1516" s="736"/>
      <c r="Q1516" s="214"/>
    </row>
    <row r="1517" spans="1:17" ht="12" customHeight="1" x14ac:dyDescent="0.2">
      <c r="A1517" s="735" t="s">
        <v>5497</v>
      </c>
      <c r="B1517" s="735" t="s">
        <v>2170</v>
      </c>
      <c r="C1517" s="735" t="s">
        <v>451</v>
      </c>
      <c r="D1517" s="644" t="s">
        <v>6417</v>
      </c>
      <c r="E1517" s="736">
        <v>9000</v>
      </c>
      <c r="F1517" s="638" t="s">
        <v>6418</v>
      </c>
      <c r="G1517" s="636" t="s">
        <v>6419</v>
      </c>
      <c r="H1517" s="636" t="s">
        <v>5578</v>
      </c>
      <c r="I1517" s="636" t="s">
        <v>5502</v>
      </c>
      <c r="J1517" s="644"/>
      <c r="K1517" s="739"/>
      <c r="L1517" s="735">
        <v>12</v>
      </c>
      <c r="M1517" s="735">
        <v>109960.79999999997</v>
      </c>
      <c r="N1517" s="739"/>
      <c r="O1517" s="735">
        <v>6</v>
      </c>
      <c r="P1517" s="736">
        <v>55044.9</v>
      </c>
      <c r="Q1517" s="214"/>
    </row>
    <row r="1518" spans="1:17" ht="12" customHeight="1" x14ac:dyDescent="0.2">
      <c r="A1518" s="735" t="s">
        <v>5497</v>
      </c>
      <c r="B1518" s="735" t="s">
        <v>2170</v>
      </c>
      <c r="C1518" s="735" t="s">
        <v>451</v>
      </c>
      <c r="D1518" s="644" t="s">
        <v>5671</v>
      </c>
      <c r="E1518" s="736">
        <v>12500</v>
      </c>
      <c r="F1518" s="638" t="s">
        <v>6420</v>
      </c>
      <c r="G1518" s="636" t="s">
        <v>6421</v>
      </c>
      <c r="H1518" s="636" t="s">
        <v>5506</v>
      </c>
      <c r="I1518" s="636" t="s">
        <v>5502</v>
      </c>
      <c r="J1518" s="644"/>
      <c r="K1518" s="739"/>
      <c r="L1518" s="735">
        <v>12</v>
      </c>
      <c r="M1518" s="735">
        <v>151960.79999999996</v>
      </c>
      <c r="N1518" s="739"/>
      <c r="O1518" s="735">
        <v>6</v>
      </c>
      <c r="P1518" s="736">
        <v>76044.899999999994</v>
      </c>
      <c r="Q1518" s="214"/>
    </row>
    <row r="1519" spans="1:17" ht="12" customHeight="1" x14ac:dyDescent="0.2">
      <c r="A1519" s="735" t="s">
        <v>5497</v>
      </c>
      <c r="B1519" s="735" t="s">
        <v>2170</v>
      </c>
      <c r="C1519" s="735" t="s">
        <v>451</v>
      </c>
      <c r="D1519" s="644" t="s">
        <v>5503</v>
      </c>
      <c r="E1519" s="736">
        <v>9000</v>
      </c>
      <c r="F1519" s="638" t="s">
        <v>6422</v>
      </c>
      <c r="G1519" s="636" t="s">
        <v>6423</v>
      </c>
      <c r="H1519" s="636" t="s">
        <v>5501</v>
      </c>
      <c r="I1519" s="636" t="s">
        <v>5502</v>
      </c>
      <c r="J1519" s="644"/>
      <c r="K1519" s="739"/>
      <c r="L1519" s="735">
        <v>12</v>
      </c>
      <c r="M1519" s="735">
        <v>109960.79999999997</v>
      </c>
      <c r="N1519" s="739"/>
      <c r="O1519" s="735">
        <v>6</v>
      </c>
      <c r="P1519" s="736">
        <v>55044.9</v>
      </c>
      <c r="Q1519" s="214"/>
    </row>
    <row r="1520" spans="1:17" ht="12" customHeight="1" x14ac:dyDescent="0.2">
      <c r="A1520" s="735" t="s">
        <v>5497</v>
      </c>
      <c r="B1520" s="735" t="s">
        <v>2170</v>
      </c>
      <c r="C1520" s="735" t="s">
        <v>451</v>
      </c>
      <c r="D1520" s="644" t="s">
        <v>6424</v>
      </c>
      <c r="E1520" s="736">
        <v>8500</v>
      </c>
      <c r="F1520" s="638" t="s">
        <v>6425</v>
      </c>
      <c r="G1520" s="636" t="s">
        <v>6426</v>
      </c>
      <c r="H1520" s="636" t="s">
        <v>2675</v>
      </c>
      <c r="I1520" s="636" t="s">
        <v>5502</v>
      </c>
      <c r="J1520" s="644"/>
      <c r="K1520" s="739"/>
      <c r="L1520" s="735">
        <v>12</v>
      </c>
      <c r="M1520" s="735">
        <v>113530.23999999998</v>
      </c>
      <c r="N1520" s="739"/>
      <c r="O1520" s="735">
        <v>6</v>
      </c>
      <c r="P1520" s="736">
        <v>55044.9</v>
      </c>
      <c r="Q1520" s="214"/>
    </row>
    <row r="1521" spans="1:17" ht="12" customHeight="1" x14ac:dyDescent="0.2">
      <c r="A1521" s="735" t="s">
        <v>5497</v>
      </c>
      <c r="B1521" s="735" t="s">
        <v>2170</v>
      </c>
      <c r="C1521" s="735" t="s">
        <v>451</v>
      </c>
      <c r="D1521" s="644" t="s">
        <v>5674</v>
      </c>
      <c r="E1521" s="736">
        <v>14000</v>
      </c>
      <c r="F1521" s="638" t="s">
        <v>6427</v>
      </c>
      <c r="G1521" s="636" t="s">
        <v>6428</v>
      </c>
      <c r="H1521" s="636" t="s">
        <v>5506</v>
      </c>
      <c r="I1521" s="636" t="s">
        <v>5502</v>
      </c>
      <c r="J1521" s="644"/>
      <c r="K1521" s="739"/>
      <c r="L1521" s="735">
        <v>12</v>
      </c>
      <c r="M1521" s="735">
        <v>169960.79999999996</v>
      </c>
      <c r="N1521" s="739"/>
      <c r="O1521" s="735">
        <v>6</v>
      </c>
      <c r="P1521" s="736">
        <v>85044.9</v>
      </c>
      <c r="Q1521" s="214"/>
    </row>
    <row r="1522" spans="1:17" ht="12" customHeight="1" x14ac:dyDescent="0.2">
      <c r="A1522" s="735" t="s">
        <v>5497</v>
      </c>
      <c r="B1522" s="735" t="s">
        <v>2170</v>
      </c>
      <c r="C1522" s="735" t="s">
        <v>451</v>
      </c>
      <c r="D1522" s="644" t="s">
        <v>6429</v>
      </c>
      <c r="E1522" s="736">
        <v>9500</v>
      </c>
      <c r="F1522" s="638" t="s">
        <v>6430</v>
      </c>
      <c r="G1522" s="636" t="s">
        <v>6431</v>
      </c>
      <c r="H1522" s="636" t="s">
        <v>5506</v>
      </c>
      <c r="I1522" s="636" t="s">
        <v>5502</v>
      </c>
      <c r="J1522" s="644"/>
      <c r="K1522" s="739"/>
      <c r="L1522" s="735">
        <v>10</v>
      </c>
      <c r="M1522" s="735">
        <v>95150.669999999984</v>
      </c>
      <c r="N1522" s="739"/>
      <c r="O1522" s="735">
        <v>6</v>
      </c>
      <c r="P1522" s="736">
        <v>53052.6</v>
      </c>
      <c r="Q1522" s="214"/>
    </row>
    <row r="1523" spans="1:17" ht="12" customHeight="1" x14ac:dyDescent="0.2">
      <c r="A1523" s="735" t="s">
        <v>5497</v>
      </c>
      <c r="B1523" s="735" t="s">
        <v>2170</v>
      </c>
      <c r="C1523" s="735" t="s">
        <v>451</v>
      </c>
      <c r="D1523" s="644" t="s">
        <v>2404</v>
      </c>
      <c r="E1523" s="736">
        <v>9000</v>
      </c>
      <c r="F1523" s="638" t="s">
        <v>6432</v>
      </c>
      <c r="G1523" s="636" t="s">
        <v>6433</v>
      </c>
      <c r="H1523" s="636" t="s">
        <v>5565</v>
      </c>
      <c r="I1523" s="636" t="s">
        <v>5502</v>
      </c>
      <c r="J1523" s="644"/>
      <c r="K1523" s="739"/>
      <c r="L1523" s="735">
        <v>12</v>
      </c>
      <c r="M1523" s="735">
        <v>109960.79999999997</v>
      </c>
      <c r="N1523" s="739"/>
      <c r="O1523" s="735">
        <v>6</v>
      </c>
      <c r="P1523" s="736">
        <v>55044.9</v>
      </c>
      <c r="Q1523" s="214"/>
    </row>
    <row r="1524" spans="1:17" ht="12" customHeight="1" x14ac:dyDescent="0.2">
      <c r="A1524" s="735" t="s">
        <v>5497</v>
      </c>
      <c r="B1524" s="735" t="s">
        <v>2170</v>
      </c>
      <c r="C1524" s="735" t="s">
        <v>451</v>
      </c>
      <c r="D1524" s="644" t="s">
        <v>6434</v>
      </c>
      <c r="E1524" s="736">
        <v>9500</v>
      </c>
      <c r="F1524" s="638" t="s">
        <v>6435</v>
      </c>
      <c r="G1524" s="636" t="s">
        <v>6436</v>
      </c>
      <c r="H1524" s="636" t="s">
        <v>5506</v>
      </c>
      <c r="I1524" s="636" t="s">
        <v>5502</v>
      </c>
      <c r="J1524" s="644"/>
      <c r="K1524" s="739"/>
      <c r="L1524" s="735">
        <v>10</v>
      </c>
      <c r="M1524" s="735">
        <v>94833.999999999985</v>
      </c>
      <c r="N1524" s="739"/>
      <c r="O1524" s="735">
        <v>6</v>
      </c>
      <c r="P1524" s="736">
        <v>58044.9</v>
      </c>
      <c r="Q1524" s="214"/>
    </row>
    <row r="1525" spans="1:17" ht="12" customHeight="1" x14ac:dyDescent="0.2">
      <c r="A1525" s="735" t="s">
        <v>5497</v>
      </c>
      <c r="B1525" s="735" t="s">
        <v>2170</v>
      </c>
      <c r="C1525" s="735" t="s">
        <v>451</v>
      </c>
      <c r="D1525" s="644" t="s">
        <v>5624</v>
      </c>
      <c r="E1525" s="736">
        <v>9000</v>
      </c>
      <c r="F1525" s="638" t="s">
        <v>6437</v>
      </c>
      <c r="G1525" s="636" t="s">
        <v>6438</v>
      </c>
      <c r="H1525" s="636" t="s">
        <v>5501</v>
      </c>
      <c r="I1525" s="636" t="s">
        <v>5502</v>
      </c>
      <c r="J1525" s="644"/>
      <c r="K1525" s="739"/>
      <c r="L1525" s="735">
        <v>12</v>
      </c>
      <c r="M1525" s="735">
        <v>109960.79999999997</v>
      </c>
      <c r="N1525" s="739"/>
      <c r="O1525" s="735">
        <v>6</v>
      </c>
      <c r="P1525" s="736">
        <v>55044.9</v>
      </c>
      <c r="Q1525" s="214"/>
    </row>
    <row r="1526" spans="1:17" ht="12" customHeight="1" x14ac:dyDescent="0.2">
      <c r="A1526" s="735" t="s">
        <v>5497</v>
      </c>
      <c r="B1526" s="735" t="s">
        <v>2170</v>
      </c>
      <c r="C1526" s="735" t="s">
        <v>451</v>
      </c>
      <c r="D1526" s="644" t="s">
        <v>6439</v>
      </c>
      <c r="E1526" s="736">
        <v>9000</v>
      </c>
      <c r="F1526" s="638" t="s">
        <v>6440</v>
      </c>
      <c r="G1526" s="636" t="s">
        <v>6441</v>
      </c>
      <c r="H1526" s="636" t="s">
        <v>6442</v>
      </c>
      <c r="I1526" s="636" t="s">
        <v>5502</v>
      </c>
      <c r="J1526" s="644"/>
      <c r="K1526" s="739"/>
      <c r="L1526" s="735">
        <v>8</v>
      </c>
      <c r="M1526" s="735">
        <v>73007.199999999997</v>
      </c>
      <c r="N1526" s="739"/>
      <c r="O1526" s="735">
        <v>6</v>
      </c>
      <c r="P1526" s="736">
        <v>55044.9</v>
      </c>
      <c r="Q1526" s="214"/>
    </row>
    <row r="1527" spans="1:17" ht="12" customHeight="1" x14ac:dyDescent="0.2">
      <c r="A1527" s="735" t="s">
        <v>5497</v>
      </c>
      <c r="B1527" s="735" t="s">
        <v>2170</v>
      </c>
      <c r="C1527" s="735" t="s">
        <v>451</v>
      </c>
      <c r="D1527" s="644" t="s">
        <v>5671</v>
      </c>
      <c r="E1527" s="736">
        <v>10000</v>
      </c>
      <c r="F1527" s="638" t="s">
        <v>6443</v>
      </c>
      <c r="G1527" s="636" t="s">
        <v>6444</v>
      </c>
      <c r="H1527" s="636" t="s">
        <v>5501</v>
      </c>
      <c r="I1527" s="636" t="s">
        <v>5502</v>
      </c>
      <c r="J1527" s="644"/>
      <c r="K1527" s="739"/>
      <c r="L1527" s="735">
        <v>12</v>
      </c>
      <c r="M1527" s="735">
        <v>121960.79999999997</v>
      </c>
      <c r="N1527" s="739"/>
      <c r="O1527" s="735">
        <v>6</v>
      </c>
      <c r="P1527" s="736">
        <v>61044.9</v>
      </c>
      <c r="Q1527" s="214"/>
    </row>
    <row r="1528" spans="1:17" ht="12" customHeight="1" x14ac:dyDescent="0.2">
      <c r="A1528" s="735" t="s">
        <v>5497</v>
      </c>
      <c r="B1528" s="735" t="s">
        <v>2170</v>
      </c>
      <c r="C1528" s="735" t="s">
        <v>451</v>
      </c>
      <c r="D1528" s="644" t="s">
        <v>5503</v>
      </c>
      <c r="E1528" s="736">
        <v>9000</v>
      </c>
      <c r="F1528" s="638" t="s">
        <v>6445</v>
      </c>
      <c r="G1528" s="636" t="s">
        <v>6446</v>
      </c>
      <c r="H1528" s="636" t="s">
        <v>5501</v>
      </c>
      <c r="I1528" s="636" t="s">
        <v>5502</v>
      </c>
      <c r="J1528" s="644"/>
      <c r="K1528" s="739"/>
      <c r="L1528" s="735">
        <v>12</v>
      </c>
      <c r="M1528" s="735">
        <v>109960.79999999997</v>
      </c>
      <c r="N1528" s="739"/>
      <c r="O1528" s="735">
        <v>6</v>
      </c>
      <c r="P1528" s="736">
        <v>55044.9</v>
      </c>
      <c r="Q1528" s="214"/>
    </row>
    <row r="1529" spans="1:17" ht="12" customHeight="1" x14ac:dyDescent="0.2">
      <c r="A1529" s="735" t="s">
        <v>5497</v>
      </c>
      <c r="B1529" s="735" t="s">
        <v>2170</v>
      </c>
      <c r="C1529" s="735" t="s">
        <v>451</v>
      </c>
      <c r="D1529" s="644" t="s">
        <v>6447</v>
      </c>
      <c r="E1529" s="736">
        <v>6000</v>
      </c>
      <c r="F1529" s="638" t="s">
        <v>6448</v>
      </c>
      <c r="G1529" s="636" t="s">
        <v>6449</v>
      </c>
      <c r="H1529" s="636" t="s">
        <v>5578</v>
      </c>
      <c r="I1529" s="636" t="s">
        <v>5502</v>
      </c>
      <c r="J1529" s="644"/>
      <c r="K1529" s="739"/>
      <c r="L1529" s="735">
        <v>12</v>
      </c>
      <c r="M1529" s="735">
        <v>73960.800000000003</v>
      </c>
      <c r="N1529" s="739"/>
      <c r="O1529" s="735">
        <v>6</v>
      </c>
      <c r="P1529" s="736">
        <v>37044.9</v>
      </c>
      <c r="Q1529" s="214"/>
    </row>
    <row r="1530" spans="1:17" ht="12" customHeight="1" x14ac:dyDescent="0.2">
      <c r="A1530" s="735" t="s">
        <v>5497</v>
      </c>
      <c r="B1530" s="735" t="s">
        <v>2170</v>
      </c>
      <c r="C1530" s="735" t="s">
        <v>451</v>
      </c>
      <c r="D1530" s="644" t="s">
        <v>5624</v>
      </c>
      <c r="E1530" s="736">
        <v>9000</v>
      </c>
      <c r="F1530" s="638" t="s">
        <v>6450</v>
      </c>
      <c r="G1530" s="636" t="s">
        <v>6451</v>
      </c>
      <c r="H1530" s="636" t="s">
        <v>5501</v>
      </c>
      <c r="I1530" s="636" t="s">
        <v>5502</v>
      </c>
      <c r="J1530" s="644"/>
      <c r="K1530" s="739"/>
      <c r="L1530" s="735">
        <v>12</v>
      </c>
      <c r="M1530" s="735">
        <v>109960.79999999997</v>
      </c>
      <c r="N1530" s="739"/>
      <c r="O1530" s="735">
        <v>6</v>
      </c>
      <c r="P1530" s="736">
        <v>55044.9</v>
      </c>
      <c r="Q1530" s="214"/>
    </row>
    <row r="1531" spans="1:17" ht="12" customHeight="1" x14ac:dyDescent="0.2">
      <c r="A1531" s="735" t="s">
        <v>5497</v>
      </c>
      <c r="B1531" s="735" t="s">
        <v>2170</v>
      </c>
      <c r="C1531" s="735" t="s">
        <v>451</v>
      </c>
      <c r="D1531" s="644" t="s">
        <v>6452</v>
      </c>
      <c r="E1531" s="736">
        <v>10000</v>
      </c>
      <c r="F1531" s="638" t="s">
        <v>6453</v>
      </c>
      <c r="G1531" s="636" t="s">
        <v>6454</v>
      </c>
      <c r="H1531" s="636" t="s">
        <v>2186</v>
      </c>
      <c r="I1531" s="636" t="s">
        <v>5502</v>
      </c>
      <c r="J1531" s="644"/>
      <c r="K1531" s="739"/>
      <c r="L1531" s="735">
        <v>12</v>
      </c>
      <c r="M1531" s="735">
        <v>121960.79999999997</v>
      </c>
      <c r="N1531" s="739"/>
      <c r="O1531" s="735">
        <v>6</v>
      </c>
      <c r="P1531" s="736">
        <v>61044.9</v>
      </c>
      <c r="Q1531" s="214"/>
    </row>
    <row r="1532" spans="1:17" ht="12" customHeight="1" x14ac:dyDescent="0.2">
      <c r="A1532" s="735" t="s">
        <v>5497</v>
      </c>
      <c r="B1532" s="735" t="s">
        <v>2170</v>
      </c>
      <c r="C1532" s="735" t="s">
        <v>451</v>
      </c>
      <c r="D1532" s="644" t="s">
        <v>5856</v>
      </c>
      <c r="E1532" s="736">
        <v>7000</v>
      </c>
      <c r="F1532" s="638" t="s">
        <v>6455</v>
      </c>
      <c r="G1532" s="636" t="s">
        <v>6456</v>
      </c>
      <c r="H1532" s="636" t="s">
        <v>6457</v>
      </c>
      <c r="I1532" s="636" t="s">
        <v>5502</v>
      </c>
      <c r="J1532" s="644"/>
      <c r="K1532" s="739"/>
      <c r="L1532" s="735">
        <v>4</v>
      </c>
      <c r="M1532" s="735">
        <v>23290.199999999997</v>
      </c>
      <c r="N1532" s="739"/>
      <c r="O1532" s="735"/>
      <c r="P1532" s="736"/>
      <c r="Q1532" s="214"/>
    </row>
    <row r="1533" spans="1:17" ht="12" customHeight="1" x14ac:dyDescent="0.2">
      <c r="A1533" s="735" t="s">
        <v>5497</v>
      </c>
      <c r="B1533" s="735" t="s">
        <v>2170</v>
      </c>
      <c r="C1533" s="735" t="s">
        <v>451</v>
      </c>
      <c r="D1533" s="644" t="s">
        <v>5624</v>
      </c>
      <c r="E1533" s="736">
        <v>9000</v>
      </c>
      <c r="F1533" s="638" t="s">
        <v>6458</v>
      </c>
      <c r="G1533" s="636" t="s">
        <v>6459</v>
      </c>
      <c r="H1533" s="636" t="s">
        <v>5501</v>
      </c>
      <c r="I1533" s="636" t="s">
        <v>5502</v>
      </c>
      <c r="J1533" s="644"/>
      <c r="K1533" s="739"/>
      <c r="L1533" s="735">
        <v>12</v>
      </c>
      <c r="M1533" s="735">
        <v>109960.79999999997</v>
      </c>
      <c r="N1533" s="739"/>
      <c r="O1533" s="735">
        <v>6</v>
      </c>
      <c r="P1533" s="736">
        <v>55044.9</v>
      </c>
      <c r="Q1533" s="214"/>
    </row>
    <row r="1534" spans="1:17" ht="12" customHeight="1" x14ac:dyDescent="0.2">
      <c r="A1534" s="735" t="s">
        <v>5497</v>
      </c>
      <c r="B1534" s="735" t="s">
        <v>2170</v>
      </c>
      <c r="C1534" s="735" t="s">
        <v>451</v>
      </c>
      <c r="D1534" s="644" t="s">
        <v>2394</v>
      </c>
      <c r="E1534" s="736">
        <v>9500</v>
      </c>
      <c r="F1534" s="638" t="s">
        <v>6460</v>
      </c>
      <c r="G1534" s="636" t="s">
        <v>6461</v>
      </c>
      <c r="H1534" s="636" t="s">
        <v>5506</v>
      </c>
      <c r="I1534" s="636" t="s">
        <v>5502</v>
      </c>
      <c r="J1534" s="644"/>
      <c r="K1534" s="739"/>
      <c r="L1534" s="735"/>
      <c r="M1534" s="735"/>
      <c r="N1534" s="739"/>
      <c r="O1534" s="735">
        <v>1</v>
      </c>
      <c r="P1534" s="736">
        <v>6824.15</v>
      </c>
      <c r="Q1534" s="214"/>
    </row>
    <row r="1535" spans="1:17" ht="12" customHeight="1" x14ac:dyDescent="0.2">
      <c r="A1535" s="735" t="s">
        <v>5497</v>
      </c>
      <c r="B1535" s="735" t="s">
        <v>2170</v>
      </c>
      <c r="C1535" s="735" t="s">
        <v>451</v>
      </c>
      <c r="D1535" s="644" t="s">
        <v>5560</v>
      </c>
      <c r="E1535" s="736">
        <v>9000</v>
      </c>
      <c r="F1535" s="638" t="s">
        <v>6462</v>
      </c>
      <c r="G1535" s="636" t="s">
        <v>6463</v>
      </c>
      <c r="H1535" s="636" t="s">
        <v>5501</v>
      </c>
      <c r="I1535" s="636" t="s">
        <v>5502</v>
      </c>
      <c r="J1535" s="644"/>
      <c r="K1535" s="739"/>
      <c r="L1535" s="735">
        <v>1</v>
      </c>
      <c r="M1535" s="735">
        <v>3388.4</v>
      </c>
      <c r="N1535" s="739"/>
      <c r="O1535" s="735"/>
      <c r="P1535" s="736"/>
      <c r="Q1535" s="214"/>
    </row>
    <row r="1536" spans="1:17" ht="12" customHeight="1" x14ac:dyDescent="0.2">
      <c r="A1536" s="735" t="s">
        <v>5497</v>
      </c>
      <c r="B1536" s="735" t="s">
        <v>2170</v>
      </c>
      <c r="C1536" s="735" t="s">
        <v>451</v>
      </c>
      <c r="D1536" s="644" t="s">
        <v>644</v>
      </c>
      <c r="E1536" s="736">
        <v>2800</v>
      </c>
      <c r="F1536" s="638" t="s">
        <v>6464</v>
      </c>
      <c r="G1536" s="636" t="s">
        <v>6465</v>
      </c>
      <c r="H1536" s="636" t="s">
        <v>6466</v>
      </c>
      <c r="I1536" s="636"/>
      <c r="J1536" s="644" t="s">
        <v>5515</v>
      </c>
      <c r="K1536" s="739"/>
      <c r="L1536" s="735">
        <v>12</v>
      </c>
      <c r="M1536" s="735">
        <v>35560.80000000001</v>
      </c>
      <c r="N1536" s="739"/>
      <c r="O1536" s="735">
        <v>6</v>
      </c>
      <c r="P1536" s="736">
        <v>17844.900000000001</v>
      </c>
      <c r="Q1536" s="214"/>
    </row>
    <row r="1537" spans="1:17" ht="12" customHeight="1" x14ac:dyDescent="0.2">
      <c r="A1537" s="735" t="s">
        <v>5497</v>
      </c>
      <c r="B1537" s="735" t="s">
        <v>2170</v>
      </c>
      <c r="C1537" s="735" t="s">
        <v>451</v>
      </c>
      <c r="D1537" s="644" t="s">
        <v>6467</v>
      </c>
      <c r="E1537" s="736">
        <v>10000</v>
      </c>
      <c r="F1537" s="638" t="s">
        <v>6468</v>
      </c>
      <c r="G1537" s="636" t="s">
        <v>6469</v>
      </c>
      <c r="H1537" s="636" t="s">
        <v>5506</v>
      </c>
      <c r="I1537" s="636" t="s">
        <v>5502</v>
      </c>
      <c r="J1537" s="644"/>
      <c r="K1537" s="739"/>
      <c r="L1537" s="735">
        <v>6</v>
      </c>
      <c r="M1537" s="735">
        <v>57647.070000000007</v>
      </c>
      <c r="N1537" s="739"/>
      <c r="O1537" s="735">
        <v>6</v>
      </c>
      <c r="P1537" s="736">
        <v>61044.9</v>
      </c>
      <c r="Q1537" s="214"/>
    </row>
    <row r="1538" spans="1:17" ht="12" customHeight="1" x14ac:dyDescent="0.2">
      <c r="A1538" s="735" t="s">
        <v>5497</v>
      </c>
      <c r="B1538" s="735" t="s">
        <v>2170</v>
      </c>
      <c r="C1538" s="735" t="s">
        <v>451</v>
      </c>
      <c r="D1538" s="644" t="s">
        <v>2560</v>
      </c>
      <c r="E1538" s="736">
        <v>4000</v>
      </c>
      <c r="F1538" s="638" t="s">
        <v>6470</v>
      </c>
      <c r="G1538" s="636" t="s">
        <v>6471</v>
      </c>
      <c r="H1538" s="636" t="s">
        <v>5518</v>
      </c>
      <c r="I1538" s="636"/>
      <c r="J1538" s="644" t="s">
        <v>5515</v>
      </c>
      <c r="K1538" s="739"/>
      <c r="L1538" s="735">
        <v>12</v>
      </c>
      <c r="M1538" s="735">
        <v>49960.80000000001</v>
      </c>
      <c r="N1538" s="739"/>
      <c r="O1538" s="735">
        <v>6</v>
      </c>
      <c r="P1538" s="736">
        <v>25044.9</v>
      </c>
      <c r="Q1538" s="214"/>
    </row>
    <row r="1539" spans="1:17" ht="12" customHeight="1" x14ac:dyDescent="0.2">
      <c r="A1539" s="735" t="s">
        <v>5497</v>
      </c>
      <c r="B1539" s="735" t="s">
        <v>2170</v>
      </c>
      <c r="C1539" s="735" t="s">
        <v>451</v>
      </c>
      <c r="D1539" s="644" t="s">
        <v>2737</v>
      </c>
      <c r="E1539" s="736">
        <v>4500</v>
      </c>
      <c r="F1539" s="638" t="s">
        <v>6472</v>
      </c>
      <c r="G1539" s="636" t="s">
        <v>6473</v>
      </c>
      <c r="H1539" s="636" t="s">
        <v>6474</v>
      </c>
      <c r="I1539" s="636" t="s">
        <v>5502</v>
      </c>
      <c r="J1539" s="644"/>
      <c r="K1539" s="739"/>
      <c r="L1539" s="735">
        <v>12</v>
      </c>
      <c r="M1539" s="735">
        <v>55960.80000000001</v>
      </c>
      <c r="N1539" s="739"/>
      <c r="O1539" s="735">
        <v>6</v>
      </c>
      <c r="P1539" s="736">
        <v>28044.9</v>
      </c>
      <c r="Q1539" s="214"/>
    </row>
    <row r="1540" spans="1:17" ht="12" customHeight="1" x14ac:dyDescent="0.2">
      <c r="A1540" s="735" t="s">
        <v>5497</v>
      </c>
      <c r="B1540" s="735" t="s">
        <v>2170</v>
      </c>
      <c r="C1540" s="735" t="s">
        <v>451</v>
      </c>
      <c r="D1540" s="644" t="s">
        <v>5503</v>
      </c>
      <c r="E1540" s="736">
        <v>9000</v>
      </c>
      <c r="F1540" s="638" t="s">
        <v>6475</v>
      </c>
      <c r="G1540" s="636" t="s">
        <v>6476</v>
      </c>
      <c r="H1540" s="636" t="s">
        <v>5501</v>
      </c>
      <c r="I1540" s="636" t="s">
        <v>5502</v>
      </c>
      <c r="J1540" s="644"/>
      <c r="K1540" s="739"/>
      <c r="L1540" s="735">
        <v>12</v>
      </c>
      <c r="M1540" s="735">
        <v>109960.79999999997</v>
      </c>
      <c r="N1540" s="739"/>
      <c r="O1540" s="735">
        <v>6</v>
      </c>
      <c r="P1540" s="736">
        <v>55044.9</v>
      </c>
      <c r="Q1540" s="214"/>
    </row>
    <row r="1541" spans="1:17" ht="12" customHeight="1" x14ac:dyDescent="0.2">
      <c r="A1541" s="735" t="s">
        <v>5497</v>
      </c>
      <c r="B1541" s="735" t="s">
        <v>2170</v>
      </c>
      <c r="C1541" s="735" t="s">
        <v>451</v>
      </c>
      <c r="D1541" s="644" t="s">
        <v>6477</v>
      </c>
      <c r="E1541" s="736">
        <v>7000</v>
      </c>
      <c r="F1541" s="638" t="s">
        <v>6478</v>
      </c>
      <c r="G1541" s="636" t="s">
        <v>6479</v>
      </c>
      <c r="H1541" s="636" t="s">
        <v>5565</v>
      </c>
      <c r="I1541" s="636" t="s">
        <v>5502</v>
      </c>
      <c r="J1541" s="644"/>
      <c r="K1541" s="739"/>
      <c r="L1541" s="735">
        <v>12</v>
      </c>
      <c r="M1541" s="735">
        <v>85960.799999999988</v>
      </c>
      <c r="N1541" s="739"/>
      <c r="O1541" s="735">
        <v>6</v>
      </c>
      <c r="P1541" s="736">
        <v>43044.9</v>
      </c>
      <c r="Q1541" s="214"/>
    </row>
    <row r="1542" spans="1:17" ht="12" customHeight="1" x14ac:dyDescent="0.2">
      <c r="A1542" s="735" t="s">
        <v>5497</v>
      </c>
      <c r="B1542" s="735" t="s">
        <v>2170</v>
      </c>
      <c r="C1542" s="735" t="s">
        <v>451</v>
      </c>
      <c r="D1542" s="644" t="s">
        <v>6480</v>
      </c>
      <c r="E1542" s="736">
        <v>12000</v>
      </c>
      <c r="F1542" s="638" t="s">
        <v>6481</v>
      </c>
      <c r="G1542" s="636" t="s">
        <v>6482</v>
      </c>
      <c r="H1542" s="636" t="s">
        <v>5501</v>
      </c>
      <c r="I1542" s="636" t="s">
        <v>5502</v>
      </c>
      <c r="J1542" s="644"/>
      <c r="K1542" s="739"/>
      <c r="L1542" s="735">
        <v>12</v>
      </c>
      <c r="M1542" s="735">
        <v>145960.79999999996</v>
      </c>
      <c r="N1542" s="739"/>
      <c r="O1542" s="735">
        <v>6</v>
      </c>
      <c r="P1542" s="736">
        <v>73387.399999999994</v>
      </c>
      <c r="Q1542" s="214"/>
    </row>
    <row r="1543" spans="1:17" ht="12" customHeight="1" x14ac:dyDescent="0.2">
      <c r="A1543" s="735" t="s">
        <v>5497</v>
      </c>
      <c r="B1543" s="735" t="s">
        <v>2170</v>
      </c>
      <c r="C1543" s="735" t="s">
        <v>451</v>
      </c>
      <c r="D1543" s="644" t="s">
        <v>5579</v>
      </c>
      <c r="E1543" s="736">
        <v>9000</v>
      </c>
      <c r="F1543" s="638" t="s">
        <v>6483</v>
      </c>
      <c r="G1543" s="636" t="s">
        <v>6484</v>
      </c>
      <c r="H1543" s="636" t="s">
        <v>5501</v>
      </c>
      <c r="I1543" s="636" t="s">
        <v>5502</v>
      </c>
      <c r="J1543" s="644"/>
      <c r="K1543" s="739"/>
      <c r="L1543" s="735">
        <v>12</v>
      </c>
      <c r="M1543" s="735">
        <v>109960.79999999997</v>
      </c>
      <c r="N1543" s="739"/>
      <c r="O1543" s="735">
        <v>6</v>
      </c>
      <c r="P1543" s="736">
        <v>55044.9</v>
      </c>
      <c r="Q1543" s="214"/>
    </row>
    <row r="1544" spans="1:17" ht="12" customHeight="1" x14ac:dyDescent="0.2">
      <c r="A1544" s="735" t="s">
        <v>5497</v>
      </c>
      <c r="B1544" s="735" t="s">
        <v>2170</v>
      </c>
      <c r="C1544" s="735" t="s">
        <v>451</v>
      </c>
      <c r="D1544" s="644" t="s">
        <v>6485</v>
      </c>
      <c r="E1544" s="736">
        <v>10000</v>
      </c>
      <c r="F1544" s="638" t="s">
        <v>6486</v>
      </c>
      <c r="G1544" s="636" t="s">
        <v>6487</v>
      </c>
      <c r="H1544" s="636" t="s">
        <v>5501</v>
      </c>
      <c r="I1544" s="636" t="s">
        <v>5502</v>
      </c>
      <c r="J1544" s="644"/>
      <c r="K1544" s="739"/>
      <c r="L1544" s="735">
        <v>12</v>
      </c>
      <c r="M1544" s="735">
        <v>121960.79999999997</v>
      </c>
      <c r="N1544" s="739"/>
      <c r="O1544" s="735">
        <v>6</v>
      </c>
      <c r="P1544" s="736">
        <v>61044.9</v>
      </c>
      <c r="Q1544" s="214"/>
    </row>
    <row r="1545" spans="1:17" ht="12" customHeight="1" x14ac:dyDescent="0.2">
      <c r="A1545" s="735" t="s">
        <v>5497</v>
      </c>
      <c r="B1545" s="735" t="s">
        <v>2170</v>
      </c>
      <c r="C1545" s="735" t="s">
        <v>451</v>
      </c>
      <c r="D1545" s="644" t="s">
        <v>5614</v>
      </c>
      <c r="E1545" s="736">
        <v>9000</v>
      </c>
      <c r="F1545" s="638" t="s">
        <v>6488</v>
      </c>
      <c r="G1545" s="636" t="s">
        <v>6489</v>
      </c>
      <c r="H1545" s="636" t="s">
        <v>5501</v>
      </c>
      <c r="I1545" s="636" t="s">
        <v>5502</v>
      </c>
      <c r="J1545" s="644"/>
      <c r="K1545" s="739"/>
      <c r="L1545" s="735">
        <v>12</v>
      </c>
      <c r="M1545" s="735">
        <v>109960.79999999997</v>
      </c>
      <c r="N1545" s="739"/>
      <c r="O1545" s="735">
        <v>3</v>
      </c>
      <c r="P1545" s="736">
        <v>23531.3</v>
      </c>
      <c r="Q1545" s="214"/>
    </row>
    <row r="1546" spans="1:17" ht="12" customHeight="1" x14ac:dyDescent="0.2">
      <c r="A1546" s="735" t="s">
        <v>5497</v>
      </c>
      <c r="B1546" s="735" t="s">
        <v>2170</v>
      </c>
      <c r="C1546" s="735" t="s">
        <v>451</v>
      </c>
      <c r="D1546" s="644" t="s">
        <v>5579</v>
      </c>
      <c r="E1546" s="736">
        <v>9000</v>
      </c>
      <c r="F1546" s="638" t="s">
        <v>6490</v>
      </c>
      <c r="G1546" s="636" t="s">
        <v>6491</v>
      </c>
      <c r="H1546" s="636" t="s">
        <v>5501</v>
      </c>
      <c r="I1546" s="636" t="s">
        <v>5502</v>
      </c>
      <c r="J1546" s="644"/>
      <c r="K1546" s="739"/>
      <c r="L1546" s="735">
        <v>12</v>
      </c>
      <c r="M1546" s="735">
        <v>109960.79999999997</v>
      </c>
      <c r="N1546" s="739"/>
      <c r="O1546" s="735">
        <v>6</v>
      </c>
      <c r="P1546" s="736">
        <v>55044.9</v>
      </c>
      <c r="Q1546" s="214"/>
    </row>
    <row r="1547" spans="1:17" ht="12" customHeight="1" x14ac:dyDescent="0.2">
      <c r="A1547" s="735" t="s">
        <v>5497</v>
      </c>
      <c r="B1547" s="735" t="s">
        <v>2170</v>
      </c>
      <c r="C1547" s="735" t="s">
        <v>451</v>
      </c>
      <c r="D1547" s="644" t="s">
        <v>6492</v>
      </c>
      <c r="E1547" s="736">
        <v>12000</v>
      </c>
      <c r="F1547" s="638" t="s">
        <v>6493</v>
      </c>
      <c r="G1547" s="636" t="s">
        <v>6494</v>
      </c>
      <c r="H1547" s="636" t="s">
        <v>5506</v>
      </c>
      <c r="I1547" s="636" t="s">
        <v>5502</v>
      </c>
      <c r="J1547" s="644"/>
      <c r="K1547" s="739"/>
      <c r="L1547" s="735">
        <v>11</v>
      </c>
      <c r="M1547" s="735">
        <v>120814.06999999998</v>
      </c>
      <c r="N1547" s="739"/>
      <c r="O1547" s="735"/>
      <c r="P1547" s="736"/>
      <c r="Q1547" s="214"/>
    </row>
    <row r="1548" spans="1:17" ht="12" customHeight="1" x14ac:dyDescent="0.2">
      <c r="A1548" s="735" t="s">
        <v>5497</v>
      </c>
      <c r="B1548" s="735" t="s">
        <v>2170</v>
      </c>
      <c r="C1548" s="735" t="s">
        <v>451</v>
      </c>
      <c r="D1548" s="644" t="s">
        <v>6495</v>
      </c>
      <c r="E1548" s="736">
        <v>8500</v>
      </c>
      <c r="F1548" s="638" t="s">
        <v>6496</v>
      </c>
      <c r="G1548" s="636" t="s">
        <v>6497</v>
      </c>
      <c r="H1548" s="636" t="s">
        <v>5541</v>
      </c>
      <c r="I1548" s="636" t="s">
        <v>5502</v>
      </c>
      <c r="J1548" s="644"/>
      <c r="K1548" s="739"/>
      <c r="L1548" s="735">
        <v>5</v>
      </c>
      <c r="M1548" s="735">
        <v>41100.33</v>
      </c>
      <c r="N1548" s="739"/>
      <c r="O1548" s="735">
        <v>6</v>
      </c>
      <c r="P1548" s="736">
        <v>52044.9</v>
      </c>
      <c r="Q1548" s="214"/>
    </row>
    <row r="1549" spans="1:17" ht="12" customHeight="1" x14ac:dyDescent="0.2">
      <c r="A1549" s="735" t="s">
        <v>5497</v>
      </c>
      <c r="B1549" s="735" t="s">
        <v>2170</v>
      </c>
      <c r="C1549" s="735" t="s">
        <v>451</v>
      </c>
      <c r="D1549" s="644" t="s">
        <v>5624</v>
      </c>
      <c r="E1549" s="736">
        <v>9000</v>
      </c>
      <c r="F1549" s="638" t="s">
        <v>6498</v>
      </c>
      <c r="G1549" s="636" t="s">
        <v>6499</v>
      </c>
      <c r="H1549" s="636" t="s">
        <v>5556</v>
      </c>
      <c r="I1549" s="636" t="s">
        <v>5502</v>
      </c>
      <c r="J1549" s="644"/>
      <c r="K1549" s="739"/>
      <c r="L1549" s="735">
        <v>12</v>
      </c>
      <c r="M1549" s="735">
        <v>109960.79999999997</v>
      </c>
      <c r="N1549" s="739"/>
      <c r="O1549" s="735">
        <v>6</v>
      </c>
      <c r="P1549" s="736">
        <v>55044.9</v>
      </c>
      <c r="Q1549" s="214"/>
    </row>
    <row r="1550" spans="1:17" ht="12" customHeight="1" x14ac:dyDescent="0.2">
      <c r="A1550" s="735" t="s">
        <v>5497</v>
      </c>
      <c r="B1550" s="735" t="s">
        <v>2170</v>
      </c>
      <c r="C1550" s="735" t="s">
        <v>451</v>
      </c>
      <c r="D1550" s="644" t="s">
        <v>5624</v>
      </c>
      <c r="E1550" s="736">
        <v>9000</v>
      </c>
      <c r="F1550" s="638" t="s">
        <v>6500</v>
      </c>
      <c r="G1550" s="636" t="s">
        <v>6501</v>
      </c>
      <c r="H1550" s="636" t="s">
        <v>5501</v>
      </c>
      <c r="I1550" s="636" t="s">
        <v>5502</v>
      </c>
      <c r="J1550" s="644"/>
      <c r="K1550" s="739"/>
      <c r="L1550" s="735">
        <v>11</v>
      </c>
      <c r="M1550" s="735">
        <v>101297.39999999998</v>
      </c>
      <c r="N1550" s="739"/>
      <c r="O1550" s="735"/>
      <c r="P1550" s="736"/>
      <c r="Q1550" s="214"/>
    </row>
    <row r="1551" spans="1:17" ht="12" customHeight="1" x14ac:dyDescent="0.2">
      <c r="A1551" s="735" t="s">
        <v>5497</v>
      </c>
      <c r="B1551" s="735" t="s">
        <v>2170</v>
      </c>
      <c r="C1551" s="735" t="s">
        <v>451</v>
      </c>
      <c r="D1551" s="644" t="s">
        <v>6502</v>
      </c>
      <c r="E1551" s="736">
        <v>10000</v>
      </c>
      <c r="F1551" s="638" t="s">
        <v>6503</v>
      </c>
      <c r="G1551" s="636" t="s">
        <v>6504</v>
      </c>
      <c r="H1551" s="636" t="s">
        <v>6182</v>
      </c>
      <c r="I1551" s="636" t="s">
        <v>5502</v>
      </c>
      <c r="J1551" s="644"/>
      <c r="K1551" s="739"/>
      <c r="L1551" s="735">
        <v>12</v>
      </c>
      <c r="M1551" s="735">
        <v>121960.79999999997</v>
      </c>
      <c r="N1551" s="739"/>
      <c r="O1551" s="735">
        <v>6</v>
      </c>
      <c r="P1551" s="736">
        <v>61044.9</v>
      </c>
      <c r="Q1551" s="214"/>
    </row>
    <row r="1552" spans="1:17" ht="12" customHeight="1" x14ac:dyDescent="0.2">
      <c r="A1552" s="735" t="s">
        <v>5497</v>
      </c>
      <c r="B1552" s="735" t="s">
        <v>2170</v>
      </c>
      <c r="C1552" s="735" t="s">
        <v>451</v>
      </c>
      <c r="D1552" s="644" t="s">
        <v>6505</v>
      </c>
      <c r="E1552" s="736">
        <v>10000</v>
      </c>
      <c r="F1552" s="638" t="s">
        <v>6506</v>
      </c>
      <c r="G1552" s="636" t="s">
        <v>6507</v>
      </c>
      <c r="H1552" s="636" t="s">
        <v>5506</v>
      </c>
      <c r="I1552" s="636" t="s">
        <v>5502</v>
      </c>
      <c r="J1552" s="644"/>
      <c r="K1552" s="739"/>
      <c r="L1552" s="735">
        <v>12</v>
      </c>
      <c r="M1552" s="735">
        <v>121976.76999999997</v>
      </c>
      <c r="N1552" s="739"/>
      <c r="O1552" s="735">
        <v>6</v>
      </c>
      <c r="P1552" s="736">
        <v>61044.9</v>
      </c>
      <c r="Q1552" s="214"/>
    </row>
    <row r="1553" spans="1:17" ht="12" customHeight="1" x14ac:dyDescent="0.2">
      <c r="A1553" s="735" t="s">
        <v>5497</v>
      </c>
      <c r="B1553" s="735" t="s">
        <v>2170</v>
      </c>
      <c r="C1553" s="735" t="s">
        <v>451</v>
      </c>
      <c r="D1553" s="644" t="s">
        <v>6508</v>
      </c>
      <c r="E1553" s="736">
        <v>9000</v>
      </c>
      <c r="F1553" s="638" t="s">
        <v>6509</v>
      </c>
      <c r="G1553" s="636" t="s">
        <v>6510</v>
      </c>
      <c r="H1553" s="636" t="s">
        <v>6511</v>
      </c>
      <c r="I1553" s="636" t="s">
        <v>5502</v>
      </c>
      <c r="J1553" s="644"/>
      <c r="K1553" s="739"/>
      <c r="L1553" s="735">
        <v>12</v>
      </c>
      <c r="M1553" s="735">
        <v>106060.79999999997</v>
      </c>
      <c r="N1553" s="739"/>
      <c r="O1553" s="735">
        <v>6</v>
      </c>
      <c r="P1553" s="736">
        <v>55044.9</v>
      </c>
      <c r="Q1553" s="214"/>
    </row>
    <row r="1554" spans="1:17" ht="12" customHeight="1" x14ac:dyDescent="0.2">
      <c r="A1554" s="735" t="s">
        <v>5497</v>
      </c>
      <c r="B1554" s="735" t="s">
        <v>2170</v>
      </c>
      <c r="C1554" s="735" t="s">
        <v>451</v>
      </c>
      <c r="D1554" s="644" t="s">
        <v>5624</v>
      </c>
      <c r="E1554" s="736">
        <v>9000</v>
      </c>
      <c r="F1554" s="638" t="s">
        <v>6512</v>
      </c>
      <c r="G1554" s="636" t="s">
        <v>6513</v>
      </c>
      <c r="H1554" s="636" t="s">
        <v>5501</v>
      </c>
      <c r="I1554" s="636" t="s">
        <v>5502</v>
      </c>
      <c r="J1554" s="644"/>
      <c r="K1554" s="739"/>
      <c r="L1554" s="735">
        <v>12</v>
      </c>
      <c r="M1554" s="735">
        <v>109960.79999999997</v>
      </c>
      <c r="N1554" s="739"/>
      <c r="O1554" s="735">
        <v>6</v>
      </c>
      <c r="P1554" s="736">
        <v>55044.9</v>
      </c>
      <c r="Q1554" s="214"/>
    </row>
    <row r="1555" spans="1:17" ht="12" customHeight="1" x14ac:dyDescent="0.2">
      <c r="A1555" s="735" t="s">
        <v>5497</v>
      </c>
      <c r="B1555" s="735" t="s">
        <v>2170</v>
      </c>
      <c r="C1555" s="735" t="s">
        <v>451</v>
      </c>
      <c r="D1555" s="644" t="s">
        <v>6082</v>
      </c>
      <c r="E1555" s="736">
        <v>9500</v>
      </c>
      <c r="F1555" s="638" t="s">
        <v>6514</v>
      </c>
      <c r="G1555" s="636" t="s">
        <v>6515</v>
      </c>
      <c r="H1555" s="636" t="s">
        <v>2186</v>
      </c>
      <c r="I1555" s="636" t="s">
        <v>5502</v>
      </c>
      <c r="J1555" s="644"/>
      <c r="K1555" s="739"/>
      <c r="L1555" s="735">
        <v>12</v>
      </c>
      <c r="M1555" s="735">
        <v>115960.79999999997</v>
      </c>
      <c r="N1555" s="739"/>
      <c r="O1555" s="735">
        <v>6</v>
      </c>
      <c r="P1555" s="736">
        <v>58044.9</v>
      </c>
      <c r="Q1555" s="214"/>
    </row>
    <row r="1556" spans="1:17" ht="12" customHeight="1" x14ac:dyDescent="0.2">
      <c r="A1556" s="735" t="s">
        <v>5497</v>
      </c>
      <c r="B1556" s="735" t="s">
        <v>2170</v>
      </c>
      <c r="C1556" s="735" t="s">
        <v>451</v>
      </c>
      <c r="D1556" s="644" t="s">
        <v>6516</v>
      </c>
      <c r="E1556" s="736">
        <v>9000</v>
      </c>
      <c r="F1556" s="638" t="s">
        <v>6517</v>
      </c>
      <c r="G1556" s="636" t="s">
        <v>6518</v>
      </c>
      <c r="H1556" s="636" t="s">
        <v>5501</v>
      </c>
      <c r="I1556" s="636" t="s">
        <v>5502</v>
      </c>
      <c r="J1556" s="644"/>
      <c r="K1556" s="739"/>
      <c r="L1556" s="735">
        <v>1</v>
      </c>
      <c r="M1556" s="735">
        <v>8813.4</v>
      </c>
      <c r="N1556" s="739"/>
      <c r="O1556" s="735"/>
      <c r="P1556" s="736"/>
      <c r="Q1556" s="214"/>
    </row>
    <row r="1557" spans="1:17" ht="12" customHeight="1" x14ac:dyDescent="0.2">
      <c r="A1557" s="735" t="s">
        <v>5497</v>
      </c>
      <c r="B1557" s="735" t="s">
        <v>2170</v>
      </c>
      <c r="C1557" s="735" t="s">
        <v>451</v>
      </c>
      <c r="D1557" s="644" t="s">
        <v>6519</v>
      </c>
      <c r="E1557" s="736">
        <v>10000</v>
      </c>
      <c r="F1557" s="638" t="s">
        <v>6520</v>
      </c>
      <c r="G1557" s="636" t="s">
        <v>6521</v>
      </c>
      <c r="H1557" s="636" t="s">
        <v>5501</v>
      </c>
      <c r="I1557" s="636" t="s">
        <v>5502</v>
      </c>
      <c r="J1557" s="644"/>
      <c r="K1557" s="739"/>
      <c r="L1557" s="735">
        <v>12</v>
      </c>
      <c r="M1557" s="735">
        <v>122794.12999999998</v>
      </c>
      <c r="N1557" s="739"/>
      <c r="O1557" s="735"/>
      <c r="P1557" s="736"/>
      <c r="Q1557" s="214"/>
    </row>
    <row r="1558" spans="1:17" ht="12" customHeight="1" x14ac:dyDescent="0.2">
      <c r="A1558" s="735" t="s">
        <v>5497</v>
      </c>
      <c r="B1558" s="735" t="s">
        <v>2170</v>
      </c>
      <c r="C1558" s="735" t="s">
        <v>451</v>
      </c>
      <c r="D1558" s="644" t="s">
        <v>5579</v>
      </c>
      <c r="E1558" s="736">
        <v>9000</v>
      </c>
      <c r="F1558" s="638" t="s">
        <v>6522</v>
      </c>
      <c r="G1558" s="636" t="s">
        <v>6523</v>
      </c>
      <c r="H1558" s="636" t="s">
        <v>5501</v>
      </c>
      <c r="I1558" s="636" t="s">
        <v>5502</v>
      </c>
      <c r="J1558" s="644"/>
      <c r="K1558" s="739"/>
      <c r="L1558" s="735">
        <v>9</v>
      </c>
      <c r="M1558" s="735">
        <v>85470.599999999991</v>
      </c>
      <c r="N1558" s="739"/>
      <c r="O1558" s="735"/>
      <c r="P1558" s="736"/>
      <c r="Q1558" s="214"/>
    </row>
    <row r="1559" spans="1:17" ht="12" customHeight="1" x14ac:dyDescent="0.2">
      <c r="A1559" s="735" t="s">
        <v>5497</v>
      </c>
      <c r="B1559" s="735" t="s">
        <v>2170</v>
      </c>
      <c r="C1559" s="735" t="s">
        <v>451</v>
      </c>
      <c r="D1559" s="644" t="s">
        <v>6524</v>
      </c>
      <c r="E1559" s="736">
        <v>10000</v>
      </c>
      <c r="F1559" s="638" t="s">
        <v>6525</v>
      </c>
      <c r="G1559" s="636" t="s">
        <v>6526</v>
      </c>
      <c r="H1559" s="636" t="s">
        <v>5541</v>
      </c>
      <c r="I1559" s="636" t="s">
        <v>5502</v>
      </c>
      <c r="J1559" s="644"/>
      <c r="K1559" s="739"/>
      <c r="L1559" s="735">
        <v>11</v>
      </c>
      <c r="M1559" s="735">
        <v>116047.39999999998</v>
      </c>
      <c r="N1559" s="739"/>
      <c r="O1559" s="735"/>
      <c r="P1559" s="736"/>
      <c r="Q1559" s="214"/>
    </row>
    <row r="1560" spans="1:17" ht="12" customHeight="1" x14ac:dyDescent="0.2">
      <c r="A1560" s="735" t="s">
        <v>5497</v>
      </c>
      <c r="B1560" s="735" t="s">
        <v>2170</v>
      </c>
      <c r="C1560" s="735" t="s">
        <v>451</v>
      </c>
      <c r="D1560" s="644" t="s">
        <v>6527</v>
      </c>
      <c r="E1560" s="736">
        <v>12000</v>
      </c>
      <c r="F1560" s="638" t="s">
        <v>6528</v>
      </c>
      <c r="G1560" s="636" t="s">
        <v>6529</v>
      </c>
      <c r="H1560" s="636" t="s">
        <v>5565</v>
      </c>
      <c r="I1560" s="636" t="s">
        <v>5502</v>
      </c>
      <c r="J1560" s="644"/>
      <c r="K1560" s="739"/>
      <c r="L1560" s="735">
        <v>12</v>
      </c>
      <c r="M1560" s="735">
        <v>145960.79999999996</v>
      </c>
      <c r="N1560" s="739"/>
      <c r="O1560" s="735">
        <v>6</v>
      </c>
      <c r="P1560" s="736">
        <v>73044.899999999994</v>
      </c>
      <c r="Q1560" s="214"/>
    </row>
    <row r="1561" spans="1:17" ht="12" customHeight="1" x14ac:dyDescent="0.2">
      <c r="A1561" s="735" t="s">
        <v>5497</v>
      </c>
      <c r="B1561" s="735" t="s">
        <v>2170</v>
      </c>
      <c r="C1561" s="735" t="s">
        <v>451</v>
      </c>
      <c r="D1561" s="644" t="s">
        <v>5503</v>
      </c>
      <c r="E1561" s="736">
        <v>9000</v>
      </c>
      <c r="F1561" s="638" t="s">
        <v>6530</v>
      </c>
      <c r="G1561" s="636" t="s">
        <v>6531</v>
      </c>
      <c r="H1561" s="636" t="s">
        <v>5501</v>
      </c>
      <c r="I1561" s="636" t="s">
        <v>5502</v>
      </c>
      <c r="J1561" s="644"/>
      <c r="K1561" s="739"/>
      <c r="L1561" s="735">
        <v>12</v>
      </c>
      <c r="M1561" s="735">
        <v>109960.79999999997</v>
      </c>
      <c r="N1561" s="739"/>
      <c r="O1561" s="735">
        <v>6</v>
      </c>
      <c r="P1561" s="736">
        <v>49665.599999999999</v>
      </c>
      <c r="Q1561" s="214"/>
    </row>
    <row r="1562" spans="1:17" ht="12" customHeight="1" x14ac:dyDescent="0.2">
      <c r="A1562" s="735" t="s">
        <v>6532</v>
      </c>
      <c r="B1562" s="735" t="s">
        <v>2170</v>
      </c>
      <c r="C1562" s="735" t="s">
        <v>451</v>
      </c>
      <c r="D1562" s="738" t="s">
        <v>6533</v>
      </c>
      <c r="E1562" s="741">
        <v>6500</v>
      </c>
      <c r="F1562" s="737" t="s">
        <v>6534</v>
      </c>
      <c r="G1562" s="742" t="s">
        <v>6535</v>
      </c>
      <c r="H1562" s="738" t="s">
        <v>6536</v>
      </c>
      <c r="I1562" s="743" t="s">
        <v>6537</v>
      </c>
      <c r="J1562" s="644" t="s">
        <v>2766</v>
      </c>
      <c r="K1562" s="744" t="s">
        <v>6538</v>
      </c>
      <c r="L1562" s="744">
        <v>12</v>
      </c>
      <c r="M1562" s="745">
        <f t="shared" ref="M1562:M1567" si="0">E1562*L1562</f>
        <v>78000</v>
      </c>
      <c r="N1562" s="744" t="s">
        <v>6539</v>
      </c>
      <c r="O1562" s="744" t="s">
        <v>6540</v>
      </c>
      <c r="P1562" s="745">
        <f t="shared" ref="P1562:P1596" si="1">E1562*9</f>
        <v>58500</v>
      </c>
      <c r="Q1562" s="214"/>
    </row>
    <row r="1563" spans="1:17" ht="12" customHeight="1" x14ac:dyDescent="0.2">
      <c r="A1563" s="735" t="s">
        <v>6532</v>
      </c>
      <c r="B1563" s="735" t="s">
        <v>2170</v>
      </c>
      <c r="C1563" s="735" t="s">
        <v>451</v>
      </c>
      <c r="D1563" s="738" t="s">
        <v>6541</v>
      </c>
      <c r="E1563" s="741">
        <v>12000</v>
      </c>
      <c r="F1563" s="737" t="s">
        <v>6542</v>
      </c>
      <c r="G1563" s="742" t="s">
        <v>6543</v>
      </c>
      <c r="H1563" s="738" t="s">
        <v>6536</v>
      </c>
      <c r="I1563" s="743" t="s">
        <v>2317</v>
      </c>
      <c r="J1563" s="644" t="s">
        <v>2180</v>
      </c>
      <c r="K1563" s="744" t="s">
        <v>6538</v>
      </c>
      <c r="L1563" s="744" t="s">
        <v>6538</v>
      </c>
      <c r="M1563" s="745">
        <f t="shared" si="0"/>
        <v>48000</v>
      </c>
      <c r="N1563" s="744" t="s">
        <v>6539</v>
      </c>
      <c r="O1563" s="744" t="s">
        <v>6540</v>
      </c>
      <c r="P1563" s="745">
        <f t="shared" si="1"/>
        <v>108000</v>
      </c>
      <c r="Q1563" s="214"/>
    </row>
    <row r="1564" spans="1:17" ht="12" customHeight="1" x14ac:dyDescent="0.2">
      <c r="A1564" s="735" t="s">
        <v>6532</v>
      </c>
      <c r="B1564" s="735" t="s">
        <v>2170</v>
      </c>
      <c r="C1564" s="735" t="s">
        <v>451</v>
      </c>
      <c r="D1564" s="738" t="s">
        <v>6533</v>
      </c>
      <c r="E1564" s="741">
        <v>6500</v>
      </c>
      <c r="F1564" s="737" t="s">
        <v>6544</v>
      </c>
      <c r="G1564" s="742" t="s">
        <v>6545</v>
      </c>
      <c r="H1564" s="738" t="s">
        <v>6536</v>
      </c>
      <c r="I1564" s="743" t="s">
        <v>6537</v>
      </c>
      <c r="J1564" s="644" t="s">
        <v>2766</v>
      </c>
      <c r="K1564" s="744" t="s">
        <v>6538</v>
      </c>
      <c r="L1564" s="744">
        <v>12</v>
      </c>
      <c r="M1564" s="745">
        <f t="shared" si="0"/>
        <v>78000</v>
      </c>
      <c r="N1564" s="744" t="s">
        <v>6539</v>
      </c>
      <c r="O1564" s="744" t="s">
        <v>6540</v>
      </c>
      <c r="P1564" s="745">
        <f t="shared" si="1"/>
        <v>58500</v>
      </c>
      <c r="Q1564" s="214"/>
    </row>
    <row r="1565" spans="1:17" ht="12" customHeight="1" x14ac:dyDescent="0.2">
      <c r="A1565" s="735" t="s">
        <v>6532</v>
      </c>
      <c r="B1565" s="735" t="s">
        <v>2170</v>
      </c>
      <c r="C1565" s="735" t="s">
        <v>451</v>
      </c>
      <c r="D1565" s="738" t="s">
        <v>6480</v>
      </c>
      <c r="E1565" s="741">
        <v>12000</v>
      </c>
      <c r="F1565" s="737" t="s">
        <v>6546</v>
      </c>
      <c r="G1565" s="742" t="s">
        <v>6547</v>
      </c>
      <c r="H1565" s="738" t="s">
        <v>6536</v>
      </c>
      <c r="I1565" s="743" t="s">
        <v>2317</v>
      </c>
      <c r="J1565" s="644" t="s">
        <v>6548</v>
      </c>
      <c r="K1565" s="744" t="s">
        <v>6538</v>
      </c>
      <c r="L1565" s="744" t="s">
        <v>6549</v>
      </c>
      <c r="M1565" s="745">
        <f t="shared" si="0"/>
        <v>132000</v>
      </c>
      <c r="N1565" s="744" t="s">
        <v>6539</v>
      </c>
      <c r="O1565" s="744" t="s">
        <v>6540</v>
      </c>
      <c r="P1565" s="745">
        <f t="shared" si="1"/>
        <v>108000</v>
      </c>
      <c r="Q1565" s="214"/>
    </row>
    <row r="1566" spans="1:17" ht="12" customHeight="1" x14ac:dyDescent="0.2">
      <c r="A1566" s="735" t="s">
        <v>6532</v>
      </c>
      <c r="B1566" s="735" t="s">
        <v>2170</v>
      </c>
      <c r="C1566" s="735" t="s">
        <v>451</v>
      </c>
      <c r="D1566" s="738" t="s">
        <v>6550</v>
      </c>
      <c r="E1566" s="741">
        <v>14000</v>
      </c>
      <c r="F1566" s="737" t="s">
        <v>6551</v>
      </c>
      <c r="G1566" s="742" t="s">
        <v>6552</v>
      </c>
      <c r="H1566" s="738" t="s">
        <v>6536</v>
      </c>
      <c r="I1566" s="743" t="s">
        <v>2197</v>
      </c>
      <c r="J1566" s="644" t="s">
        <v>6548</v>
      </c>
      <c r="K1566" s="744" t="s">
        <v>6538</v>
      </c>
      <c r="L1566" s="744" t="s">
        <v>6539</v>
      </c>
      <c r="M1566" s="745">
        <f t="shared" si="0"/>
        <v>98000</v>
      </c>
      <c r="N1566" s="744" t="s">
        <v>6539</v>
      </c>
      <c r="O1566" s="744" t="s">
        <v>6540</v>
      </c>
      <c r="P1566" s="745">
        <f t="shared" si="1"/>
        <v>126000</v>
      </c>
      <c r="Q1566" s="214"/>
    </row>
    <row r="1567" spans="1:17" ht="12" customHeight="1" x14ac:dyDescent="0.2">
      <c r="A1567" s="735" t="s">
        <v>6532</v>
      </c>
      <c r="B1567" s="735" t="s">
        <v>2170</v>
      </c>
      <c r="C1567" s="735" t="s">
        <v>451</v>
      </c>
      <c r="D1567" s="738" t="s">
        <v>5809</v>
      </c>
      <c r="E1567" s="741">
        <v>10000</v>
      </c>
      <c r="F1567" s="737" t="s">
        <v>6553</v>
      </c>
      <c r="G1567" s="742" t="s">
        <v>6554</v>
      </c>
      <c r="H1567" s="738" t="s">
        <v>3915</v>
      </c>
      <c r="I1567" s="743" t="s">
        <v>3915</v>
      </c>
      <c r="J1567" s="644" t="s">
        <v>6548</v>
      </c>
      <c r="K1567" s="744" t="s">
        <v>6538</v>
      </c>
      <c r="L1567" s="744">
        <v>12</v>
      </c>
      <c r="M1567" s="745">
        <f t="shared" si="0"/>
        <v>120000</v>
      </c>
      <c r="N1567" s="744" t="s">
        <v>6539</v>
      </c>
      <c r="O1567" s="744" t="s">
        <v>6540</v>
      </c>
      <c r="P1567" s="745">
        <f t="shared" si="1"/>
        <v>90000</v>
      </c>
      <c r="Q1567" s="214"/>
    </row>
    <row r="1568" spans="1:17" ht="12" customHeight="1" x14ac:dyDescent="0.2">
      <c r="A1568" s="735" t="s">
        <v>6532</v>
      </c>
      <c r="B1568" s="735" t="s">
        <v>2170</v>
      </c>
      <c r="C1568" s="735" t="s">
        <v>451</v>
      </c>
      <c r="D1568" s="738" t="s">
        <v>6555</v>
      </c>
      <c r="E1568" s="741">
        <v>6000</v>
      </c>
      <c r="F1568" s="737" t="s">
        <v>6556</v>
      </c>
      <c r="G1568" s="742" t="s">
        <v>6557</v>
      </c>
      <c r="H1568" s="738" t="s">
        <v>6558</v>
      </c>
      <c r="I1568" s="743" t="s">
        <v>6559</v>
      </c>
      <c r="J1568" s="644" t="s">
        <v>6560</v>
      </c>
      <c r="K1568" s="744" t="s">
        <v>6538</v>
      </c>
      <c r="L1568" s="744">
        <v>12</v>
      </c>
      <c r="M1568" s="745">
        <f>4500*11+5000</f>
        <v>54500</v>
      </c>
      <c r="N1568" s="744" t="s">
        <v>6539</v>
      </c>
      <c r="O1568" s="744" t="s">
        <v>6540</v>
      </c>
      <c r="P1568" s="745">
        <f t="shared" si="1"/>
        <v>54000</v>
      </c>
      <c r="Q1568" s="214"/>
    </row>
    <row r="1569" spans="1:17" ht="12" customHeight="1" x14ac:dyDescent="0.2">
      <c r="A1569" s="735" t="s">
        <v>6532</v>
      </c>
      <c r="B1569" s="735" t="s">
        <v>2170</v>
      </c>
      <c r="C1569" s="735" t="s">
        <v>451</v>
      </c>
      <c r="D1569" s="738" t="s">
        <v>6561</v>
      </c>
      <c r="E1569" s="741">
        <v>11000</v>
      </c>
      <c r="F1569" s="737" t="s">
        <v>6562</v>
      </c>
      <c r="G1569" s="742" t="s">
        <v>6563</v>
      </c>
      <c r="H1569" s="738" t="s">
        <v>6564</v>
      </c>
      <c r="I1569" s="743" t="s">
        <v>2174</v>
      </c>
      <c r="J1569" s="644" t="s">
        <v>6548</v>
      </c>
      <c r="K1569" s="744" t="s">
        <v>6538</v>
      </c>
      <c r="L1569" s="744">
        <v>12</v>
      </c>
      <c r="M1569" s="745">
        <f t="shared" ref="M1569:M1613" si="2">E1569*L1569</f>
        <v>132000</v>
      </c>
      <c r="N1569" s="744" t="s">
        <v>6539</v>
      </c>
      <c r="O1569" s="744" t="s">
        <v>6540</v>
      </c>
      <c r="P1569" s="745">
        <f t="shared" si="1"/>
        <v>99000</v>
      </c>
      <c r="Q1569" s="214"/>
    </row>
    <row r="1570" spans="1:17" ht="12" customHeight="1" x14ac:dyDescent="0.2">
      <c r="A1570" s="735" t="s">
        <v>6532</v>
      </c>
      <c r="B1570" s="735" t="s">
        <v>2170</v>
      </c>
      <c r="C1570" s="735" t="s">
        <v>451</v>
      </c>
      <c r="D1570" s="738" t="s">
        <v>6565</v>
      </c>
      <c r="E1570" s="741">
        <v>6000</v>
      </c>
      <c r="F1570" s="737" t="s">
        <v>6566</v>
      </c>
      <c r="G1570" s="742" t="s">
        <v>6567</v>
      </c>
      <c r="H1570" s="738" t="s">
        <v>6564</v>
      </c>
      <c r="I1570" s="743" t="s">
        <v>2174</v>
      </c>
      <c r="J1570" s="644" t="s">
        <v>6548</v>
      </c>
      <c r="K1570" s="744" t="s">
        <v>6538</v>
      </c>
      <c r="L1570" s="744">
        <v>12</v>
      </c>
      <c r="M1570" s="745">
        <f t="shared" si="2"/>
        <v>72000</v>
      </c>
      <c r="N1570" s="744" t="s">
        <v>6539</v>
      </c>
      <c r="O1570" s="744" t="s">
        <v>6540</v>
      </c>
      <c r="P1570" s="745">
        <f t="shared" si="1"/>
        <v>54000</v>
      </c>
      <c r="Q1570" s="214"/>
    </row>
    <row r="1571" spans="1:17" ht="12" customHeight="1" x14ac:dyDescent="0.2">
      <c r="A1571" s="735" t="s">
        <v>6532</v>
      </c>
      <c r="B1571" s="735" t="s">
        <v>2170</v>
      </c>
      <c r="C1571" s="735" t="s">
        <v>451</v>
      </c>
      <c r="D1571" s="738" t="s">
        <v>6568</v>
      </c>
      <c r="E1571" s="741">
        <v>14000</v>
      </c>
      <c r="F1571" s="737" t="s">
        <v>6569</v>
      </c>
      <c r="G1571" s="742" t="s">
        <v>6570</v>
      </c>
      <c r="H1571" s="738" t="s">
        <v>6571</v>
      </c>
      <c r="I1571" s="743" t="s">
        <v>2179</v>
      </c>
      <c r="J1571" s="644" t="s">
        <v>6548</v>
      </c>
      <c r="K1571" s="744" t="s">
        <v>6538</v>
      </c>
      <c r="L1571" s="744">
        <v>12</v>
      </c>
      <c r="M1571" s="745">
        <f t="shared" si="2"/>
        <v>168000</v>
      </c>
      <c r="N1571" s="744" t="s">
        <v>543</v>
      </c>
      <c r="O1571" s="744" t="s">
        <v>6540</v>
      </c>
      <c r="P1571" s="745">
        <f t="shared" si="1"/>
        <v>126000</v>
      </c>
      <c r="Q1571" s="214"/>
    </row>
    <row r="1572" spans="1:17" ht="12" customHeight="1" x14ac:dyDescent="0.2">
      <c r="A1572" s="735" t="s">
        <v>6532</v>
      </c>
      <c r="B1572" s="735" t="s">
        <v>2170</v>
      </c>
      <c r="C1572" s="735" t="s">
        <v>451</v>
      </c>
      <c r="D1572" s="738" t="s">
        <v>2261</v>
      </c>
      <c r="E1572" s="741">
        <v>6000</v>
      </c>
      <c r="F1572" s="737" t="s">
        <v>6572</v>
      </c>
      <c r="G1572" s="742" t="s">
        <v>6573</v>
      </c>
      <c r="H1572" s="738" t="s">
        <v>6536</v>
      </c>
      <c r="I1572" s="743" t="s">
        <v>2712</v>
      </c>
      <c r="J1572" s="644" t="s">
        <v>6548</v>
      </c>
      <c r="K1572" s="744" t="s">
        <v>6538</v>
      </c>
      <c r="L1572" s="744">
        <v>12</v>
      </c>
      <c r="M1572" s="745">
        <f t="shared" si="2"/>
        <v>72000</v>
      </c>
      <c r="N1572" s="744" t="s">
        <v>6539</v>
      </c>
      <c r="O1572" s="744" t="s">
        <v>6540</v>
      </c>
      <c r="P1572" s="745">
        <f t="shared" si="1"/>
        <v>54000</v>
      </c>
      <c r="Q1572" s="214"/>
    </row>
    <row r="1573" spans="1:17" ht="12" customHeight="1" x14ac:dyDescent="0.2">
      <c r="A1573" s="735" t="s">
        <v>6532</v>
      </c>
      <c r="B1573" s="735" t="s">
        <v>2170</v>
      </c>
      <c r="C1573" s="735" t="s">
        <v>451</v>
      </c>
      <c r="D1573" s="738" t="s">
        <v>6574</v>
      </c>
      <c r="E1573" s="741">
        <v>12000</v>
      </c>
      <c r="F1573" s="737" t="s">
        <v>6575</v>
      </c>
      <c r="G1573" s="742" t="s">
        <v>6576</v>
      </c>
      <c r="H1573" s="738" t="s">
        <v>2189</v>
      </c>
      <c r="I1573" s="743" t="s">
        <v>2189</v>
      </c>
      <c r="J1573" s="644" t="s">
        <v>6548</v>
      </c>
      <c r="K1573" s="744" t="s">
        <v>6538</v>
      </c>
      <c r="L1573" s="744">
        <v>12</v>
      </c>
      <c r="M1573" s="745">
        <f t="shared" si="2"/>
        <v>144000</v>
      </c>
      <c r="N1573" s="744" t="s">
        <v>6539</v>
      </c>
      <c r="O1573" s="744" t="s">
        <v>6540</v>
      </c>
      <c r="P1573" s="745">
        <f t="shared" si="1"/>
        <v>108000</v>
      </c>
      <c r="Q1573" s="214"/>
    </row>
    <row r="1574" spans="1:17" ht="12" customHeight="1" x14ac:dyDescent="0.2">
      <c r="A1574" s="735" t="s">
        <v>6532</v>
      </c>
      <c r="B1574" s="735" t="s">
        <v>2170</v>
      </c>
      <c r="C1574" s="735" t="s">
        <v>451</v>
      </c>
      <c r="D1574" s="738" t="s">
        <v>6577</v>
      </c>
      <c r="E1574" s="741">
        <v>9000</v>
      </c>
      <c r="F1574" s="737" t="s">
        <v>6578</v>
      </c>
      <c r="G1574" s="742" t="s">
        <v>6579</v>
      </c>
      <c r="H1574" s="738" t="s">
        <v>6580</v>
      </c>
      <c r="I1574" s="743" t="s">
        <v>6580</v>
      </c>
      <c r="J1574" s="644" t="s">
        <v>6548</v>
      </c>
      <c r="K1574" s="744" t="s">
        <v>6538</v>
      </c>
      <c r="L1574" s="744" t="s">
        <v>543</v>
      </c>
      <c r="M1574" s="745">
        <f t="shared" si="2"/>
        <v>9000</v>
      </c>
      <c r="N1574" s="744" t="s">
        <v>6539</v>
      </c>
      <c r="O1574" s="744" t="s">
        <v>6540</v>
      </c>
      <c r="P1574" s="745">
        <f t="shared" si="1"/>
        <v>81000</v>
      </c>
      <c r="Q1574" s="214"/>
    </row>
    <row r="1575" spans="1:17" ht="12" customHeight="1" x14ac:dyDescent="0.2">
      <c r="A1575" s="735" t="s">
        <v>6532</v>
      </c>
      <c r="B1575" s="735" t="s">
        <v>2170</v>
      </c>
      <c r="C1575" s="735" t="s">
        <v>451</v>
      </c>
      <c r="D1575" s="738" t="s">
        <v>3296</v>
      </c>
      <c r="E1575" s="741">
        <v>10000</v>
      </c>
      <c r="F1575" s="737" t="s">
        <v>6581</v>
      </c>
      <c r="G1575" s="742" t="s">
        <v>6582</v>
      </c>
      <c r="H1575" s="738" t="s">
        <v>6564</v>
      </c>
      <c r="I1575" s="743" t="s">
        <v>2174</v>
      </c>
      <c r="J1575" s="644" t="s">
        <v>6548</v>
      </c>
      <c r="K1575" s="744" t="s">
        <v>6538</v>
      </c>
      <c r="L1575" s="744">
        <v>12</v>
      </c>
      <c r="M1575" s="745">
        <f t="shared" si="2"/>
        <v>120000</v>
      </c>
      <c r="N1575" s="744" t="s">
        <v>6539</v>
      </c>
      <c r="O1575" s="744" t="s">
        <v>6540</v>
      </c>
      <c r="P1575" s="745">
        <f t="shared" si="1"/>
        <v>90000</v>
      </c>
      <c r="Q1575" s="214"/>
    </row>
    <row r="1576" spans="1:17" ht="12" customHeight="1" x14ac:dyDescent="0.2">
      <c r="A1576" s="735" t="s">
        <v>6532</v>
      </c>
      <c r="B1576" s="735" t="s">
        <v>2170</v>
      </c>
      <c r="C1576" s="735" t="s">
        <v>451</v>
      </c>
      <c r="D1576" s="738" t="s">
        <v>2482</v>
      </c>
      <c r="E1576" s="741">
        <v>11000</v>
      </c>
      <c r="F1576" s="737" t="s">
        <v>6583</v>
      </c>
      <c r="G1576" s="742" t="s">
        <v>6584</v>
      </c>
      <c r="H1576" s="738" t="s">
        <v>6536</v>
      </c>
      <c r="I1576" s="743" t="s">
        <v>3339</v>
      </c>
      <c r="J1576" s="644" t="s">
        <v>6548</v>
      </c>
      <c r="K1576" s="744" t="s">
        <v>6538</v>
      </c>
      <c r="L1576" s="744">
        <v>12</v>
      </c>
      <c r="M1576" s="745">
        <f t="shared" si="2"/>
        <v>132000</v>
      </c>
      <c r="N1576" s="744" t="s">
        <v>6539</v>
      </c>
      <c r="O1576" s="744" t="s">
        <v>6540</v>
      </c>
      <c r="P1576" s="745">
        <f t="shared" si="1"/>
        <v>99000</v>
      </c>
      <c r="Q1576" s="214"/>
    </row>
    <row r="1577" spans="1:17" ht="12" customHeight="1" x14ac:dyDescent="0.2">
      <c r="A1577" s="735" t="s">
        <v>6532</v>
      </c>
      <c r="B1577" s="735" t="s">
        <v>2170</v>
      </c>
      <c r="C1577" s="735" t="s">
        <v>451</v>
      </c>
      <c r="D1577" s="738" t="s">
        <v>2261</v>
      </c>
      <c r="E1577" s="741">
        <v>4500</v>
      </c>
      <c r="F1577" s="737" t="s">
        <v>6585</v>
      </c>
      <c r="G1577" s="742" t="s">
        <v>6586</v>
      </c>
      <c r="H1577" s="738" t="s">
        <v>3915</v>
      </c>
      <c r="I1577" s="743" t="s">
        <v>3915</v>
      </c>
      <c r="J1577" s="644" t="s">
        <v>6548</v>
      </c>
      <c r="K1577" s="744" t="s">
        <v>6538</v>
      </c>
      <c r="L1577" s="744">
        <v>12</v>
      </c>
      <c r="M1577" s="745">
        <f t="shared" si="2"/>
        <v>54000</v>
      </c>
      <c r="N1577" s="744" t="s">
        <v>6539</v>
      </c>
      <c r="O1577" s="744" t="s">
        <v>6540</v>
      </c>
      <c r="P1577" s="745">
        <f t="shared" si="1"/>
        <v>40500</v>
      </c>
      <c r="Q1577" s="214"/>
    </row>
    <row r="1578" spans="1:17" ht="12" customHeight="1" x14ac:dyDescent="0.2">
      <c r="A1578" s="735" t="s">
        <v>6532</v>
      </c>
      <c r="B1578" s="735" t="s">
        <v>2170</v>
      </c>
      <c r="C1578" s="735" t="s">
        <v>451</v>
      </c>
      <c r="D1578" s="738" t="s">
        <v>6587</v>
      </c>
      <c r="E1578" s="741">
        <v>14000</v>
      </c>
      <c r="F1578" s="737" t="s">
        <v>6588</v>
      </c>
      <c r="G1578" s="742" t="s">
        <v>6589</v>
      </c>
      <c r="H1578" s="738" t="s">
        <v>6536</v>
      </c>
      <c r="I1578" s="743" t="s">
        <v>2317</v>
      </c>
      <c r="J1578" s="644" t="s">
        <v>6548</v>
      </c>
      <c r="K1578" s="744" t="s">
        <v>6538</v>
      </c>
      <c r="L1578" s="744" t="s">
        <v>6590</v>
      </c>
      <c r="M1578" s="745">
        <f t="shared" si="2"/>
        <v>168000</v>
      </c>
      <c r="N1578" s="744" t="s">
        <v>543</v>
      </c>
      <c r="O1578" s="744" t="s">
        <v>6540</v>
      </c>
      <c r="P1578" s="745">
        <f t="shared" si="1"/>
        <v>126000</v>
      </c>
      <c r="Q1578" s="214"/>
    </row>
    <row r="1579" spans="1:17" ht="12" customHeight="1" x14ac:dyDescent="0.2">
      <c r="A1579" s="735" t="s">
        <v>6532</v>
      </c>
      <c r="B1579" s="735" t="s">
        <v>2170</v>
      </c>
      <c r="C1579" s="735" t="s">
        <v>451</v>
      </c>
      <c r="D1579" s="738" t="s">
        <v>6591</v>
      </c>
      <c r="E1579" s="741">
        <v>5000</v>
      </c>
      <c r="F1579" s="737" t="s">
        <v>6592</v>
      </c>
      <c r="G1579" s="742" t="s">
        <v>6593</v>
      </c>
      <c r="H1579" s="738" t="s">
        <v>3754</v>
      </c>
      <c r="I1579" s="743" t="s">
        <v>2979</v>
      </c>
      <c r="J1579" s="644" t="s">
        <v>6548</v>
      </c>
      <c r="K1579" s="744">
        <v>2</v>
      </c>
      <c r="L1579" s="744" t="s">
        <v>541</v>
      </c>
      <c r="M1579" s="745">
        <f t="shared" si="2"/>
        <v>25000</v>
      </c>
      <c r="N1579" s="744" t="s">
        <v>6539</v>
      </c>
      <c r="O1579" s="744" t="s">
        <v>6540</v>
      </c>
      <c r="P1579" s="745">
        <f t="shared" si="1"/>
        <v>45000</v>
      </c>
      <c r="Q1579" s="214"/>
    </row>
    <row r="1580" spans="1:17" ht="12" customHeight="1" x14ac:dyDescent="0.2">
      <c r="A1580" s="735" t="s">
        <v>6532</v>
      </c>
      <c r="B1580" s="735" t="s">
        <v>2170</v>
      </c>
      <c r="C1580" s="735" t="s">
        <v>451</v>
      </c>
      <c r="D1580" s="738" t="s">
        <v>6594</v>
      </c>
      <c r="E1580" s="741">
        <v>12000</v>
      </c>
      <c r="F1580" s="737" t="s">
        <v>6595</v>
      </c>
      <c r="G1580" s="742" t="s">
        <v>6596</v>
      </c>
      <c r="H1580" s="738" t="s">
        <v>6536</v>
      </c>
      <c r="I1580" s="743" t="s">
        <v>2317</v>
      </c>
      <c r="J1580" s="644" t="s">
        <v>6548</v>
      </c>
      <c r="K1580" s="744" t="s">
        <v>542</v>
      </c>
      <c r="L1580" s="744" t="s">
        <v>6597</v>
      </c>
      <c r="M1580" s="745">
        <f t="shared" si="2"/>
        <v>36000</v>
      </c>
      <c r="N1580" s="744" t="s">
        <v>6539</v>
      </c>
      <c r="O1580" s="744" t="s">
        <v>6540</v>
      </c>
      <c r="P1580" s="745">
        <f t="shared" si="1"/>
        <v>108000</v>
      </c>
      <c r="Q1580" s="214"/>
    </row>
    <row r="1581" spans="1:17" ht="12" customHeight="1" x14ac:dyDescent="0.2">
      <c r="A1581" s="735" t="s">
        <v>6532</v>
      </c>
      <c r="B1581" s="735" t="s">
        <v>2170</v>
      </c>
      <c r="C1581" s="735" t="s">
        <v>451</v>
      </c>
      <c r="D1581" s="738" t="s">
        <v>6541</v>
      </c>
      <c r="E1581" s="741">
        <v>12000</v>
      </c>
      <c r="F1581" s="737" t="s">
        <v>6598</v>
      </c>
      <c r="G1581" s="742" t="s">
        <v>6599</v>
      </c>
      <c r="H1581" s="738" t="s">
        <v>6536</v>
      </c>
      <c r="I1581" s="743" t="s">
        <v>2317</v>
      </c>
      <c r="J1581" s="644" t="s">
        <v>6548</v>
      </c>
      <c r="K1581" s="744" t="s">
        <v>542</v>
      </c>
      <c r="L1581" s="744" t="s">
        <v>6600</v>
      </c>
      <c r="M1581" s="745">
        <f t="shared" si="2"/>
        <v>72000</v>
      </c>
      <c r="N1581" s="744" t="s">
        <v>6539</v>
      </c>
      <c r="O1581" s="744" t="s">
        <v>6540</v>
      </c>
      <c r="P1581" s="745">
        <f t="shared" si="1"/>
        <v>108000</v>
      </c>
      <c r="Q1581" s="214"/>
    </row>
    <row r="1582" spans="1:17" ht="12" customHeight="1" x14ac:dyDescent="0.2">
      <c r="A1582" s="735" t="s">
        <v>6532</v>
      </c>
      <c r="B1582" s="735" t="s">
        <v>2170</v>
      </c>
      <c r="C1582" s="735" t="s">
        <v>451</v>
      </c>
      <c r="D1582" s="738" t="s">
        <v>6541</v>
      </c>
      <c r="E1582" s="741">
        <v>12000</v>
      </c>
      <c r="F1582" s="737" t="s">
        <v>6601</v>
      </c>
      <c r="G1582" s="742" t="s">
        <v>6602</v>
      </c>
      <c r="H1582" s="738" t="s">
        <v>6536</v>
      </c>
      <c r="I1582" s="743" t="s">
        <v>2317</v>
      </c>
      <c r="J1582" s="644" t="s">
        <v>6548</v>
      </c>
      <c r="K1582" s="744" t="s">
        <v>542</v>
      </c>
      <c r="L1582" s="744" t="s">
        <v>541</v>
      </c>
      <c r="M1582" s="745">
        <f t="shared" si="2"/>
        <v>60000</v>
      </c>
      <c r="N1582" s="744" t="s">
        <v>6539</v>
      </c>
      <c r="O1582" s="744" t="s">
        <v>6540</v>
      </c>
      <c r="P1582" s="745">
        <f t="shared" si="1"/>
        <v>108000</v>
      </c>
      <c r="Q1582" s="214"/>
    </row>
    <row r="1583" spans="1:17" ht="12" customHeight="1" x14ac:dyDescent="0.2">
      <c r="A1583" s="735" t="s">
        <v>6532</v>
      </c>
      <c r="B1583" s="735" t="s">
        <v>2170</v>
      </c>
      <c r="C1583" s="735" t="s">
        <v>451</v>
      </c>
      <c r="D1583" s="738" t="s">
        <v>2261</v>
      </c>
      <c r="E1583" s="741">
        <v>5000</v>
      </c>
      <c r="F1583" s="737" t="s">
        <v>6603</v>
      </c>
      <c r="G1583" s="742" t="s">
        <v>6604</v>
      </c>
      <c r="H1583" s="738" t="s">
        <v>6564</v>
      </c>
      <c r="I1583" s="743" t="s">
        <v>3092</v>
      </c>
      <c r="J1583" s="644" t="s">
        <v>6548</v>
      </c>
      <c r="K1583" s="744" t="s">
        <v>542</v>
      </c>
      <c r="L1583" s="744" t="s">
        <v>541</v>
      </c>
      <c r="M1583" s="745">
        <f t="shared" si="2"/>
        <v>25000</v>
      </c>
      <c r="N1583" s="744" t="s">
        <v>6539</v>
      </c>
      <c r="O1583" s="744" t="s">
        <v>6540</v>
      </c>
      <c r="P1583" s="745">
        <f t="shared" si="1"/>
        <v>45000</v>
      </c>
      <c r="Q1583" s="214"/>
    </row>
    <row r="1584" spans="1:17" ht="12" customHeight="1" x14ac:dyDescent="0.2">
      <c r="A1584" s="735" t="s">
        <v>6532</v>
      </c>
      <c r="B1584" s="735" t="s">
        <v>2170</v>
      </c>
      <c r="C1584" s="735" t="s">
        <v>451</v>
      </c>
      <c r="D1584" s="738" t="s">
        <v>6605</v>
      </c>
      <c r="E1584" s="741">
        <v>8000</v>
      </c>
      <c r="F1584" s="737" t="s">
        <v>6606</v>
      </c>
      <c r="G1584" s="742" t="s">
        <v>6607</v>
      </c>
      <c r="H1584" s="738" t="s">
        <v>6608</v>
      </c>
      <c r="I1584" s="743" t="s">
        <v>6609</v>
      </c>
      <c r="J1584" s="644" t="s">
        <v>6548</v>
      </c>
      <c r="K1584" s="744" t="s">
        <v>542</v>
      </c>
      <c r="L1584" s="744" t="s">
        <v>541</v>
      </c>
      <c r="M1584" s="745">
        <f t="shared" si="2"/>
        <v>40000</v>
      </c>
      <c r="N1584" s="744" t="s">
        <v>6539</v>
      </c>
      <c r="O1584" s="744" t="s">
        <v>6540</v>
      </c>
      <c r="P1584" s="745">
        <f t="shared" si="1"/>
        <v>72000</v>
      </c>
      <c r="Q1584" s="214"/>
    </row>
    <row r="1585" spans="1:17" ht="12" customHeight="1" x14ac:dyDescent="0.2">
      <c r="A1585" s="735" t="s">
        <v>6532</v>
      </c>
      <c r="B1585" s="735" t="s">
        <v>2170</v>
      </c>
      <c r="C1585" s="735" t="s">
        <v>451</v>
      </c>
      <c r="D1585" s="738" t="s">
        <v>6610</v>
      </c>
      <c r="E1585" s="741">
        <v>5000</v>
      </c>
      <c r="F1585" s="737" t="s">
        <v>6611</v>
      </c>
      <c r="G1585" s="742" t="s">
        <v>6612</v>
      </c>
      <c r="H1585" s="738" t="s">
        <v>6613</v>
      </c>
      <c r="I1585" s="743" t="s">
        <v>2745</v>
      </c>
      <c r="J1585" s="644" t="s">
        <v>6548</v>
      </c>
      <c r="K1585" s="744" t="s">
        <v>542</v>
      </c>
      <c r="L1585" s="744" t="s">
        <v>541</v>
      </c>
      <c r="M1585" s="745">
        <f t="shared" si="2"/>
        <v>25000</v>
      </c>
      <c r="N1585" s="744" t="s">
        <v>6539</v>
      </c>
      <c r="O1585" s="744" t="s">
        <v>6540</v>
      </c>
      <c r="P1585" s="745">
        <f t="shared" si="1"/>
        <v>45000</v>
      </c>
      <c r="Q1585" s="214"/>
    </row>
    <row r="1586" spans="1:17" ht="12" customHeight="1" x14ac:dyDescent="0.2">
      <c r="A1586" s="735" t="s">
        <v>6532</v>
      </c>
      <c r="B1586" s="735" t="s">
        <v>2170</v>
      </c>
      <c r="C1586" s="735" t="s">
        <v>451</v>
      </c>
      <c r="D1586" s="738" t="s">
        <v>6614</v>
      </c>
      <c r="E1586" s="741">
        <v>11000</v>
      </c>
      <c r="F1586" s="737" t="s">
        <v>6615</v>
      </c>
      <c r="G1586" s="742" t="s">
        <v>6616</v>
      </c>
      <c r="H1586" s="738" t="s">
        <v>2179</v>
      </c>
      <c r="I1586" s="743" t="s">
        <v>2179</v>
      </c>
      <c r="J1586" s="644" t="s">
        <v>6548</v>
      </c>
      <c r="K1586" s="744" t="s">
        <v>542</v>
      </c>
      <c r="L1586" s="744" t="s">
        <v>541</v>
      </c>
      <c r="M1586" s="745">
        <f t="shared" si="2"/>
        <v>55000</v>
      </c>
      <c r="N1586" s="744" t="s">
        <v>6539</v>
      </c>
      <c r="O1586" s="744" t="s">
        <v>6540</v>
      </c>
      <c r="P1586" s="745">
        <f t="shared" si="1"/>
        <v>99000</v>
      </c>
      <c r="Q1586" s="214"/>
    </row>
    <row r="1587" spans="1:17" ht="12" customHeight="1" x14ac:dyDescent="0.2">
      <c r="A1587" s="735" t="s">
        <v>6532</v>
      </c>
      <c r="B1587" s="735" t="s">
        <v>2170</v>
      </c>
      <c r="C1587" s="735" t="s">
        <v>451</v>
      </c>
      <c r="D1587" s="738" t="s">
        <v>6617</v>
      </c>
      <c r="E1587" s="741">
        <v>5000</v>
      </c>
      <c r="F1587" s="737" t="s">
        <v>6618</v>
      </c>
      <c r="G1587" s="742" t="s">
        <v>6619</v>
      </c>
      <c r="H1587" s="738" t="s">
        <v>6564</v>
      </c>
      <c r="I1587" s="743" t="s">
        <v>2174</v>
      </c>
      <c r="J1587" s="644" t="s">
        <v>6548</v>
      </c>
      <c r="K1587" s="744" t="s">
        <v>542</v>
      </c>
      <c r="L1587" s="744" t="s">
        <v>6597</v>
      </c>
      <c r="M1587" s="745">
        <f t="shared" si="2"/>
        <v>15000</v>
      </c>
      <c r="N1587" s="744" t="s">
        <v>6539</v>
      </c>
      <c r="O1587" s="744" t="s">
        <v>6540</v>
      </c>
      <c r="P1587" s="745">
        <f t="shared" si="1"/>
        <v>45000</v>
      </c>
      <c r="Q1587" s="214"/>
    </row>
    <row r="1588" spans="1:17" ht="12" customHeight="1" x14ac:dyDescent="0.2">
      <c r="A1588" s="735" t="s">
        <v>6532</v>
      </c>
      <c r="B1588" s="735" t="s">
        <v>2170</v>
      </c>
      <c r="C1588" s="735" t="s">
        <v>451</v>
      </c>
      <c r="D1588" s="738" t="s">
        <v>6541</v>
      </c>
      <c r="E1588" s="741">
        <v>12000</v>
      </c>
      <c r="F1588" s="737" t="s">
        <v>6620</v>
      </c>
      <c r="G1588" s="742" t="s">
        <v>6621</v>
      </c>
      <c r="H1588" s="738" t="s">
        <v>6536</v>
      </c>
      <c r="I1588" s="743" t="s">
        <v>2197</v>
      </c>
      <c r="J1588" s="644" t="s">
        <v>6548</v>
      </c>
      <c r="K1588" s="744" t="s">
        <v>542</v>
      </c>
      <c r="L1588" s="744" t="s">
        <v>542</v>
      </c>
      <c r="M1588" s="745">
        <f t="shared" si="2"/>
        <v>24000</v>
      </c>
      <c r="N1588" s="744" t="s">
        <v>6539</v>
      </c>
      <c r="O1588" s="744" t="s">
        <v>6540</v>
      </c>
      <c r="P1588" s="745">
        <f t="shared" si="1"/>
        <v>108000</v>
      </c>
      <c r="Q1588" s="214"/>
    </row>
    <row r="1589" spans="1:17" ht="12" customHeight="1" x14ac:dyDescent="0.2">
      <c r="A1589" s="735" t="s">
        <v>6532</v>
      </c>
      <c r="B1589" s="735" t="s">
        <v>2170</v>
      </c>
      <c r="C1589" s="735" t="s">
        <v>451</v>
      </c>
      <c r="D1589" s="738" t="s">
        <v>6622</v>
      </c>
      <c r="E1589" s="741">
        <v>6500</v>
      </c>
      <c r="F1589" s="737" t="s">
        <v>6623</v>
      </c>
      <c r="G1589" s="742" t="s">
        <v>6624</v>
      </c>
      <c r="H1589" s="738" t="s">
        <v>6625</v>
      </c>
      <c r="I1589" s="743" t="s">
        <v>6580</v>
      </c>
      <c r="J1589" s="644" t="s">
        <v>6548</v>
      </c>
      <c r="K1589" s="744" t="s">
        <v>542</v>
      </c>
      <c r="L1589" s="744" t="s">
        <v>543</v>
      </c>
      <c r="M1589" s="745">
        <f t="shared" si="2"/>
        <v>6500</v>
      </c>
      <c r="N1589" s="744" t="s">
        <v>6539</v>
      </c>
      <c r="O1589" s="744" t="s">
        <v>6540</v>
      </c>
      <c r="P1589" s="745">
        <f t="shared" si="1"/>
        <v>58500</v>
      </c>
      <c r="Q1589" s="214"/>
    </row>
    <row r="1590" spans="1:17" ht="12" customHeight="1" x14ac:dyDescent="0.2">
      <c r="A1590" s="735" t="s">
        <v>6532</v>
      </c>
      <c r="B1590" s="735" t="s">
        <v>2170</v>
      </c>
      <c r="C1590" s="735" t="s">
        <v>451</v>
      </c>
      <c r="D1590" s="738" t="s">
        <v>6626</v>
      </c>
      <c r="E1590" s="741">
        <v>8500</v>
      </c>
      <c r="F1590" s="737" t="s">
        <v>5339</v>
      </c>
      <c r="G1590" s="742" t="s">
        <v>5340</v>
      </c>
      <c r="H1590" s="738" t="s">
        <v>6536</v>
      </c>
      <c r="I1590" s="743" t="s">
        <v>3339</v>
      </c>
      <c r="J1590" s="644" t="s">
        <v>6548</v>
      </c>
      <c r="K1590" s="744" t="s">
        <v>542</v>
      </c>
      <c r="L1590" s="744" t="s">
        <v>543</v>
      </c>
      <c r="M1590" s="745">
        <f t="shared" si="2"/>
        <v>8500</v>
      </c>
      <c r="N1590" s="744" t="s">
        <v>6539</v>
      </c>
      <c r="O1590" s="744" t="s">
        <v>6540</v>
      </c>
      <c r="P1590" s="745">
        <f t="shared" si="1"/>
        <v>76500</v>
      </c>
      <c r="Q1590" s="214"/>
    </row>
    <row r="1591" spans="1:17" ht="12" customHeight="1" x14ac:dyDescent="0.2">
      <c r="A1591" s="735" t="s">
        <v>6532</v>
      </c>
      <c r="B1591" s="735" t="s">
        <v>2170</v>
      </c>
      <c r="C1591" s="735" t="s">
        <v>451</v>
      </c>
      <c r="D1591" s="738" t="s">
        <v>6627</v>
      </c>
      <c r="E1591" s="741">
        <v>9000</v>
      </c>
      <c r="F1591" s="737" t="s">
        <v>6284</v>
      </c>
      <c r="G1591" s="742" t="s">
        <v>6285</v>
      </c>
      <c r="H1591" s="738" t="s">
        <v>6536</v>
      </c>
      <c r="I1591" s="743" t="s">
        <v>2197</v>
      </c>
      <c r="J1591" s="644" t="s">
        <v>6548</v>
      </c>
      <c r="K1591" s="744" t="s">
        <v>542</v>
      </c>
      <c r="L1591" s="744" t="s">
        <v>543</v>
      </c>
      <c r="M1591" s="745">
        <f t="shared" si="2"/>
        <v>9000</v>
      </c>
      <c r="N1591" s="744" t="s">
        <v>6539</v>
      </c>
      <c r="O1591" s="744" t="s">
        <v>6540</v>
      </c>
      <c r="P1591" s="745">
        <f t="shared" si="1"/>
        <v>81000</v>
      </c>
      <c r="Q1591" s="214"/>
    </row>
    <row r="1592" spans="1:17" ht="12" customHeight="1" x14ac:dyDescent="0.2">
      <c r="A1592" s="735" t="s">
        <v>6532</v>
      </c>
      <c r="B1592" s="735" t="s">
        <v>2170</v>
      </c>
      <c r="C1592" s="735" t="s">
        <v>451</v>
      </c>
      <c r="D1592" s="738" t="s">
        <v>2608</v>
      </c>
      <c r="E1592" s="741">
        <v>4000</v>
      </c>
      <c r="F1592" s="737" t="s">
        <v>6628</v>
      </c>
      <c r="G1592" s="742" t="s">
        <v>6629</v>
      </c>
      <c r="H1592" s="738" t="s">
        <v>6564</v>
      </c>
      <c r="I1592" s="743" t="s">
        <v>6564</v>
      </c>
      <c r="J1592" s="644" t="s">
        <v>4559</v>
      </c>
      <c r="K1592" s="744" t="s">
        <v>542</v>
      </c>
      <c r="L1592" s="744" t="s">
        <v>543</v>
      </c>
      <c r="M1592" s="745">
        <f t="shared" si="2"/>
        <v>4000</v>
      </c>
      <c r="N1592" s="744" t="s">
        <v>6539</v>
      </c>
      <c r="O1592" s="744" t="s">
        <v>6540</v>
      </c>
      <c r="P1592" s="745">
        <f t="shared" si="1"/>
        <v>36000</v>
      </c>
      <c r="Q1592" s="214"/>
    </row>
    <row r="1593" spans="1:17" ht="12" customHeight="1" x14ac:dyDescent="0.2">
      <c r="A1593" s="735" t="s">
        <v>6532</v>
      </c>
      <c r="B1593" s="735" t="s">
        <v>2170</v>
      </c>
      <c r="C1593" s="735" t="s">
        <v>451</v>
      </c>
      <c r="D1593" s="738" t="s">
        <v>6630</v>
      </c>
      <c r="E1593" s="741">
        <v>6500</v>
      </c>
      <c r="F1593" s="737" t="s">
        <v>6631</v>
      </c>
      <c r="G1593" s="742" t="s">
        <v>6632</v>
      </c>
      <c r="H1593" s="738" t="s">
        <v>6633</v>
      </c>
      <c r="I1593" s="743" t="s">
        <v>2189</v>
      </c>
      <c r="J1593" s="644" t="s">
        <v>6548</v>
      </c>
      <c r="K1593" s="744" t="s">
        <v>542</v>
      </c>
      <c r="L1593" s="744" t="s">
        <v>543</v>
      </c>
      <c r="M1593" s="745">
        <f t="shared" si="2"/>
        <v>6500</v>
      </c>
      <c r="N1593" s="744" t="s">
        <v>6539</v>
      </c>
      <c r="O1593" s="744" t="s">
        <v>6540</v>
      </c>
      <c r="P1593" s="745">
        <f t="shared" si="1"/>
        <v>58500</v>
      </c>
      <c r="Q1593" s="214"/>
    </row>
    <row r="1594" spans="1:17" ht="12" customHeight="1" x14ac:dyDescent="0.2">
      <c r="A1594" s="735" t="s">
        <v>6532</v>
      </c>
      <c r="B1594" s="735" t="s">
        <v>2170</v>
      </c>
      <c r="C1594" s="735" t="s">
        <v>451</v>
      </c>
      <c r="D1594" s="738" t="s">
        <v>6541</v>
      </c>
      <c r="E1594" s="741">
        <v>12000</v>
      </c>
      <c r="F1594" s="737" t="s">
        <v>6634</v>
      </c>
      <c r="G1594" s="742" t="s">
        <v>6635</v>
      </c>
      <c r="H1594" s="738" t="s">
        <v>6536</v>
      </c>
      <c r="I1594" s="743" t="s">
        <v>2317</v>
      </c>
      <c r="J1594" s="644" t="s">
        <v>6548</v>
      </c>
      <c r="K1594" s="744" t="s">
        <v>6636</v>
      </c>
      <c r="L1594" s="744" t="s">
        <v>6636</v>
      </c>
      <c r="M1594" s="745">
        <f t="shared" si="2"/>
        <v>0</v>
      </c>
      <c r="N1594" s="744" t="s">
        <v>541</v>
      </c>
      <c r="O1594" s="744" t="s">
        <v>6540</v>
      </c>
      <c r="P1594" s="745">
        <f t="shared" si="1"/>
        <v>108000</v>
      </c>
      <c r="Q1594" s="214"/>
    </row>
    <row r="1595" spans="1:17" ht="12" customHeight="1" x14ac:dyDescent="0.2">
      <c r="A1595" s="735" t="s">
        <v>6532</v>
      </c>
      <c r="B1595" s="735" t="s">
        <v>2170</v>
      </c>
      <c r="C1595" s="735" t="s">
        <v>451</v>
      </c>
      <c r="D1595" s="738" t="s">
        <v>6627</v>
      </c>
      <c r="E1595" s="741">
        <v>9000</v>
      </c>
      <c r="F1595" s="737" t="s">
        <v>6637</v>
      </c>
      <c r="G1595" s="742" t="s">
        <v>6638</v>
      </c>
      <c r="H1595" s="738" t="s">
        <v>6536</v>
      </c>
      <c r="I1595" s="743" t="s">
        <v>2197</v>
      </c>
      <c r="J1595" s="644" t="s">
        <v>6548</v>
      </c>
      <c r="K1595" s="744" t="s">
        <v>6636</v>
      </c>
      <c r="L1595" s="744" t="s">
        <v>6636</v>
      </c>
      <c r="M1595" s="745">
        <f t="shared" si="2"/>
        <v>0</v>
      </c>
      <c r="N1595" s="744" t="s">
        <v>541</v>
      </c>
      <c r="O1595" s="744" t="s">
        <v>6540</v>
      </c>
      <c r="P1595" s="745">
        <f t="shared" si="1"/>
        <v>81000</v>
      </c>
      <c r="Q1595" s="214"/>
    </row>
    <row r="1596" spans="1:17" ht="12" customHeight="1" x14ac:dyDescent="0.2">
      <c r="A1596" s="735" t="s">
        <v>6532</v>
      </c>
      <c r="B1596" s="735" t="s">
        <v>2170</v>
      </c>
      <c r="C1596" s="735" t="s">
        <v>451</v>
      </c>
      <c r="D1596" s="738" t="s">
        <v>6639</v>
      </c>
      <c r="E1596" s="741">
        <v>14000</v>
      </c>
      <c r="F1596" s="737" t="s">
        <v>6640</v>
      </c>
      <c r="G1596" s="742" t="s">
        <v>6641</v>
      </c>
      <c r="H1596" s="738" t="s">
        <v>6536</v>
      </c>
      <c r="I1596" s="743" t="s">
        <v>6642</v>
      </c>
      <c r="J1596" s="644" t="s">
        <v>2766</v>
      </c>
      <c r="K1596" s="744" t="s">
        <v>6636</v>
      </c>
      <c r="L1596" s="744" t="s">
        <v>6636</v>
      </c>
      <c r="M1596" s="745">
        <f t="shared" si="2"/>
        <v>0</v>
      </c>
      <c r="N1596" s="744" t="s">
        <v>543</v>
      </c>
      <c r="O1596" s="744" t="s">
        <v>6540</v>
      </c>
      <c r="P1596" s="745">
        <f t="shared" si="1"/>
        <v>126000</v>
      </c>
      <c r="Q1596" s="214"/>
    </row>
    <row r="1597" spans="1:17" ht="12" customHeight="1" x14ac:dyDescent="0.2">
      <c r="A1597" s="735" t="s">
        <v>6532</v>
      </c>
      <c r="B1597" s="735" t="s">
        <v>2170</v>
      </c>
      <c r="C1597" s="735" t="s">
        <v>451</v>
      </c>
      <c r="D1597" s="738" t="s">
        <v>2265</v>
      </c>
      <c r="E1597" s="741">
        <v>10000</v>
      </c>
      <c r="F1597" s="737" t="s">
        <v>6643</v>
      </c>
      <c r="G1597" s="742" t="s">
        <v>6644</v>
      </c>
      <c r="H1597" s="738" t="s">
        <v>6633</v>
      </c>
      <c r="I1597" s="743" t="s">
        <v>2189</v>
      </c>
      <c r="J1597" s="644" t="s">
        <v>2766</v>
      </c>
      <c r="K1597" s="744" t="s">
        <v>6636</v>
      </c>
      <c r="L1597" s="744" t="s">
        <v>6636</v>
      </c>
      <c r="M1597" s="745">
        <f t="shared" si="2"/>
        <v>0</v>
      </c>
      <c r="N1597" s="744" t="s">
        <v>6538</v>
      </c>
      <c r="O1597" s="744" t="s">
        <v>6645</v>
      </c>
      <c r="P1597" s="745">
        <f>E1597*8</f>
        <v>80000</v>
      </c>
      <c r="Q1597" s="214"/>
    </row>
    <row r="1598" spans="1:17" ht="12" customHeight="1" x14ac:dyDescent="0.2">
      <c r="A1598" s="735" t="s">
        <v>6532</v>
      </c>
      <c r="B1598" s="735" t="s">
        <v>2170</v>
      </c>
      <c r="C1598" s="735" t="s">
        <v>451</v>
      </c>
      <c r="D1598" s="738" t="s">
        <v>6646</v>
      </c>
      <c r="E1598" s="741">
        <v>14000</v>
      </c>
      <c r="F1598" s="737" t="s">
        <v>6647</v>
      </c>
      <c r="G1598" s="742" t="s">
        <v>6648</v>
      </c>
      <c r="H1598" s="738" t="s">
        <v>3915</v>
      </c>
      <c r="I1598" s="743" t="s">
        <v>3915</v>
      </c>
      <c r="J1598" s="644" t="s">
        <v>6548</v>
      </c>
      <c r="K1598" s="744" t="s">
        <v>6636</v>
      </c>
      <c r="L1598" s="744" t="s">
        <v>6636</v>
      </c>
      <c r="M1598" s="745">
        <f t="shared" si="2"/>
        <v>0</v>
      </c>
      <c r="N1598" s="744" t="s">
        <v>543</v>
      </c>
      <c r="O1598" s="744" t="s">
        <v>6539</v>
      </c>
      <c r="P1598" s="745">
        <f>E1598*7</f>
        <v>98000</v>
      </c>
      <c r="Q1598" s="214"/>
    </row>
    <row r="1599" spans="1:17" ht="12" customHeight="1" x14ac:dyDescent="0.2">
      <c r="A1599" s="735" t="s">
        <v>6532</v>
      </c>
      <c r="B1599" s="735" t="s">
        <v>2170</v>
      </c>
      <c r="C1599" s="735" t="s">
        <v>451</v>
      </c>
      <c r="D1599" s="738" t="s">
        <v>6541</v>
      </c>
      <c r="E1599" s="741">
        <v>12000</v>
      </c>
      <c r="F1599" s="737" t="s">
        <v>6649</v>
      </c>
      <c r="G1599" s="742" t="s">
        <v>6650</v>
      </c>
      <c r="H1599" s="738" t="s">
        <v>6536</v>
      </c>
      <c r="I1599" s="743" t="s">
        <v>2197</v>
      </c>
      <c r="J1599" s="644" t="s">
        <v>6548</v>
      </c>
      <c r="K1599" s="744" t="s">
        <v>6636</v>
      </c>
      <c r="L1599" s="744" t="s">
        <v>6636</v>
      </c>
      <c r="M1599" s="745">
        <f t="shared" si="2"/>
        <v>0</v>
      </c>
      <c r="N1599" s="744" t="s">
        <v>542</v>
      </c>
      <c r="O1599" s="744" t="s">
        <v>542</v>
      </c>
      <c r="P1599" s="745">
        <f t="shared" ref="P1599:P1603" si="3">E1599*2</f>
        <v>24000</v>
      </c>
      <c r="Q1599" s="214"/>
    </row>
    <row r="1600" spans="1:17" ht="12" customHeight="1" x14ac:dyDescent="0.2">
      <c r="A1600" s="735" t="s">
        <v>6532</v>
      </c>
      <c r="B1600" s="735" t="s">
        <v>2170</v>
      </c>
      <c r="C1600" s="735" t="s">
        <v>451</v>
      </c>
      <c r="D1600" s="738" t="s">
        <v>6541</v>
      </c>
      <c r="E1600" s="741">
        <v>12000</v>
      </c>
      <c r="F1600" s="737" t="s">
        <v>6651</v>
      </c>
      <c r="G1600" s="742" t="s">
        <v>6652</v>
      </c>
      <c r="H1600" s="738" t="s">
        <v>6536</v>
      </c>
      <c r="I1600" s="743" t="s">
        <v>2317</v>
      </c>
      <c r="J1600" s="644" t="s">
        <v>6548</v>
      </c>
      <c r="K1600" s="744" t="s">
        <v>6636</v>
      </c>
      <c r="L1600" s="744" t="s">
        <v>6636</v>
      </c>
      <c r="M1600" s="745">
        <f t="shared" si="2"/>
        <v>0</v>
      </c>
      <c r="N1600" s="744" t="s">
        <v>542</v>
      </c>
      <c r="O1600" s="744" t="s">
        <v>542</v>
      </c>
      <c r="P1600" s="745">
        <f t="shared" si="3"/>
        <v>24000</v>
      </c>
      <c r="Q1600" s="214"/>
    </row>
    <row r="1601" spans="1:17" ht="12" customHeight="1" x14ac:dyDescent="0.2">
      <c r="A1601" s="735" t="s">
        <v>6532</v>
      </c>
      <c r="B1601" s="735" t="s">
        <v>2170</v>
      </c>
      <c r="C1601" s="735" t="s">
        <v>451</v>
      </c>
      <c r="D1601" s="738" t="s">
        <v>6653</v>
      </c>
      <c r="E1601" s="741">
        <v>6500</v>
      </c>
      <c r="F1601" s="737" t="s">
        <v>6654</v>
      </c>
      <c r="G1601" s="742" t="s">
        <v>6655</v>
      </c>
      <c r="H1601" s="738" t="s">
        <v>6536</v>
      </c>
      <c r="I1601" s="743" t="s">
        <v>2532</v>
      </c>
      <c r="J1601" s="644" t="s">
        <v>6548</v>
      </c>
      <c r="K1601" s="744" t="s">
        <v>6636</v>
      </c>
      <c r="L1601" s="744" t="s">
        <v>6636</v>
      </c>
      <c r="M1601" s="745">
        <f t="shared" si="2"/>
        <v>0</v>
      </c>
      <c r="N1601" s="744" t="s">
        <v>543</v>
      </c>
      <c r="O1601" s="744" t="s">
        <v>542</v>
      </c>
      <c r="P1601" s="745">
        <f t="shared" si="3"/>
        <v>13000</v>
      </c>
      <c r="Q1601" s="214"/>
    </row>
    <row r="1602" spans="1:17" ht="12" customHeight="1" x14ac:dyDescent="0.2">
      <c r="A1602" s="735" t="s">
        <v>6532</v>
      </c>
      <c r="B1602" s="735" t="s">
        <v>2170</v>
      </c>
      <c r="C1602" s="735" t="s">
        <v>451</v>
      </c>
      <c r="D1602" s="738" t="s">
        <v>6656</v>
      </c>
      <c r="E1602" s="741">
        <v>6500</v>
      </c>
      <c r="F1602" s="737" t="s">
        <v>6657</v>
      </c>
      <c r="G1602" s="742" t="s">
        <v>6658</v>
      </c>
      <c r="H1602" s="738" t="s">
        <v>6536</v>
      </c>
      <c r="I1602" s="743" t="s">
        <v>2532</v>
      </c>
      <c r="J1602" s="644" t="s">
        <v>6548</v>
      </c>
      <c r="K1602" s="744" t="s">
        <v>6636</v>
      </c>
      <c r="L1602" s="744" t="s">
        <v>6636</v>
      </c>
      <c r="M1602" s="745">
        <f t="shared" si="2"/>
        <v>0</v>
      </c>
      <c r="N1602" s="744" t="s">
        <v>543</v>
      </c>
      <c r="O1602" s="744" t="s">
        <v>542</v>
      </c>
      <c r="P1602" s="745">
        <f t="shared" si="3"/>
        <v>13000</v>
      </c>
      <c r="Q1602" s="214"/>
    </row>
    <row r="1603" spans="1:17" ht="12" customHeight="1" x14ac:dyDescent="0.2">
      <c r="A1603" s="735" t="s">
        <v>6532</v>
      </c>
      <c r="B1603" s="735" t="s">
        <v>2170</v>
      </c>
      <c r="C1603" s="735" t="s">
        <v>451</v>
      </c>
      <c r="D1603" s="738" t="s">
        <v>6659</v>
      </c>
      <c r="E1603" s="741">
        <v>10000</v>
      </c>
      <c r="F1603" s="737" t="s">
        <v>6660</v>
      </c>
      <c r="G1603" s="742" t="s">
        <v>6661</v>
      </c>
      <c r="H1603" s="738" t="s">
        <v>6536</v>
      </c>
      <c r="I1603" s="743" t="s">
        <v>2317</v>
      </c>
      <c r="J1603" s="644" t="s">
        <v>6548</v>
      </c>
      <c r="K1603" s="744" t="s">
        <v>6636</v>
      </c>
      <c r="L1603" s="744" t="s">
        <v>6636</v>
      </c>
      <c r="M1603" s="745">
        <f t="shared" si="2"/>
        <v>0</v>
      </c>
      <c r="N1603" s="744" t="s">
        <v>543</v>
      </c>
      <c r="O1603" s="744" t="s">
        <v>542</v>
      </c>
      <c r="P1603" s="745">
        <f t="shared" si="3"/>
        <v>20000</v>
      </c>
      <c r="Q1603" s="214"/>
    </row>
    <row r="1604" spans="1:17" ht="12" customHeight="1" x14ac:dyDescent="0.2">
      <c r="A1604" s="735" t="s">
        <v>6532</v>
      </c>
      <c r="B1604" s="735" t="s">
        <v>2170</v>
      </c>
      <c r="C1604" s="735" t="s">
        <v>451</v>
      </c>
      <c r="D1604" s="738" t="s">
        <v>6627</v>
      </c>
      <c r="E1604" s="741">
        <v>9000</v>
      </c>
      <c r="F1604" s="737" t="s">
        <v>6662</v>
      </c>
      <c r="G1604" s="742" t="s">
        <v>6663</v>
      </c>
      <c r="H1604" s="738" t="s">
        <v>6536</v>
      </c>
      <c r="I1604" s="743" t="s">
        <v>2317</v>
      </c>
      <c r="J1604" s="644" t="s">
        <v>6548</v>
      </c>
      <c r="K1604" s="744" t="s">
        <v>6636</v>
      </c>
      <c r="L1604" s="744" t="s">
        <v>6636</v>
      </c>
      <c r="M1604" s="745">
        <f t="shared" si="2"/>
        <v>0</v>
      </c>
      <c r="N1604" s="744" t="s">
        <v>543</v>
      </c>
      <c r="O1604" s="744" t="s">
        <v>543</v>
      </c>
      <c r="P1604" s="745">
        <f>E1604*1</f>
        <v>9000</v>
      </c>
      <c r="Q1604" s="214"/>
    </row>
    <row r="1605" spans="1:17" ht="12" customHeight="1" x14ac:dyDescent="0.2">
      <c r="A1605" s="735" t="s">
        <v>6532</v>
      </c>
      <c r="B1605" s="735" t="s">
        <v>2170</v>
      </c>
      <c r="C1605" s="735" t="s">
        <v>451</v>
      </c>
      <c r="D1605" s="738" t="s">
        <v>6664</v>
      </c>
      <c r="E1605" s="741">
        <v>11000</v>
      </c>
      <c r="F1605" s="737" t="s">
        <v>6665</v>
      </c>
      <c r="G1605" s="742" t="s">
        <v>6666</v>
      </c>
      <c r="H1605" s="738" t="s">
        <v>6536</v>
      </c>
      <c r="I1605" s="743" t="s">
        <v>2317</v>
      </c>
      <c r="J1605" s="644" t="s">
        <v>6548</v>
      </c>
      <c r="K1605" s="744" t="s">
        <v>6636</v>
      </c>
      <c r="L1605" s="744" t="s">
        <v>6636</v>
      </c>
      <c r="M1605" s="745">
        <f t="shared" si="2"/>
        <v>0</v>
      </c>
      <c r="N1605" s="744" t="s">
        <v>543</v>
      </c>
      <c r="O1605" s="744" t="s">
        <v>542</v>
      </c>
      <c r="P1605" s="745">
        <f t="shared" ref="P1605:P1606" si="4">E1605*2</f>
        <v>22000</v>
      </c>
      <c r="Q1605" s="214"/>
    </row>
    <row r="1606" spans="1:17" ht="12" customHeight="1" x14ac:dyDescent="0.2">
      <c r="A1606" s="735" t="s">
        <v>6532</v>
      </c>
      <c r="B1606" s="735" t="s">
        <v>2170</v>
      </c>
      <c r="C1606" s="735" t="s">
        <v>451</v>
      </c>
      <c r="D1606" s="738" t="s">
        <v>2247</v>
      </c>
      <c r="E1606" s="741">
        <v>11000</v>
      </c>
      <c r="F1606" s="746"/>
      <c r="G1606" s="742" t="s">
        <v>6667</v>
      </c>
      <c r="H1606" s="738" t="s">
        <v>3915</v>
      </c>
      <c r="I1606" s="743" t="s">
        <v>6668</v>
      </c>
      <c r="J1606" s="643" t="s">
        <v>6548</v>
      </c>
      <c r="K1606" s="744" t="s">
        <v>6636</v>
      </c>
      <c r="L1606" s="744" t="s">
        <v>6636</v>
      </c>
      <c r="M1606" s="745">
        <f t="shared" si="2"/>
        <v>0</v>
      </c>
      <c r="N1606" s="744" t="s">
        <v>543</v>
      </c>
      <c r="O1606" s="744" t="s">
        <v>542</v>
      </c>
      <c r="P1606" s="745">
        <f t="shared" si="4"/>
        <v>22000</v>
      </c>
      <c r="Q1606" s="214"/>
    </row>
    <row r="1607" spans="1:17" ht="12" customHeight="1" x14ac:dyDescent="0.2">
      <c r="A1607" s="735" t="s">
        <v>6532</v>
      </c>
      <c r="B1607" s="735" t="s">
        <v>2170</v>
      </c>
      <c r="C1607" s="735" t="s">
        <v>451</v>
      </c>
      <c r="D1607" s="644" t="s">
        <v>6669</v>
      </c>
      <c r="E1607" s="741">
        <v>9000</v>
      </c>
      <c r="F1607" s="747"/>
      <c r="G1607" s="738" t="s">
        <v>6670</v>
      </c>
      <c r="H1607" s="748"/>
      <c r="I1607" s="749"/>
      <c r="J1607" s="748"/>
      <c r="K1607" s="739"/>
      <c r="L1607" s="744" t="s">
        <v>6636</v>
      </c>
      <c r="M1607" s="745">
        <f t="shared" si="2"/>
        <v>0</v>
      </c>
      <c r="N1607" s="744" t="s">
        <v>542</v>
      </c>
      <c r="O1607" s="744" t="s">
        <v>6600</v>
      </c>
      <c r="P1607" s="745">
        <f t="shared" ref="P1607:P1608" si="5">E1607*6</f>
        <v>54000</v>
      </c>
      <c r="Q1607" s="214"/>
    </row>
    <row r="1608" spans="1:17" ht="12" customHeight="1" x14ac:dyDescent="0.2">
      <c r="A1608" s="735" t="s">
        <v>6532</v>
      </c>
      <c r="B1608" s="735" t="s">
        <v>2170</v>
      </c>
      <c r="C1608" s="735" t="s">
        <v>451</v>
      </c>
      <c r="D1608" s="644" t="s">
        <v>6671</v>
      </c>
      <c r="E1608" s="741">
        <v>9000</v>
      </c>
      <c r="F1608" s="747"/>
      <c r="G1608" s="738" t="s">
        <v>6672</v>
      </c>
      <c r="H1608" s="748"/>
      <c r="I1608" s="749"/>
      <c r="J1608" s="748"/>
      <c r="K1608" s="739"/>
      <c r="L1608" s="744" t="s">
        <v>6636</v>
      </c>
      <c r="M1608" s="745">
        <f t="shared" si="2"/>
        <v>0</v>
      </c>
      <c r="N1608" s="744" t="s">
        <v>542</v>
      </c>
      <c r="O1608" s="744" t="s">
        <v>6600</v>
      </c>
      <c r="P1608" s="745">
        <f t="shared" si="5"/>
        <v>54000</v>
      </c>
      <c r="Q1608" s="214"/>
    </row>
    <row r="1609" spans="1:17" ht="12" customHeight="1" x14ac:dyDescent="0.2">
      <c r="A1609" s="735" t="s">
        <v>6532</v>
      </c>
      <c r="B1609" s="735" t="s">
        <v>2170</v>
      </c>
      <c r="C1609" s="735" t="s">
        <v>451</v>
      </c>
      <c r="D1609" s="738" t="s">
        <v>6673</v>
      </c>
      <c r="E1609" s="741">
        <v>11000</v>
      </c>
      <c r="F1609" s="746"/>
      <c r="G1609" s="738" t="s">
        <v>6672</v>
      </c>
      <c r="H1609" s="750"/>
      <c r="I1609" s="749"/>
      <c r="J1609" s="748"/>
      <c r="K1609" s="744" t="s">
        <v>6597</v>
      </c>
      <c r="L1609" s="744" t="s">
        <v>6645</v>
      </c>
      <c r="M1609" s="745">
        <f t="shared" si="2"/>
        <v>88000</v>
      </c>
      <c r="N1609" s="744" t="s">
        <v>541</v>
      </c>
      <c r="O1609" s="744" t="s">
        <v>6645</v>
      </c>
      <c r="P1609" s="745">
        <f>E1609*8</f>
        <v>88000</v>
      </c>
      <c r="Q1609" s="214"/>
    </row>
    <row r="1610" spans="1:17" ht="12" customHeight="1" x14ac:dyDescent="0.2">
      <c r="A1610" s="735" t="s">
        <v>6532</v>
      </c>
      <c r="B1610" s="735" t="s">
        <v>2170</v>
      </c>
      <c r="C1610" s="735" t="s">
        <v>451</v>
      </c>
      <c r="D1610" s="738" t="s">
        <v>6627</v>
      </c>
      <c r="E1610" s="741">
        <v>9000</v>
      </c>
      <c r="F1610" s="746"/>
      <c r="G1610" s="738" t="s">
        <v>6672</v>
      </c>
      <c r="H1610" s="750"/>
      <c r="I1610" s="749"/>
      <c r="J1610" s="748"/>
      <c r="K1610" s="739"/>
      <c r="L1610" s="744" t="s">
        <v>6636</v>
      </c>
      <c r="M1610" s="745">
        <f t="shared" si="2"/>
        <v>0</v>
      </c>
      <c r="N1610" s="744" t="s">
        <v>542</v>
      </c>
      <c r="O1610" s="744" t="s">
        <v>6600</v>
      </c>
      <c r="P1610" s="745">
        <f t="shared" ref="P1610:P1613" si="6">E1610*6</f>
        <v>54000</v>
      </c>
      <c r="Q1610" s="214"/>
    </row>
    <row r="1611" spans="1:17" ht="12" customHeight="1" x14ac:dyDescent="0.2">
      <c r="A1611" s="735" t="s">
        <v>6532</v>
      </c>
      <c r="B1611" s="735" t="s">
        <v>2170</v>
      </c>
      <c r="C1611" s="735" t="s">
        <v>451</v>
      </c>
      <c r="D1611" s="644" t="s">
        <v>6674</v>
      </c>
      <c r="E1611" s="741">
        <v>7000</v>
      </c>
      <c r="F1611" s="747"/>
      <c r="G1611" s="738" t="s">
        <v>6672</v>
      </c>
      <c r="H1611" s="748"/>
      <c r="I1611" s="749"/>
      <c r="J1611" s="748"/>
      <c r="K1611" s="739"/>
      <c r="L1611" s="744" t="s">
        <v>6636</v>
      </c>
      <c r="M1611" s="745">
        <f t="shared" si="2"/>
        <v>0</v>
      </c>
      <c r="N1611" s="744" t="s">
        <v>542</v>
      </c>
      <c r="O1611" s="744" t="s">
        <v>6600</v>
      </c>
      <c r="P1611" s="745">
        <f t="shared" si="6"/>
        <v>42000</v>
      </c>
      <c r="Q1611" s="214"/>
    </row>
    <row r="1612" spans="1:17" ht="12" customHeight="1" x14ac:dyDescent="0.2">
      <c r="A1612" s="735" t="s">
        <v>6532</v>
      </c>
      <c r="B1612" s="735" t="s">
        <v>2170</v>
      </c>
      <c r="C1612" s="735" t="s">
        <v>451</v>
      </c>
      <c r="D1612" s="644" t="s">
        <v>2255</v>
      </c>
      <c r="E1612" s="741">
        <v>9000</v>
      </c>
      <c r="F1612" s="747"/>
      <c r="G1612" s="738" t="s">
        <v>6672</v>
      </c>
      <c r="H1612" s="748"/>
      <c r="I1612" s="749"/>
      <c r="J1612" s="748"/>
      <c r="K1612" s="739"/>
      <c r="L1612" s="744" t="s">
        <v>6636</v>
      </c>
      <c r="M1612" s="745">
        <f t="shared" si="2"/>
        <v>0</v>
      </c>
      <c r="N1612" s="744" t="s">
        <v>542</v>
      </c>
      <c r="O1612" s="744" t="s">
        <v>6600</v>
      </c>
      <c r="P1612" s="745">
        <f t="shared" si="6"/>
        <v>54000</v>
      </c>
      <c r="Q1612" s="214"/>
    </row>
    <row r="1613" spans="1:17" ht="12" customHeight="1" x14ac:dyDescent="0.2">
      <c r="A1613" s="735" t="s">
        <v>6532</v>
      </c>
      <c r="B1613" s="735" t="s">
        <v>2170</v>
      </c>
      <c r="C1613" s="735" t="s">
        <v>451</v>
      </c>
      <c r="D1613" s="644" t="s">
        <v>6675</v>
      </c>
      <c r="E1613" s="741">
        <v>12000</v>
      </c>
      <c r="F1613" s="747"/>
      <c r="G1613" s="738" t="s">
        <v>6672</v>
      </c>
      <c r="H1613" s="748"/>
      <c r="I1613" s="749"/>
      <c r="J1613" s="748"/>
      <c r="K1613" s="739"/>
      <c r="L1613" s="744" t="s">
        <v>6636</v>
      </c>
      <c r="M1613" s="745">
        <f t="shared" si="2"/>
        <v>0</v>
      </c>
      <c r="N1613" s="744" t="s">
        <v>542</v>
      </c>
      <c r="O1613" s="744" t="s">
        <v>6600</v>
      </c>
      <c r="P1613" s="745">
        <f t="shared" si="6"/>
        <v>72000</v>
      </c>
      <c r="Q1613" s="214"/>
    </row>
    <row r="1614" spans="1:17" ht="12" customHeight="1" x14ac:dyDescent="0.2">
      <c r="A1614" s="735" t="s">
        <v>6676</v>
      </c>
      <c r="B1614" s="735" t="s">
        <v>2170</v>
      </c>
      <c r="C1614" s="638" t="s">
        <v>451</v>
      </c>
      <c r="D1614" s="644" t="s">
        <v>2261</v>
      </c>
      <c r="E1614" s="751">
        <v>4500</v>
      </c>
      <c r="F1614" s="638" t="s">
        <v>6677</v>
      </c>
      <c r="G1614" s="636" t="s">
        <v>6678</v>
      </c>
      <c r="H1614" s="636" t="s">
        <v>2346</v>
      </c>
      <c r="I1614" s="636" t="s">
        <v>6679</v>
      </c>
      <c r="J1614" s="644" t="s">
        <v>6680</v>
      </c>
      <c r="K1614" s="739"/>
      <c r="L1614" s="638">
        <v>12</v>
      </c>
      <c r="M1614" s="638">
        <v>54000</v>
      </c>
      <c r="N1614" s="752"/>
      <c r="O1614" s="638">
        <v>6</v>
      </c>
      <c r="P1614" s="638">
        <v>27000</v>
      </c>
      <c r="Q1614" s="214"/>
    </row>
    <row r="1615" spans="1:17" ht="12" customHeight="1" x14ac:dyDescent="0.2">
      <c r="A1615" s="735" t="s">
        <v>6676</v>
      </c>
      <c r="B1615" s="735" t="s">
        <v>2170</v>
      </c>
      <c r="C1615" s="638" t="s">
        <v>451</v>
      </c>
      <c r="D1615" s="644" t="s">
        <v>6681</v>
      </c>
      <c r="E1615" s="751">
        <v>9000</v>
      </c>
      <c r="F1615" s="638" t="s">
        <v>6682</v>
      </c>
      <c r="G1615" s="636" t="s">
        <v>6683</v>
      </c>
      <c r="H1615" s="636" t="s">
        <v>6684</v>
      </c>
      <c r="I1615" s="636" t="s">
        <v>6685</v>
      </c>
      <c r="J1615" s="644" t="s">
        <v>6686</v>
      </c>
      <c r="K1615" s="739"/>
      <c r="L1615" s="638">
        <v>12</v>
      </c>
      <c r="M1615" s="638">
        <v>108000</v>
      </c>
      <c r="N1615" s="752"/>
      <c r="O1615" s="638">
        <v>6</v>
      </c>
      <c r="P1615" s="638">
        <v>54000</v>
      </c>
      <c r="Q1615" s="214"/>
    </row>
    <row r="1616" spans="1:17" ht="12" customHeight="1" x14ac:dyDescent="0.2">
      <c r="A1616" s="735" t="s">
        <v>6676</v>
      </c>
      <c r="B1616" s="735" t="s">
        <v>2170</v>
      </c>
      <c r="C1616" s="638" t="s">
        <v>451</v>
      </c>
      <c r="D1616" s="644" t="s">
        <v>2258</v>
      </c>
      <c r="E1616" s="751">
        <v>9000</v>
      </c>
      <c r="F1616" s="638" t="s">
        <v>6687</v>
      </c>
      <c r="G1616" s="636" t="s">
        <v>6688</v>
      </c>
      <c r="H1616" s="636" t="s">
        <v>6689</v>
      </c>
      <c r="I1616" s="636" t="s">
        <v>6685</v>
      </c>
      <c r="J1616" s="644" t="s">
        <v>6686</v>
      </c>
      <c r="K1616" s="739"/>
      <c r="L1616" s="638">
        <v>3</v>
      </c>
      <c r="M1616" s="638">
        <v>27000</v>
      </c>
      <c r="N1616" s="752"/>
      <c r="O1616" s="638"/>
      <c r="P1616" s="638"/>
      <c r="Q1616" s="214"/>
    </row>
    <row r="1617" spans="1:17" ht="12" customHeight="1" x14ac:dyDescent="0.2">
      <c r="A1617" s="735" t="s">
        <v>6676</v>
      </c>
      <c r="B1617" s="735" t="s">
        <v>2170</v>
      </c>
      <c r="C1617" s="638" t="s">
        <v>451</v>
      </c>
      <c r="D1617" s="644" t="s">
        <v>6690</v>
      </c>
      <c r="E1617" s="751">
        <v>8500</v>
      </c>
      <c r="F1617" s="638" t="s">
        <v>6691</v>
      </c>
      <c r="G1617" s="636" t="s">
        <v>6692</v>
      </c>
      <c r="H1617" s="636" t="s">
        <v>2189</v>
      </c>
      <c r="I1617" s="636" t="s">
        <v>6685</v>
      </c>
      <c r="J1617" s="644" t="s">
        <v>6686</v>
      </c>
      <c r="K1617" s="739"/>
      <c r="L1617" s="638">
        <v>12</v>
      </c>
      <c r="M1617" s="638">
        <v>102000</v>
      </c>
      <c r="N1617" s="752"/>
      <c r="O1617" s="638">
        <v>6</v>
      </c>
      <c r="P1617" s="638">
        <v>51000</v>
      </c>
      <c r="Q1617" s="214"/>
    </row>
    <row r="1618" spans="1:17" ht="12" customHeight="1" x14ac:dyDescent="0.2">
      <c r="A1618" s="735" t="s">
        <v>6676</v>
      </c>
      <c r="B1618" s="735" t="s">
        <v>2170</v>
      </c>
      <c r="C1618" s="638" t="s">
        <v>451</v>
      </c>
      <c r="D1618" s="644" t="s">
        <v>6693</v>
      </c>
      <c r="E1618" s="751">
        <v>5000</v>
      </c>
      <c r="F1618" s="638" t="s">
        <v>6694</v>
      </c>
      <c r="G1618" s="636" t="s">
        <v>6695</v>
      </c>
      <c r="H1618" s="636" t="s">
        <v>6684</v>
      </c>
      <c r="I1618" s="636" t="s">
        <v>6685</v>
      </c>
      <c r="J1618" s="644" t="s">
        <v>6686</v>
      </c>
      <c r="K1618" s="739"/>
      <c r="L1618" s="638">
        <v>12</v>
      </c>
      <c r="M1618" s="638">
        <v>60000</v>
      </c>
      <c r="N1618" s="752"/>
      <c r="O1618" s="638">
        <v>6</v>
      </c>
      <c r="P1618" s="638">
        <v>30000</v>
      </c>
      <c r="Q1618" s="214"/>
    </row>
    <row r="1619" spans="1:17" ht="12" customHeight="1" x14ac:dyDescent="0.2">
      <c r="A1619" s="735" t="s">
        <v>6676</v>
      </c>
      <c r="B1619" s="735" t="s">
        <v>2170</v>
      </c>
      <c r="C1619" s="638" t="s">
        <v>451</v>
      </c>
      <c r="D1619" s="644" t="s">
        <v>6696</v>
      </c>
      <c r="E1619" s="751">
        <v>9000</v>
      </c>
      <c r="F1619" s="638" t="s">
        <v>6697</v>
      </c>
      <c r="G1619" s="644" t="s">
        <v>6698</v>
      </c>
      <c r="H1619" s="636" t="s">
        <v>6699</v>
      </c>
      <c r="I1619" s="636" t="s">
        <v>6685</v>
      </c>
      <c r="J1619" s="644" t="s">
        <v>6686</v>
      </c>
      <c r="K1619" s="739"/>
      <c r="L1619" s="638"/>
      <c r="M1619" s="638"/>
      <c r="N1619" s="752"/>
      <c r="O1619" s="638">
        <v>6</v>
      </c>
      <c r="P1619" s="638">
        <v>54000</v>
      </c>
      <c r="Q1619" s="214"/>
    </row>
    <row r="1620" spans="1:17" ht="12" customHeight="1" x14ac:dyDescent="0.2">
      <c r="A1620" s="735" t="s">
        <v>6676</v>
      </c>
      <c r="B1620" s="735" t="s">
        <v>2170</v>
      </c>
      <c r="C1620" s="638" t="s">
        <v>451</v>
      </c>
      <c r="D1620" s="644" t="s">
        <v>6700</v>
      </c>
      <c r="E1620" s="751">
        <v>3500</v>
      </c>
      <c r="F1620" s="638" t="s">
        <v>6701</v>
      </c>
      <c r="G1620" s="636" t="s">
        <v>6702</v>
      </c>
      <c r="H1620" s="636" t="s">
        <v>6703</v>
      </c>
      <c r="I1620" s="636" t="s">
        <v>6685</v>
      </c>
      <c r="J1620" s="644" t="s">
        <v>6686</v>
      </c>
      <c r="K1620" s="739"/>
      <c r="L1620" s="638">
        <v>12</v>
      </c>
      <c r="M1620" s="638">
        <v>42000</v>
      </c>
      <c r="N1620" s="752"/>
      <c r="O1620" s="638">
        <v>6</v>
      </c>
      <c r="P1620" s="638">
        <v>21000</v>
      </c>
      <c r="Q1620" s="214"/>
    </row>
    <row r="1621" spans="1:17" ht="12" customHeight="1" x14ac:dyDescent="0.2">
      <c r="A1621" s="735" t="s">
        <v>6676</v>
      </c>
      <c r="B1621" s="735" t="s">
        <v>2170</v>
      </c>
      <c r="C1621" s="638" t="s">
        <v>451</v>
      </c>
      <c r="D1621" s="644" t="s">
        <v>6704</v>
      </c>
      <c r="E1621" s="751">
        <v>14000</v>
      </c>
      <c r="F1621" s="638" t="s">
        <v>6705</v>
      </c>
      <c r="G1621" s="636" t="s">
        <v>6706</v>
      </c>
      <c r="H1621" s="636" t="s">
        <v>6707</v>
      </c>
      <c r="I1621" s="636" t="s">
        <v>6685</v>
      </c>
      <c r="J1621" s="644" t="s">
        <v>6686</v>
      </c>
      <c r="K1621" s="739"/>
      <c r="L1621" s="638">
        <v>12</v>
      </c>
      <c r="M1621" s="638">
        <v>168000</v>
      </c>
      <c r="N1621" s="752"/>
      <c r="O1621" s="638">
        <v>12</v>
      </c>
      <c r="P1621" s="638">
        <v>168000</v>
      </c>
      <c r="Q1621" s="214"/>
    </row>
    <row r="1622" spans="1:17" ht="12" customHeight="1" x14ac:dyDescent="0.2">
      <c r="A1622" s="735" t="s">
        <v>6676</v>
      </c>
      <c r="B1622" s="735" t="s">
        <v>2170</v>
      </c>
      <c r="C1622" s="638" t="s">
        <v>451</v>
      </c>
      <c r="D1622" s="644" t="s">
        <v>6700</v>
      </c>
      <c r="E1622" s="751">
        <v>3500</v>
      </c>
      <c r="F1622" s="638" t="s">
        <v>6708</v>
      </c>
      <c r="G1622" s="644" t="s">
        <v>6709</v>
      </c>
      <c r="H1622" s="636" t="s">
        <v>6536</v>
      </c>
      <c r="I1622" s="636" t="s">
        <v>6548</v>
      </c>
      <c r="J1622" s="644" t="s">
        <v>6686</v>
      </c>
      <c r="K1622" s="739"/>
      <c r="L1622" s="638"/>
      <c r="M1622" s="638"/>
      <c r="N1622" s="752"/>
      <c r="O1622" s="638">
        <v>6</v>
      </c>
      <c r="P1622" s="638">
        <v>21000</v>
      </c>
      <c r="Q1622" s="214"/>
    </row>
    <row r="1623" spans="1:17" ht="12" customHeight="1" x14ac:dyDescent="0.2">
      <c r="A1623" s="735" t="s">
        <v>6676</v>
      </c>
      <c r="B1623" s="735" t="s">
        <v>2170</v>
      </c>
      <c r="C1623" s="638" t="s">
        <v>451</v>
      </c>
      <c r="D1623" s="644" t="s">
        <v>2258</v>
      </c>
      <c r="E1623" s="751">
        <v>8000</v>
      </c>
      <c r="F1623" s="638" t="s">
        <v>6710</v>
      </c>
      <c r="G1623" s="644" t="s">
        <v>6711</v>
      </c>
      <c r="H1623" s="636" t="s">
        <v>2690</v>
      </c>
      <c r="I1623" s="636" t="s">
        <v>6548</v>
      </c>
      <c r="J1623" s="644" t="s">
        <v>6686</v>
      </c>
      <c r="K1623" s="739"/>
      <c r="L1623" s="638"/>
      <c r="M1623" s="638"/>
      <c r="N1623" s="752"/>
      <c r="O1623" s="638">
        <v>6</v>
      </c>
      <c r="P1623" s="638">
        <v>48000</v>
      </c>
      <c r="Q1623" s="214"/>
    </row>
    <row r="1624" spans="1:17" ht="12" customHeight="1" x14ac:dyDescent="0.2">
      <c r="A1624" s="735" t="s">
        <v>6676</v>
      </c>
      <c r="B1624" s="735" t="s">
        <v>2170</v>
      </c>
      <c r="C1624" s="638" t="s">
        <v>451</v>
      </c>
      <c r="D1624" s="644" t="s">
        <v>6712</v>
      </c>
      <c r="E1624" s="751">
        <v>10000</v>
      </c>
      <c r="F1624" s="638" t="s">
        <v>6713</v>
      </c>
      <c r="G1624" s="636" t="s">
        <v>6714</v>
      </c>
      <c r="H1624" s="636" t="s">
        <v>6571</v>
      </c>
      <c r="I1624" s="636" t="s">
        <v>6685</v>
      </c>
      <c r="J1624" s="644" t="s">
        <v>6686</v>
      </c>
      <c r="K1624" s="739"/>
      <c r="L1624" s="638">
        <v>12</v>
      </c>
      <c r="M1624" s="638">
        <v>120000</v>
      </c>
      <c r="N1624" s="752"/>
      <c r="O1624" s="638">
        <v>6</v>
      </c>
      <c r="P1624" s="638">
        <v>60000</v>
      </c>
      <c r="Q1624" s="214"/>
    </row>
    <row r="1625" spans="1:17" ht="12" customHeight="1" x14ac:dyDescent="0.2">
      <c r="A1625" s="735" t="s">
        <v>6676</v>
      </c>
      <c r="B1625" s="735" t="s">
        <v>2170</v>
      </c>
      <c r="C1625" s="638" t="s">
        <v>451</v>
      </c>
      <c r="D1625" s="644" t="s">
        <v>5560</v>
      </c>
      <c r="E1625" s="751">
        <v>9000</v>
      </c>
      <c r="F1625" s="638" t="s">
        <v>6715</v>
      </c>
      <c r="G1625" s="636" t="s">
        <v>6716</v>
      </c>
      <c r="H1625" s="636" t="s">
        <v>6684</v>
      </c>
      <c r="I1625" s="636" t="s">
        <v>6685</v>
      </c>
      <c r="J1625" s="644" t="s">
        <v>6686</v>
      </c>
      <c r="K1625" s="739"/>
      <c r="L1625" s="638">
        <v>12</v>
      </c>
      <c r="M1625" s="638">
        <v>108000</v>
      </c>
      <c r="N1625" s="752"/>
      <c r="O1625" s="638">
        <v>6</v>
      </c>
      <c r="P1625" s="638">
        <v>54000</v>
      </c>
      <c r="Q1625" s="214"/>
    </row>
    <row r="1626" spans="1:17" ht="12" customHeight="1" x14ac:dyDescent="0.2">
      <c r="A1626" s="735" t="s">
        <v>6676</v>
      </c>
      <c r="B1626" s="735" t="s">
        <v>2170</v>
      </c>
      <c r="C1626" s="638" t="s">
        <v>451</v>
      </c>
      <c r="D1626" s="644" t="s">
        <v>6717</v>
      </c>
      <c r="E1626" s="751">
        <v>9000</v>
      </c>
      <c r="F1626" s="638" t="s">
        <v>6718</v>
      </c>
      <c r="G1626" s="636" t="s">
        <v>6719</v>
      </c>
      <c r="H1626" s="636" t="s">
        <v>6684</v>
      </c>
      <c r="I1626" s="636" t="s">
        <v>6685</v>
      </c>
      <c r="J1626" s="644" t="s">
        <v>6686</v>
      </c>
      <c r="K1626" s="739"/>
      <c r="L1626" s="638">
        <v>12</v>
      </c>
      <c r="M1626" s="638">
        <v>108000</v>
      </c>
      <c r="N1626" s="752"/>
      <c r="O1626" s="638">
        <v>6</v>
      </c>
      <c r="P1626" s="638">
        <v>54000</v>
      </c>
      <c r="Q1626" s="214"/>
    </row>
    <row r="1627" spans="1:17" ht="12" customHeight="1" x14ac:dyDescent="0.2">
      <c r="A1627" s="735" t="s">
        <v>6676</v>
      </c>
      <c r="B1627" s="735" t="s">
        <v>2170</v>
      </c>
      <c r="C1627" s="638" t="s">
        <v>451</v>
      </c>
      <c r="D1627" s="644" t="s">
        <v>6720</v>
      </c>
      <c r="E1627" s="751">
        <v>9000</v>
      </c>
      <c r="F1627" s="638" t="s">
        <v>6721</v>
      </c>
      <c r="G1627" s="644" t="s">
        <v>6722</v>
      </c>
      <c r="H1627" s="636" t="s">
        <v>6684</v>
      </c>
      <c r="I1627" s="636" t="s">
        <v>6685</v>
      </c>
      <c r="J1627" s="644" t="s">
        <v>6686</v>
      </c>
      <c r="K1627" s="739"/>
      <c r="L1627" s="638"/>
      <c r="M1627" s="638"/>
      <c r="N1627" s="752"/>
      <c r="O1627" s="638">
        <v>6</v>
      </c>
      <c r="P1627" s="638">
        <v>54000</v>
      </c>
      <c r="Q1627" s="214"/>
    </row>
    <row r="1628" spans="1:17" ht="12" customHeight="1" x14ac:dyDescent="0.2">
      <c r="A1628" s="735" t="s">
        <v>6676</v>
      </c>
      <c r="B1628" s="735" t="s">
        <v>2170</v>
      </c>
      <c r="C1628" s="638" t="s">
        <v>451</v>
      </c>
      <c r="D1628" s="644" t="s">
        <v>6681</v>
      </c>
      <c r="E1628" s="751">
        <v>9000</v>
      </c>
      <c r="F1628" s="638" t="s">
        <v>6723</v>
      </c>
      <c r="G1628" s="636" t="s">
        <v>6724</v>
      </c>
      <c r="H1628" s="636" t="s">
        <v>6684</v>
      </c>
      <c r="I1628" s="636" t="s">
        <v>6685</v>
      </c>
      <c r="J1628" s="644" t="s">
        <v>6686</v>
      </c>
      <c r="K1628" s="739"/>
      <c r="L1628" s="638">
        <v>12</v>
      </c>
      <c r="M1628" s="638">
        <v>108000</v>
      </c>
      <c r="N1628" s="752"/>
      <c r="O1628" s="638">
        <v>6</v>
      </c>
      <c r="P1628" s="638">
        <v>54000</v>
      </c>
      <c r="Q1628" s="214"/>
    </row>
    <row r="1629" spans="1:17" ht="12" customHeight="1" x14ac:dyDescent="0.2">
      <c r="A1629" s="735" t="s">
        <v>6676</v>
      </c>
      <c r="B1629" s="735" t="s">
        <v>2170</v>
      </c>
      <c r="C1629" s="638" t="s">
        <v>451</v>
      </c>
      <c r="D1629" s="644" t="s">
        <v>6725</v>
      </c>
      <c r="E1629" s="751">
        <v>8500</v>
      </c>
      <c r="F1629" s="638" t="s">
        <v>6726</v>
      </c>
      <c r="G1629" s="636" t="s">
        <v>6727</v>
      </c>
      <c r="H1629" s="636" t="s">
        <v>2197</v>
      </c>
      <c r="I1629" s="636" t="s">
        <v>6685</v>
      </c>
      <c r="J1629" s="644" t="s">
        <v>6686</v>
      </c>
      <c r="K1629" s="739"/>
      <c r="L1629" s="638">
        <v>1</v>
      </c>
      <c r="M1629" s="638">
        <v>8500</v>
      </c>
      <c r="N1629" s="752"/>
      <c r="O1629" s="638"/>
      <c r="P1629" s="638"/>
      <c r="Q1629" s="214"/>
    </row>
    <row r="1630" spans="1:17" ht="12" customHeight="1" x14ac:dyDescent="0.2">
      <c r="A1630" s="735" t="s">
        <v>6676</v>
      </c>
      <c r="B1630" s="735" t="s">
        <v>2170</v>
      </c>
      <c r="C1630" s="638" t="s">
        <v>451</v>
      </c>
      <c r="D1630" s="644" t="s">
        <v>6728</v>
      </c>
      <c r="E1630" s="751">
        <v>5500</v>
      </c>
      <c r="F1630" s="638" t="s">
        <v>6729</v>
      </c>
      <c r="G1630" s="636" t="s">
        <v>6730</v>
      </c>
      <c r="H1630" s="636" t="s">
        <v>2384</v>
      </c>
      <c r="I1630" s="636" t="s">
        <v>6685</v>
      </c>
      <c r="J1630" s="644" t="s">
        <v>6686</v>
      </c>
      <c r="K1630" s="739"/>
      <c r="L1630" s="638">
        <v>3</v>
      </c>
      <c r="M1630" s="638">
        <v>16500</v>
      </c>
      <c r="N1630" s="752"/>
      <c r="O1630" s="638"/>
      <c r="P1630" s="638"/>
      <c r="Q1630" s="214"/>
    </row>
    <row r="1631" spans="1:17" ht="12" customHeight="1" x14ac:dyDescent="0.2">
      <c r="A1631" s="735" t="s">
        <v>6676</v>
      </c>
      <c r="B1631" s="735" t="s">
        <v>2170</v>
      </c>
      <c r="C1631" s="638" t="s">
        <v>451</v>
      </c>
      <c r="D1631" s="644" t="s">
        <v>6731</v>
      </c>
      <c r="E1631" s="751">
        <v>8500</v>
      </c>
      <c r="F1631" s="638" t="s">
        <v>6732</v>
      </c>
      <c r="G1631" s="636" t="s">
        <v>6733</v>
      </c>
      <c r="H1631" s="636" t="s">
        <v>6684</v>
      </c>
      <c r="I1631" s="636" t="s">
        <v>6685</v>
      </c>
      <c r="J1631" s="644" t="s">
        <v>6686</v>
      </c>
      <c r="K1631" s="739"/>
      <c r="L1631" s="638">
        <v>3</v>
      </c>
      <c r="M1631" s="638">
        <v>25500</v>
      </c>
      <c r="N1631" s="752"/>
      <c r="O1631" s="638"/>
      <c r="P1631" s="638"/>
      <c r="Q1631" s="214"/>
    </row>
    <row r="1632" spans="1:17" ht="12" customHeight="1" x14ac:dyDescent="0.2">
      <c r="A1632" s="735" t="s">
        <v>6676</v>
      </c>
      <c r="B1632" s="735" t="s">
        <v>2170</v>
      </c>
      <c r="C1632" s="638" t="s">
        <v>451</v>
      </c>
      <c r="D1632" s="644" t="s">
        <v>6734</v>
      </c>
      <c r="E1632" s="751">
        <v>8500</v>
      </c>
      <c r="F1632" s="638" t="s">
        <v>6732</v>
      </c>
      <c r="G1632" s="644" t="s">
        <v>6733</v>
      </c>
      <c r="H1632" s="636" t="s">
        <v>6684</v>
      </c>
      <c r="I1632" s="636" t="s">
        <v>6685</v>
      </c>
      <c r="J1632" s="644" t="s">
        <v>6686</v>
      </c>
      <c r="K1632" s="739"/>
      <c r="L1632" s="638">
        <v>7</v>
      </c>
      <c r="M1632" s="638">
        <v>59500</v>
      </c>
      <c r="N1632" s="752"/>
      <c r="O1632" s="638">
        <v>6</v>
      </c>
      <c r="P1632" s="638">
        <v>51000</v>
      </c>
      <c r="Q1632" s="214"/>
    </row>
    <row r="1633" spans="1:17" ht="12" customHeight="1" x14ac:dyDescent="0.2">
      <c r="A1633" s="735" t="s">
        <v>6676</v>
      </c>
      <c r="B1633" s="735" t="s">
        <v>2170</v>
      </c>
      <c r="C1633" s="638" t="s">
        <v>451</v>
      </c>
      <c r="D1633" s="644" t="s">
        <v>6735</v>
      </c>
      <c r="E1633" s="751">
        <v>3500</v>
      </c>
      <c r="F1633" s="638" t="s">
        <v>6736</v>
      </c>
      <c r="G1633" s="636" t="s">
        <v>6737</v>
      </c>
      <c r="H1633" s="636" t="s">
        <v>6684</v>
      </c>
      <c r="I1633" s="636" t="s">
        <v>6685</v>
      </c>
      <c r="J1633" s="644" t="s">
        <v>6686</v>
      </c>
      <c r="K1633" s="739"/>
      <c r="L1633" s="638">
        <v>12</v>
      </c>
      <c r="M1633" s="638">
        <v>42000</v>
      </c>
      <c r="N1633" s="752"/>
      <c r="O1633" s="638">
        <v>6</v>
      </c>
      <c r="P1633" s="638">
        <v>21000</v>
      </c>
      <c r="Q1633" s="214"/>
    </row>
    <row r="1634" spans="1:17" ht="12" customHeight="1" x14ac:dyDescent="0.2">
      <c r="A1634" s="735" t="s">
        <v>6676</v>
      </c>
      <c r="B1634" s="735" t="s">
        <v>2170</v>
      </c>
      <c r="C1634" s="638" t="s">
        <v>451</v>
      </c>
      <c r="D1634" s="644" t="s">
        <v>6681</v>
      </c>
      <c r="E1634" s="751">
        <v>9000</v>
      </c>
      <c r="F1634" s="638" t="s">
        <v>6738</v>
      </c>
      <c r="G1634" s="636" t="s">
        <v>6739</v>
      </c>
      <c r="H1634" s="636" t="s">
        <v>6684</v>
      </c>
      <c r="I1634" s="636" t="s">
        <v>6685</v>
      </c>
      <c r="J1634" s="644" t="s">
        <v>6686</v>
      </c>
      <c r="K1634" s="739"/>
      <c r="L1634" s="638">
        <v>2</v>
      </c>
      <c r="M1634" s="638">
        <v>18000</v>
      </c>
      <c r="N1634" s="752"/>
      <c r="O1634" s="638"/>
      <c r="P1634" s="638"/>
      <c r="Q1634" s="214"/>
    </row>
    <row r="1635" spans="1:17" ht="12" customHeight="1" x14ac:dyDescent="0.2">
      <c r="A1635" s="735" t="s">
        <v>6676</v>
      </c>
      <c r="B1635" s="735" t="s">
        <v>2170</v>
      </c>
      <c r="C1635" s="638" t="s">
        <v>451</v>
      </c>
      <c r="D1635" s="644" t="s">
        <v>6696</v>
      </c>
      <c r="E1635" s="751">
        <v>9000</v>
      </c>
      <c r="F1635" s="638" t="s">
        <v>6738</v>
      </c>
      <c r="G1635" s="644" t="s">
        <v>6739</v>
      </c>
      <c r="H1635" s="636" t="s">
        <v>6684</v>
      </c>
      <c r="I1635" s="636" t="s">
        <v>6685</v>
      </c>
      <c r="J1635" s="644" t="s">
        <v>6686</v>
      </c>
      <c r="K1635" s="739"/>
      <c r="L1635" s="638"/>
      <c r="M1635" s="638"/>
      <c r="N1635" s="752"/>
      <c r="O1635" s="638">
        <v>6</v>
      </c>
      <c r="P1635" s="638">
        <v>54000</v>
      </c>
      <c r="Q1635" s="214"/>
    </row>
    <row r="1636" spans="1:17" ht="12" customHeight="1" x14ac:dyDescent="0.2">
      <c r="A1636" s="735" t="s">
        <v>6676</v>
      </c>
      <c r="B1636" s="735" t="s">
        <v>2170</v>
      </c>
      <c r="C1636" s="638" t="s">
        <v>451</v>
      </c>
      <c r="D1636" s="644" t="s">
        <v>6735</v>
      </c>
      <c r="E1636" s="751">
        <v>3500</v>
      </c>
      <c r="F1636" s="638" t="s">
        <v>6740</v>
      </c>
      <c r="G1636" s="636" t="s">
        <v>6741</v>
      </c>
      <c r="H1636" s="636" t="s">
        <v>6684</v>
      </c>
      <c r="I1636" s="636" t="s">
        <v>6685</v>
      </c>
      <c r="J1636" s="644" t="s">
        <v>6686</v>
      </c>
      <c r="K1636" s="739"/>
      <c r="L1636" s="638">
        <v>7</v>
      </c>
      <c r="M1636" s="638">
        <v>24500</v>
      </c>
      <c r="N1636" s="752"/>
      <c r="O1636" s="638"/>
      <c r="P1636" s="638"/>
      <c r="Q1636" s="214"/>
    </row>
    <row r="1637" spans="1:17" ht="12" customHeight="1" x14ac:dyDescent="0.2">
      <c r="A1637" s="735" t="s">
        <v>6676</v>
      </c>
      <c r="B1637" s="735" t="s">
        <v>2170</v>
      </c>
      <c r="C1637" s="638" t="s">
        <v>451</v>
      </c>
      <c r="D1637" s="644" t="s">
        <v>6742</v>
      </c>
      <c r="E1637" s="751">
        <v>9000</v>
      </c>
      <c r="F1637" s="638" t="s">
        <v>6743</v>
      </c>
      <c r="G1637" s="644" t="s">
        <v>6744</v>
      </c>
      <c r="H1637" s="636" t="s">
        <v>6745</v>
      </c>
      <c r="I1637" s="636" t="s">
        <v>6685</v>
      </c>
      <c r="J1637" s="644" t="s">
        <v>6686</v>
      </c>
      <c r="K1637" s="739"/>
      <c r="L1637" s="638"/>
      <c r="M1637" s="638"/>
      <c r="N1637" s="752"/>
      <c r="O1637" s="638">
        <v>6</v>
      </c>
      <c r="P1637" s="638">
        <v>54000</v>
      </c>
      <c r="Q1637" s="214"/>
    </row>
    <row r="1638" spans="1:17" ht="12" customHeight="1" x14ac:dyDescent="0.2">
      <c r="A1638" s="735" t="s">
        <v>6676</v>
      </c>
      <c r="B1638" s="735" t="s">
        <v>2170</v>
      </c>
      <c r="C1638" s="638" t="s">
        <v>451</v>
      </c>
      <c r="D1638" s="644" t="s">
        <v>6746</v>
      </c>
      <c r="E1638" s="751">
        <v>8000</v>
      </c>
      <c r="F1638" s="638" t="s">
        <v>6747</v>
      </c>
      <c r="G1638" s="644" t="s">
        <v>6748</v>
      </c>
      <c r="H1638" s="636" t="s">
        <v>6745</v>
      </c>
      <c r="I1638" s="636" t="s">
        <v>6685</v>
      </c>
      <c r="J1638" s="644" t="s">
        <v>6686</v>
      </c>
      <c r="K1638" s="739"/>
      <c r="L1638" s="638"/>
      <c r="M1638" s="638"/>
      <c r="N1638" s="752"/>
      <c r="O1638" s="638">
        <v>6</v>
      </c>
      <c r="P1638" s="638">
        <v>48000</v>
      </c>
      <c r="Q1638" s="214"/>
    </row>
    <row r="1639" spans="1:17" ht="12" customHeight="1" x14ac:dyDescent="0.2">
      <c r="A1639" s="735" t="s">
        <v>6676</v>
      </c>
      <c r="B1639" s="735" t="s">
        <v>2170</v>
      </c>
      <c r="C1639" s="638" t="s">
        <v>451</v>
      </c>
      <c r="D1639" s="644" t="s">
        <v>6749</v>
      </c>
      <c r="E1639" s="751">
        <v>6000</v>
      </c>
      <c r="F1639" s="638" t="s">
        <v>6750</v>
      </c>
      <c r="G1639" s="636" t="s">
        <v>6751</v>
      </c>
      <c r="H1639" s="636" t="s">
        <v>2690</v>
      </c>
      <c r="I1639" s="636" t="s">
        <v>6685</v>
      </c>
      <c r="J1639" s="644" t="s">
        <v>6686</v>
      </c>
      <c r="K1639" s="739"/>
      <c r="L1639" s="638">
        <v>12</v>
      </c>
      <c r="M1639" s="638">
        <v>72000</v>
      </c>
      <c r="N1639" s="752"/>
      <c r="O1639" s="638">
        <v>6</v>
      </c>
      <c r="P1639" s="638">
        <v>36000</v>
      </c>
      <c r="Q1639" s="214"/>
    </row>
    <row r="1640" spans="1:17" ht="12" customHeight="1" x14ac:dyDescent="0.2">
      <c r="A1640" s="735" t="s">
        <v>6676</v>
      </c>
      <c r="B1640" s="735" t="s">
        <v>2170</v>
      </c>
      <c r="C1640" s="638" t="s">
        <v>451</v>
      </c>
      <c r="D1640" s="644" t="s">
        <v>6752</v>
      </c>
      <c r="E1640" s="751">
        <v>3500</v>
      </c>
      <c r="F1640" s="638" t="s">
        <v>6753</v>
      </c>
      <c r="G1640" s="644" t="s">
        <v>6754</v>
      </c>
      <c r="H1640" s="636" t="s">
        <v>6608</v>
      </c>
      <c r="I1640" s="636" t="s">
        <v>6685</v>
      </c>
      <c r="J1640" s="644" t="s">
        <v>6686</v>
      </c>
      <c r="K1640" s="739"/>
      <c r="L1640" s="638"/>
      <c r="M1640" s="638"/>
      <c r="N1640" s="752"/>
      <c r="O1640" s="638">
        <v>6</v>
      </c>
      <c r="P1640" s="638">
        <v>21000</v>
      </c>
      <c r="Q1640" s="214"/>
    </row>
    <row r="1641" spans="1:17" ht="12" customHeight="1" x14ac:dyDescent="0.2">
      <c r="A1641" s="735" t="s">
        <v>6676</v>
      </c>
      <c r="B1641" s="735" t="s">
        <v>2170</v>
      </c>
      <c r="C1641" s="638" t="s">
        <v>451</v>
      </c>
      <c r="D1641" s="644" t="s">
        <v>3444</v>
      </c>
      <c r="E1641" s="751">
        <v>3500</v>
      </c>
      <c r="F1641" s="638" t="s">
        <v>6755</v>
      </c>
      <c r="G1641" s="644" t="s">
        <v>6756</v>
      </c>
      <c r="H1641" s="636" t="s">
        <v>6536</v>
      </c>
      <c r="I1641" s="636" t="s">
        <v>6548</v>
      </c>
      <c r="J1641" s="644" t="s">
        <v>6686</v>
      </c>
      <c r="K1641" s="739"/>
      <c r="L1641" s="638"/>
      <c r="M1641" s="638"/>
      <c r="N1641" s="752"/>
      <c r="O1641" s="638">
        <v>6</v>
      </c>
      <c r="P1641" s="638">
        <v>21000</v>
      </c>
      <c r="Q1641" s="214"/>
    </row>
    <row r="1642" spans="1:17" ht="12" customHeight="1" x14ac:dyDescent="0.2">
      <c r="A1642" s="735" t="s">
        <v>6676</v>
      </c>
      <c r="B1642" s="735" t="s">
        <v>2170</v>
      </c>
      <c r="C1642" s="638" t="s">
        <v>451</v>
      </c>
      <c r="D1642" s="644" t="s">
        <v>6757</v>
      </c>
      <c r="E1642" s="751">
        <v>9500</v>
      </c>
      <c r="F1642" s="638" t="s">
        <v>6758</v>
      </c>
      <c r="G1642" s="636" t="s">
        <v>6759</v>
      </c>
      <c r="H1642" s="636" t="s">
        <v>2189</v>
      </c>
      <c r="I1642" s="636" t="s">
        <v>6685</v>
      </c>
      <c r="J1642" s="644" t="s">
        <v>6686</v>
      </c>
      <c r="K1642" s="739"/>
      <c r="L1642" s="638">
        <v>12</v>
      </c>
      <c r="M1642" s="638">
        <v>114000</v>
      </c>
      <c r="N1642" s="752"/>
      <c r="O1642" s="638">
        <v>6</v>
      </c>
      <c r="P1642" s="638">
        <v>57000</v>
      </c>
      <c r="Q1642" s="214"/>
    </row>
    <row r="1643" spans="1:17" ht="12" customHeight="1" x14ac:dyDescent="0.2">
      <c r="A1643" s="735" t="s">
        <v>6676</v>
      </c>
      <c r="B1643" s="735" t="s">
        <v>2170</v>
      </c>
      <c r="C1643" s="638" t="s">
        <v>451</v>
      </c>
      <c r="D1643" s="644" t="s">
        <v>6717</v>
      </c>
      <c r="E1643" s="751">
        <v>9000</v>
      </c>
      <c r="F1643" s="638" t="s">
        <v>6760</v>
      </c>
      <c r="G1643" s="636" t="s">
        <v>6761</v>
      </c>
      <c r="H1643" s="636" t="s">
        <v>6684</v>
      </c>
      <c r="I1643" s="636" t="s">
        <v>6685</v>
      </c>
      <c r="J1643" s="644" t="s">
        <v>6686</v>
      </c>
      <c r="K1643" s="739"/>
      <c r="L1643" s="638">
        <v>12</v>
      </c>
      <c r="M1643" s="638">
        <v>108000</v>
      </c>
      <c r="N1643" s="752"/>
      <c r="O1643" s="638">
        <v>6</v>
      </c>
      <c r="P1643" s="638">
        <v>54000</v>
      </c>
      <c r="Q1643" s="214"/>
    </row>
    <row r="1644" spans="1:17" ht="12" customHeight="1" x14ac:dyDescent="0.2">
      <c r="A1644" s="735" t="s">
        <v>6676</v>
      </c>
      <c r="B1644" s="735" t="s">
        <v>2170</v>
      </c>
      <c r="C1644" s="638" t="s">
        <v>451</v>
      </c>
      <c r="D1644" s="644" t="s">
        <v>6762</v>
      </c>
      <c r="E1644" s="751">
        <v>10000</v>
      </c>
      <c r="F1644" s="638" t="s">
        <v>6763</v>
      </c>
      <c r="G1644" s="636" t="s">
        <v>6764</v>
      </c>
      <c r="H1644" s="636" t="s">
        <v>6765</v>
      </c>
      <c r="I1644" s="636" t="s">
        <v>6685</v>
      </c>
      <c r="J1644" s="644" t="s">
        <v>6686</v>
      </c>
      <c r="K1644" s="739"/>
      <c r="L1644" s="638">
        <v>3</v>
      </c>
      <c r="M1644" s="638">
        <v>30000</v>
      </c>
      <c r="N1644" s="752"/>
      <c r="O1644" s="638"/>
      <c r="P1644" s="638"/>
      <c r="Q1644" s="214"/>
    </row>
    <row r="1645" spans="1:17" ht="12" customHeight="1" x14ac:dyDescent="0.2">
      <c r="A1645" s="735" t="s">
        <v>6676</v>
      </c>
      <c r="B1645" s="735" t="s">
        <v>2170</v>
      </c>
      <c r="C1645" s="638" t="s">
        <v>451</v>
      </c>
      <c r="D1645" s="644" t="s">
        <v>6735</v>
      </c>
      <c r="E1645" s="751">
        <v>3500</v>
      </c>
      <c r="F1645" s="638" t="s">
        <v>6766</v>
      </c>
      <c r="G1645" s="636" t="s">
        <v>6767</v>
      </c>
      <c r="H1645" s="636" t="s">
        <v>6684</v>
      </c>
      <c r="I1645" s="636" t="s">
        <v>6685</v>
      </c>
      <c r="J1645" s="644" t="s">
        <v>6686</v>
      </c>
      <c r="K1645" s="739"/>
      <c r="L1645" s="638">
        <v>12</v>
      </c>
      <c r="M1645" s="638">
        <v>42000</v>
      </c>
      <c r="N1645" s="752"/>
      <c r="O1645" s="638">
        <v>6</v>
      </c>
      <c r="P1645" s="638">
        <v>21000</v>
      </c>
      <c r="Q1645" s="214"/>
    </row>
    <row r="1646" spans="1:17" ht="12" customHeight="1" x14ac:dyDescent="0.2">
      <c r="A1646" s="735" t="s">
        <v>6676</v>
      </c>
      <c r="B1646" s="735" t="s">
        <v>2170</v>
      </c>
      <c r="C1646" s="638" t="s">
        <v>451</v>
      </c>
      <c r="D1646" s="644" t="s">
        <v>2724</v>
      </c>
      <c r="E1646" s="751">
        <v>4500</v>
      </c>
      <c r="F1646" s="638" t="s">
        <v>6768</v>
      </c>
      <c r="G1646" s="636" t="s">
        <v>6769</v>
      </c>
      <c r="H1646" s="636" t="s">
        <v>2346</v>
      </c>
      <c r="I1646" s="636" t="s">
        <v>6679</v>
      </c>
      <c r="J1646" s="644" t="s">
        <v>6680</v>
      </c>
      <c r="K1646" s="739"/>
      <c r="L1646" s="638">
        <v>12</v>
      </c>
      <c r="M1646" s="638">
        <v>54000</v>
      </c>
      <c r="N1646" s="752"/>
      <c r="O1646" s="638">
        <v>6</v>
      </c>
      <c r="P1646" s="638">
        <v>27000</v>
      </c>
      <c r="Q1646" s="214"/>
    </row>
    <row r="1647" spans="1:17" ht="12" customHeight="1" x14ac:dyDescent="0.2">
      <c r="A1647" s="735" t="s">
        <v>6676</v>
      </c>
      <c r="B1647" s="735" t="s">
        <v>2170</v>
      </c>
      <c r="C1647" s="638" t="s">
        <v>451</v>
      </c>
      <c r="D1647" s="644" t="s">
        <v>6770</v>
      </c>
      <c r="E1647" s="751">
        <v>8500</v>
      </c>
      <c r="F1647" s="638" t="s">
        <v>6771</v>
      </c>
      <c r="G1647" s="636" t="s">
        <v>6772</v>
      </c>
      <c r="H1647" s="636" t="s">
        <v>6773</v>
      </c>
      <c r="I1647" s="636" t="s">
        <v>6685</v>
      </c>
      <c r="J1647" s="644" t="s">
        <v>6686</v>
      </c>
      <c r="K1647" s="739"/>
      <c r="L1647" s="638">
        <v>12</v>
      </c>
      <c r="M1647" s="638">
        <v>102000</v>
      </c>
      <c r="N1647" s="752"/>
      <c r="O1647" s="638">
        <v>6</v>
      </c>
      <c r="P1647" s="638">
        <v>51000</v>
      </c>
      <c r="Q1647" s="214"/>
    </row>
    <row r="1648" spans="1:17" ht="12" customHeight="1" x14ac:dyDescent="0.2">
      <c r="A1648" s="735" t="s">
        <v>6676</v>
      </c>
      <c r="B1648" s="735" t="s">
        <v>2170</v>
      </c>
      <c r="C1648" s="638" t="s">
        <v>451</v>
      </c>
      <c r="D1648" s="644" t="s">
        <v>6681</v>
      </c>
      <c r="E1648" s="751">
        <v>9000</v>
      </c>
      <c r="F1648" s="638" t="s">
        <v>6774</v>
      </c>
      <c r="G1648" s="636" t="s">
        <v>6775</v>
      </c>
      <c r="H1648" s="636" t="s">
        <v>6684</v>
      </c>
      <c r="I1648" s="636" t="s">
        <v>6685</v>
      </c>
      <c r="J1648" s="644" t="s">
        <v>6686</v>
      </c>
      <c r="K1648" s="739"/>
      <c r="L1648" s="638">
        <v>12</v>
      </c>
      <c r="M1648" s="638">
        <v>108000</v>
      </c>
      <c r="N1648" s="752"/>
      <c r="O1648" s="638">
        <v>6</v>
      </c>
      <c r="P1648" s="638">
        <v>54000</v>
      </c>
      <c r="Q1648" s="214"/>
    </row>
    <row r="1649" spans="1:17" ht="12" customHeight="1" x14ac:dyDescent="0.2">
      <c r="A1649" s="735" t="s">
        <v>6676</v>
      </c>
      <c r="B1649" s="735" t="s">
        <v>2170</v>
      </c>
      <c r="C1649" s="638" t="s">
        <v>451</v>
      </c>
      <c r="D1649" s="644" t="s">
        <v>2261</v>
      </c>
      <c r="E1649" s="751">
        <v>3500</v>
      </c>
      <c r="F1649" s="638" t="s">
        <v>6776</v>
      </c>
      <c r="G1649" s="644" t="s">
        <v>6777</v>
      </c>
      <c r="H1649" s="636" t="s">
        <v>6778</v>
      </c>
      <c r="I1649" s="636" t="s">
        <v>643</v>
      </c>
      <c r="J1649" s="644" t="s">
        <v>643</v>
      </c>
      <c r="K1649" s="739"/>
      <c r="L1649" s="638"/>
      <c r="M1649" s="638"/>
      <c r="N1649" s="752"/>
      <c r="O1649" s="638">
        <v>1</v>
      </c>
      <c r="P1649" s="638">
        <v>3500</v>
      </c>
      <c r="Q1649" s="214"/>
    </row>
    <row r="1650" spans="1:17" ht="12" customHeight="1" x14ac:dyDescent="0.2">
      <c r="A1650" s="735" t="s">
        <v>6676</v>
      </c>
      <c r="B1650" s="735" t="s">
        <v>2170</v>
      </c>
      <c r="C1650" s="638" t="s">
        <v>451</v>
      </c>
      <c r="D1650" s="644" t="s">
        <v>6779</v>
      </c>
      <c r="E1650" s="751">
        <v>14000</v>
      </c>
      <c r="F1650" s="638" t="s">
        <v>6780</v>
      </c>
      <c r="G1650" s="636" t="s">
        <v>6781</v>
      </c>
      <c r="H1650" s="636" t="s">
        <v>6765</v>
      </c>
      <c r="I1650" s="636" t="s">
        <v>6685</v>
      </c>
      <c r="J1650" s="644" t="s">
        <v>6686</v>
      </c>
      <c r="K1650" s="739"/>
      <c r="L1650" s="638">
        <v>3</v>
      </c>
      <c r="M1650" s="638">
        <v>42000</v>
      </c>
      <c r="N1650" s="752"/>
      <c r="O1650" s="638"/>
      <c r="P1650" s="638"/>
      <c r="Q1650" s="214"/>
    </row>
    <row r="1651" spans="1:17" ht="12" customHeight="1" x14ac:dyDescent="0.2">
      <c r="A1651" s="735" t="s">
        <v>6676</v>
      </c>
      <c r="B1651" s="735" t="s">
        <v>2170</v>
      </c>
      <c r="C1651" s="638" t="s">
        <v>451</v>
      </c>
      <c r="D1651" s="644" t="s">
        <v>6734</v>
      </c>
      <c r="E1651" s="751">
        <v>10000</v>
      </c>
      <c r="F1651" s="638" t="s">
        <v>6782</v>
      </c>
      <c r="G1651" s="644" t="s">
        <v>6783</v>
      </c>
      <c r="H1651" s="636" t="s">
        <v>6536</v>
      </c>
      <c r="I1651" s="636" t="s">
        <v>6548</v>
      </c>
      <c r="J1651" s="644" t="s">
        <v>6686</v>
      </c>
      <c r="K1651" s="739"/>
      <c r="L1651" s="638"/>
      <c r="M1651" s="638"/>
      <c r="N1651" s="752"/>
      <c r="O1651" s="638">
        <v>6</v>
      </c>
      <c r="P1651" s="638">
        <v>60000</v>
      </c>
      <c r="Q1651" s="214"/>
    </row>
    <row r="1652" spans="1:17" ht="12" customHeight="1" x14ac:dyDescent="0.2">
      <c r="A1652" s="735" t="s">
        <v>6676</v>
      </c>
      <c r="B1652" s="735" t="s">
        <v>2170</v>
      </c>
      <c r="C1652" s="638" t="s">
        <v>451</v>
      </c>
      <c r="D1652" s="644" t="s">
        <v>6784</v>
      </c>
      <c r="E1652" s="751">
        <v>4500</v>
      </c>
      <c r="F1652" s="638" t="s">
        <v>6785</v>
      </c>
      <c r="G1652" s="636" t="s">
        <v>6786</v>
      </c>
      <c r="H1652" s="636" t="s">
        <v>6787</v>
      </c>
      <c r="I1652" s="636" t="s">
        <v>6685</v>
      </c>
      <c r="J1652" s="644" t="s">
        <v>6686</v>
      </c>
      <c r="K1652" s="739"/>
      <c r="L1652" s="638">
        <v>12</v>
      </c>
      <c r="M1652" s="638">
        <v>54000</v>
      </c>
      <c r="N1652" s="752"/>
      <c r="O1652" s="638">
        <v>6</v>
      </c>
      <c r="P1652" s="638">
        <v>27000</v>
      </c>
      <c r="Q1652" s="214"/>
    </row>
    <row r="1653" spans="1:17" ht="12" customHeight="1" x14ac:dyDescent="0.2">
      <c r="A1653" s="735" t="s">
        <v>6676</v>
      </c>
      <c r="B1653" s="735" t="s">
        <v>2170</v>
      </c>
      <c r="C1653" s="638" t="s">
        <v>451</v>
      </c>
      <c r="D1653" s="644" t="s">
        <v>5503</v>
      </c>
      <c r="E1653" s="751">
        <v>9000</v>
      </c>
      <c r="F1653" s="638" t="s">
        <v>6788</v>
      </c>
      <c r="G1653" s="644" t="s">
        <v>6789</v>
      </c>
      <c r="H1653" s="636" t="s">
        <v>6536</v>
      </c>
      <c r="I1653" s="636" t="s">
        <v>6548</v>
      </c>
      <c r="J1653" s="644" t="s">
        <v>6686</v>
      </c>
      <c r="K1653" s="739"/>
      <c r="L1653" s="638"/>
      <c r="M1653" s="638"/>
      <c r="N1653" s="752"/>
      <c r="O1653" s="638">
        <v>6</v>
      </c>
      <c r="P1653" s="638">
        <v>54000</v>
      </c>
      <c r="Q1653" s="214"/>
    </row>
    <row r="1654" spans="1:17" ht="12" customHeight="1" x14ac:dyDescent="0.2">
      <c r="A1654" s="735" t="s">
        <v>6676</v>
      </c>
      <c r="B1654" s="735" t="s">
        <v>2170</v>
      </c>
      <c r="C1654" s="638" t="s">
        <v>451</v>
      </c>
      <c r="D1654" s="644" t="s">
        <v>3444</v>
      </c>
      <c r="E1654" s="751">
        <v>3500</v>
      </c>
      <c r="F1654" s="638" t="s">
        <v>6790</v>
      </c>
      <c r="G1654" s="644" t="s">
        <v>6791</v>
      </c>
      <c r="H1654" s="636" t="s">
        <v>6684</v>
      </c>
      <c r="I1654" s="636" t="s">
        <v>6685</v>
      </c>
      <c r="J1654" s="644" t="s">
        <v>6686</v>
      </c>
      <c r="K1654" s="739"/>
      <c r="L1654" s="638"/>
      <c r="M1654" s="638"/>
      <c r="N1654" s="752"/>
      <c r="O1654" s="638">
        <v>6</v>
      </c>
      <c r="P1654" s="638">
        <v>21000</v>
      </c>
      <c r="Q1654" s="214"/>
    </row>
    <row r="1655" spans="1:17" ht="12" customHeight="1" x14ac:dyDescent="0.2">
      <c r="A1655" s="735" t="s">
        <v>6676</v>
      </c>
      <c r="B1655" s="735" t="s">
        <v>2170</v>
      </c>
      <c r="C1655" s="638" t="s">
        <v>451</v>
      </c>
      <c r="D1655" s="644" t="s">
        <v>5624</v>
      </c>
      <c r="E1655" s="751">
        <v>10000</v>
      </c>
      <c r="F1655" s="638" t="s">
        <v>6792</v>
      </c>
      <c r="G1655" s="644" t="s">
        <v>6793</v>
      </c>
      <c r="H1655" s="636" t="s">
        <v>6794</v>
      </c>
      <c r="I1655" s="636" t="s">
        <v>6685</v>
      </c>
      <c r="J1655" s="644" t="s">
        <v>6686</v>
      </c>
      <c r="K1655" s="739"/>
      <c r="L1655" s="638"/>
      <c r="M1655" s="638"/>
      <c r="N1655" s="752"/>
      <c r="O1655" s="638">
        <v>6</v>
      </c>
      <c r="P1655" s="638">
        <v>60000</v>
      </c>
      <c r="Q1655" s="214"/>
    </row>
    <row r="1656" spans="1:17" ht="12" customHeight="1" x14ac:dyDescent="0.2">
      <c r="A1656" s="735" t="s">
        <v>6676</v>
      </c>
      <c r="B1656" s="735" t="s">
        <v>2170</v>
      </c>
      <c r="C1656" s="638" t="s">
        <v>451</v>
      </c>
      <c r="D1656" s="644" t="s">
        <v>5503</v>
      </c>
      <c r="E1656" s="751">
        <v>9000</v>
      </c>
      <c r="F1656" s="638" t="s">
        <v>6792</v>
      </c>
      <c r="G1656" s="644" t="s">
        <v>6793</v>
      </c>
      <c r="H1656" s="636" t="s">
        <v>6794</v>
      </c>
      <c r="I1656" s="636" t="s">
        <v>6685</v>
      </c>
      <c r="J1656" s="644" t="s">
        <v>6686</v>
      </c>
      <c r="K1656" s="739"/>
      <c r="L1656" s="638">
        <v>8</v>
      </c>
      <c r="M1656" s="638">
        <v>72000</v>
      </c>
      <c r="N1656" s="752"/>
      <c r="O1656" s="638"/>
      <c r="P1656" s="638"/>
      <c r="Q1656" s="214"/>
    </row>
    <row r="1657" spans="1:17" ht="12" customHeight="1" x14ac:dyDescent="0.2">
      <c r="A1657" s="735" t="s">
        <v>6676</v>
      </c>
      <c r="B1657" s="735" t="s">
        <v>2170</v>
      </c>
      <c r="C1657" s="638" t="s">
        <v>451</v>
      </c>
      <c r="D1657" s="644" t="s">
        <v>2261</v>
      </c>
      <c r="E1657" s="751">
        <v>5500</v>
      </c>
      <c r="F1657" s="638" t="s">
        <v>6795</v>
      </c>
      <c r="G1657" s="636" t="s">
        <v>6796</v>
      </c>
      <c r="H1657" s="636" t="s">
        <v>2346</v>
      </c>
      <c r="I1657" s="636" t="s">
        <v>6679</v>
      </c>
      <c r="J1657" s="644" t="s">
        <v>6680</v>
      </c>
      <c r="K1657" s="739"/>
      <c r="L1657" s="638">
        <v>12</v>
      </c>
      <c r="M1657" s="638">
        <v>66000</v>
      </c>
      <c r="N1657" s="752"/>
      <c r="O1657" s="638">
        <v>6</v>
      </c>
      <c r="P1657" s="638">
        <v>33000</v>
      </c>
      <c r="Q1657" s="214"/>
    </row>
    <row r="1658" spans="1:17" ht="12" customHeight="1" x14ac:dyDescent="0.2">
      <c r="A1658" s="735" t="s">
        <v>6676</v>
      </c>
      <c r="B1658" s="735" t="s">
        <v>2170</v>
      </c>
      <c r="C1658" s="638" t="s">
        <v>451</v>
      </c>
      <c r="D1658" s="644" t="s">
        <v>6797</v>
      </c>
      <c r="E1658" s="751">
        <v>9000</v>
      </c>
      <c r="F1658" s="638" t="s">
        <v>6798</v>
      </c>
      <c r="G1658" s="636" t="s">
        <v>6799</v>
      </c>
      <c r="H1658" s="636" t="s">
        <v>6684</v>
      </c>
      <c r="I1658" s="636" t="s">
        <v>6685</v>
      </c>
      <c r="J1658" s="644" t="s">
        <v>6686</v>
      </c>
      <c r="K1658" s="739"/>
      <c r="L1658" s="638">
        <v>12</v>
      </c>
      <c r="M1658" s="638">
        <v>108000</v>
      </c>
      <c r="N1658" s="752"/>
      <c r="O1658" s="638">
        <v>6</v>
      </c>
      <c r="P1658" s="638">
        <v>54000</v>
      </c>
      <c r="Q1658" s="214"/>
    </row>
    <row r="1659" spans="1:17" ht="12" customHeight="1" x14ac:dyDescent="0.2">
      <c r="A1659" s="735" t="s">
        <v>6676</v>
      </c>
      <c r="B1659" s="735" t="s">
        <v>2170</v>
      </c>
      <c r="C1659" s="638" t="s">
        <v>451</v>
      </c>
      <c r="D1659" s="644" t="s">
        <v>6717</v>
      </c>
      <c r="E1659" s="751">
        <v>9000</v>
      </c>
      <c r="F1659" s="638" t="s">
        <v>6800</v>
      </c>
      <c r="G1659" s="636" t="s">
        <v>6801</v>
      </c>
      <c r="H1659" s="636" t="s">
        <v>6684</v>
      </c>
      <c r="I1659" s="636" t="s">
        <v>6685</v>
      </c>
      <c r="J1659" s="644" t="s">
        <v>6686</v>
      </c>
      <c r="K1659" s="739"/>
      <c r="L1659" s="638">
        <v>12</v>
      </c>
      <c r="M1659" s="638">
        <v>108000</v>
      </c>
      <c r="N1659" s="752"/>
      <c r="O1659" s="638">
        <v>6</v>
      </c>
      <c r="P1659" s="638">
        <v>54000</v>
      </c>
      <c r="Q1659" s="214"/>
    </row>
    <row r="1660" spans="1:17" ht="12" customHeight="1" x14ac:dyDescent="0.2">
      <c r="A1660" s="735" t="s">
        <v>6676</v>
      </c>
      <c r="B1660" s="735" t="s">
        <v>2170</v>
      </c>
      <c r="C1660" s="638" t="s">
        <v>451</v>
      </c>
      <c r="D1660" s="644" t="s">
        <v>5511</v>
      </c>
      <c r="E1660" s="751">
        <v>3000</v>
      </c>
      <c r="F1660" s="638" t="s">
        <v>6802</v>
      </c>
      <c r="G1660" s="644" t="s">
        <v>6803</v>
      </c>
      <c r="H1660" s="636" t="s">
        <v>2253</v>
      </c>
      <c r="I1660" s="636" t="s">
        <v>2253</v>
      </c>
      <c r="J1660" s="644" t="s">
        <v>2253</v>
      </c>
      <c r="K1660" s="739"/>
      <c r="L1660" s="638"/>
      <c r="M1660" s="638"/>
      <c r="N1660" s="752"/>
      <c r="O1660" s="638">
        <v>6</v>
      </c>
      <c r="P1660" s="638">
        <v>18000</v>
      </c>
      <c r="Q1660" s="214"/>
    </row>
    <row r="1661" spans="1:17" ht="12" customHeight="1" x14ac:dyDescent="0.2">
      <c r="A1661" s="735" t="s">
        <v>6676</v>
      </c>
      <c r="B1661" s="735" t="s">
        <v>2170</v>
      </c>
      <c r="C1661" s="638" t="s">
        <v>451</v>
      </c>
      <c r="D1661" s="644" t="s">
        <v>6804</v>
      </c>
      <c r="E1661" s="751">
        <v>14000</v>
      </c>
      <c r="F1661" s="638" t="s">
        <v>6805</v>
      </c>
      <c r="G1661" s="636" t="s">
        <v>6806</v>
      </c>
      <c r="H1661" s="636" t="s">
        <v>6807</v>
      </c>
      <c r="I1661" s="636" t="s">
        <v>6685</v>
      </c>
      <c r="J1661" s="644" t="s">
        <v>6686</v>
      </c>
      <c r="K1661" s="739"/>
      <c r="L1661" s="638">
        <v>7</v>
      </c>
      <c r="M1661" s="638">
        <v>98000</v>
      </c>
      <c r="N1661" s="752"/>
      <c r="O1661" s="638"/>
      <c r="P1661" s="638"/>
      <c r="Q1661" s="214"/>
    </row>
    <row r="1662" spans="1:17" ht="12" customHeight="1" x14ac:dyDescent="0.2">
      <c r="A1662" s="735" t="s">
        <v>6676</v>
      </c>
      <c r="B1662" s="735" t="s">
        <v>2170</v>
      </c>
      <c r="C1662" s="638" t="s">
        <v>451</v>
      </c>
      <c r="D1662" s="644" t="s">
        <v>6808</v>
      </c>
      <c r="E1662" s="751">
        <v>12000</v>
      </c>
      <c r="F1662" s="638" t="s">
        <v>6805</v>
      </c>
      <c r="G1662" s="644" t="s">
        <v>6806</v>
      </c>
      <c r="H1662" s="636" t="s">
        <v>6807</v>
      </c>
      <c r="I1662" s="636" t="s">
        <v>6685</v>
      </c>
      <c r="J1662" s="644" t="s">
        <v>6686</v>
      </c>
      <c r="K1662" s="739"/>
      <c r="L1662" s="638">
        <v>3</v>
      </c>
      <c r="M1662" s="638">
        <v>36000</v>
      </c>
      <c r="N1662" s="752"/>
      <c r="O1662" s="638">
        <v>1</v>
      </c>
      <c r="P1662" s="638">
        <v>12000</v>
      </c>
      <c r="Q1662" s="214"/>
    </row>
    <row r="1663" spans="1:17" ht="12" customHeight="1" x14ac:dyDescent="0.2">
      <c r="A1663" s="735" t="s">
        <v>6676</v>
      </c>
      <c r="B1663" s="735" t="s">
        <v>2170</v>
      </c>
      <c r="C1663" s="638" t="s">
        <v>451</v>
      </c>
      <c r="D1663" s="644" t="s">
        <v>6809</v>
      </c>
      <c r="E1663" s="751">
        <v>14000</v>
      </c>
      <c r="F1663" s="638" t="s">
        <v>6805</v>
      </c>
      <c r="G1663" s="644" t="s">
        <v>6806</v>
      </c>
      <c r="H1663" s="636" t="s">
        <v>6807</v>
      </c>
      <c r="I1663" s="636" t="s">
        <v>6685</v>
      </c>
      <c r="J1663" s="644" t="s">
        <v>6686</v>
      </c>
      <c r="K1663" s="739"/>
      <c r="L1663" s="638"/>
      <c r="M1663" s="638"/>
      <c r="N1663" s="752"/>
      <c r="O1663" s="638">
        <v>5</v>
      </c>
      <c r="P1663" s="638">
        <v>70000</v>
      </c>
      <c r="Q1663" s="214"/>
    </row>
    <row r="1664" spans="1:17" ht="12" customHeight="1" x14ac:dyDescent="0.2">
      <c r="A1664" s="735" t="s">
        <v>6676</v>
      </c>
      <c r="B1664" s="735" t="s">
        <v>2170</v>
      </c>
      <c r="C1664" s="638" t="s">
        <v>451</v>
      </c>
      <c r="D1664" s="644" t="s">
        <v>6681</v>
      </c>
      <c r="E1664" s="751">
        <v>9000</v>
      </c>
      <c r="F1664" s="638" t="s">
        <v>6810</v>
      </c>
      <c r="G1664" s="636" t="s">
        <v>6811</v>
      </c>
      <c r="H1664" s="636" t="s">
        <v>6684</v>
      </c>
      <c r="I1664" s="636" t="s">
        <v>6685</v>
      </c>
      <c r="J1664" s="644" t="s">
        <v>6686</v>
      </c>
      <c r="K1664" s="739"/>
      <c r="L1664" s="638">
        <v>12</v>
      </c>
      <c r="M1664" s="638">
        <v>108000</v>
      </c>
      <c r="N1664" s="752"/>
      <c r="O1664" s="638">
        <v>6</v>
      </c>
      <c r="P1664" s="638">
        <v>54000</v>
      </c>
      <c r="Q1664" s="214"/>
    </row>
    <row r="1665" spans="1:17" ht="12" customHeight="1" x14ac:dyDescent="0.2">
      <c r="A1665" s="735" t="s">
        <v>6676</v>
      </c>
      <c r="B1665" s="735" t="s">
        <v>2170</v>
      </c>
      <c r="C1665" s="638" t="s">
        <v>451</v>
      </c>
      <c r="D1665" s="644" t="s">
        <v>6812</v>
      </c>
      <c r="E1665" s="751">
        <v>8500</v>
      </c>
      <c r="F1665" s="638" t="s">
        <v>6813</v>
      </c>
      <c r="G1665" s="636" t="s">
        <v>6814</v>
      </c>
      <c r="H1665" s="636" t="s">
        <v>6684</v>
      </c>
      <c r="I1665" s="636" t="s">
        <v>6685</v>
      </c>
      <c r="J1665" s="644" t="s">
        <v>6686</v>
      </c>
      <c r="K1665" s="739"/>
      <c r="L1665" s="638">
        <v>12</v>
      </c>
      <c r="M1665" s="638">
        <v>102000</v>
      </c>
      <c r="N1665" s="752"/>
      <c r="O1665" s="638">
        <v>6</v>
      </c>
      <c r="P1665" s="638">
        <v>51000</v>
      </c>
      <c r="Q1665" s="214"/>
    </row>
    <row r="1666" spans="1:17" ht="12" customHeight="1" x14ac:dyDescent="0.2">
      <c r="A1666" s="735" t="s">
        <v>6676</v>
      </c>
      <c r="B1666" s="735" t="s">
        <v>2170</v>
      </c>
      <c r="C1666" s="638" t="s">
        <v>451</v>
      </c>
      <c r="D1666" s="644" t="s">
        <v>6815</v>
      </c>
      <c r="E1666" s="751">
        <v>8000</v>
      </c>
      <c r="F1666" s="638" t="s">
        <v>6816</v>
      </c>
      <c r="G1666" s="644" t="s">
        <v>6817</v>
      </c>
      <c r="H1666" s="636" t="s">
        <v>6536</v>
      </c>
      <c r="I1666" s="636" t="s">
        <v>6548</v>
      </c>
      <c r="J1666" s="644" t="s">
        <v>6686</v>
      </c>
      <c r="K1666" s="739"/>
      <c r="L1666" s="638"/>
      <c r="M1666" s="638"/>
      <c r="N1666" s="752"/>
      <c r="O1666" s="638">
        <v>2</v>
      </c>
      <c r="P1666" s="638">
        <v>16000</v>
      </c>
      <c r="Q1666" s="214"/>
    </row>
    <row r="1667" spans="1:17" ht="12" customHeight="1" x14ac:dyDescent="0.2">
      <c r="A1667" s="735" t="s">
        <v>6676</v>
      </c>
      <c r="B1667" s="735" t="s">
        <v>2170</v>
      </c>
      <c r="C1667" s="638" t="s">
        <v>451</v>
      </c>
      <c r="D1667" s="644" t="s">
        <v>6818</v>
      </c>
      <c r="E1667" s="751">
        <v>3500</v>
      </c>
      <c r="F1667" s="638" t="s">
        <v>6819</v>
      </c>
      <c r="G1667" s="644" t="s">
        <v>6820</v>
      </c>
      <c r="H1667" s="636" t="s">
        <v>6707</v>
      </c>
      <c r="I1667" s="636" t="s">
        <v>6685</v>
      </c>
      <c r="J1667" s="644" t="s">
        <v>6686</v>
      </c>
      <c r="K1667" s="739"/>
      <c r="L1667" s="638"/>
      <c r="M1667" s="638"/>
      <c r="N1667" s="752"/>
      <c r="O1667" s="638">
        <v>6</v>
      </c>
      <c r="P1667" s="638">
        <v>21000</v>
      </c>
      <c r="Q1667" s="214"/>
    </row>
    <row r="1668" spans="1:17" ht="12" customHeight="1" x14ac:dyDescent="0.2">
      <c r="A1668" s="735" t="s">
        <v>6676</v>
      </c>
      <c r="B1668" s="735" t="s">
        <v>2170</v>
      </c>
      <c r="C1668" s="638" t="s">
        <v>451</v>
      </c>
      <c r="D1668" s="644" t="s">
        <v>5511</v>
      </c>
      <c r="E1668" s="751">
        <v>3000</v>
      </c>
      <c r="F1668" s="638" t="s">
        <v>6821</v>
      </c>
      <c r="G1668" s="636" t="s">
        <v>6822</v>
      </c>
      <c r="H1668" s="636" t="s">
        <v>6823</v>
      </c>
      <c r="I1668" s="636" t="s">
        <v>6685</v>
      </c>
      <c r="J1668" s="644" t="s">
        <v>6686</v>
      </c>
      <c r="K1668" s="739"/>
      <c r="L1668" s="638">
        <v>12</v>
      </c>
      <c r="M1668" s="638">
        <v>36000</v>
      </c>
      <c r="N1668" s="752"/>
      <c r="O1668" s="638">
        <v>6</v>
      </c>
      <c r="P1668" s="638">
        <v>18000</v>
      </c>
      <c r="Q1668" s="214"/>
    </row>
    <row r="1669" spans="1:17" ht="12" customHeight="1" x14ac:dyDescent="0.2">
      <c r="A1669" s="735" t="s">
        <v>6676</v>
      </c>
      <c r="B1669" s="735" t="s">
        <v>2170</v>
      </c>
      <c r="C1669" s="638" t="s">
        <v>451</v>
      </c>
      <c r="D1669" s="644" t="s">
        <v>5503</v>
      </c>
      <c r="E1669" s="751">
        <v>9000</v>
      </c>
      <c r="F1669" s="638" t="s">
        <v>6824</v>
      </c>
      <c r="G1669" s="636" t="s">
        <v>6825</v>
      </c>
      <c r="H1669" s="636" t="s">
        <v>6684</v>
      </c>
      <c r="I1669" s="636" t="s">
        <v>6685</v>
      </c>
      <c r="J1669" s="644" t="s">
        <v>6686</v>
      </c>
      <c r="K1669" s="739"/>
      <c r="L1669" s="638">
        <v>12</v>
      </c>
      <c r="M1669" s="638">
        <v>108000</v>
      </c>
      <c r="N1669" s="752"/>
      <c r="O1669" s="638">
        <v>6</v>
      </c>
      <c r="P1669" s="638">
        <v>54000</v>
      </c>
      <c r="Q1669" s="214"/>
    </row>
    <row r="1670" spans="1:17" ht="12" customHeight="1" x14ac:dyDescent="0.2">
      <c r="A1670" s="735" t="s">
        <v>6676</v>
      </c>
      <c r="B1670" s="735" t="s">
        <v>2170</v>
      </c>
      <c r="C1670" s="638" t="s">
        <v>451</v>
      </c>
      <c r="D1670" s="644" t="s">
        <v>2636</v>
      </c>
      <c r="E1670" s="751">
        <v>6000</v>
      </c>
      <c r="F1670" s="638" t="s">
        <v>6826</v>
      </c>
      <c r="G1670" s="636" t="s">
        <v>6827</v>
      </c>
      <c r="H1670" s="636" t="s">
        <v>6828</v>
      </c>
      <c r="I1670" s="636" t="s">
        <v>3760</v>
      </c>
      <c r="J1670" s="644" t="s">
        <v>6680</v>
      </c>
      <c r="K1670" s="739"/>
      <c r="L1670" s="638">
        <v>12</v>
      </c>
      <c r="M1670" s="638">
        <v>72000</v>
      </c>
      <c r="N1670" s="752"/>
      <c r="O1670" s="638">
        <v>6</v>
      </c>
      <c r="P1670" s="638">
        <v>36000</v>
      </c>
      <c r="Q1670" s="214"/>
    </row>
    <row r="1671" spans="1:17" ht="12" customHeight="1" x14ac:dyDescent="0.2">
      <c r="A1671" s="735" t="s">
        <v>6676</v>
      </c>
      <c r="B1671" s="735" t="s">
        <v>2170</v>
      </c>
      <c r="C1671" s="638" t="s">
        <v>451</v>
      </c>
      <c r="D1671" s="644" t="s">
        <v>5503</v>
      </c>
      <c r="E1671" s="751">
        <v>9000</v>
      </c>
      <c r="F1671" s="638" t="s">
        <v>6829</v>
      </c>
      <c r="G1671" s="636" t="s">
        <v>6830</v>
      </c>
      <c r="H1671" s="636" t="s">
        <v>6684</v>
      </c>
      <c r="I1671" s="636" t="s">
        <v>6685</v>
      </c>
      <c r="J1671" s="644" t="s">
        <v>6686</v>
      </c>
      <c r="K1671" s="739"/>
      <c r="L1671" s="638">
        <v>12</v>
      </c>
      <c r="M1671" s="638">
        <v>108000</v>
      </c>
      <c r="N1671" s="752"/>
      <c r="O1671" s="638"/>
      <c r="P1671" s="638"/>
      <c r="Q1671" s="214"/>
    </row>
    <row r="1672" spans="1:17" ht="12" customHeight="1" x14ac:dyDescent="0.2">
      <c r="A1672" s="735" t="s">
        <v>6676</v>
      </c>
      <c r="B1672" s="735" t="s">
        <v>2170</v>
      </c>
      <c r="C1672" s="638" t="s">
        <v>451</v>
      </c>
      <c r="D1672" s="644" t="s">
        <v>5743</v>
      </c>
      <c r="E1672" s="751">
        <v>9000</v>
      </c>
      <c r="F1672" s="638" t="s">
        <v>6829</v>
      </c>
      <c r="G1672" s="644" t="s">
        <v>6830</v>
      </c>
      <c r="H1672" s="636" t="s">
        <v>6684</v>
      </c>
      <c r="I1672" s="636" t="s">
        <v>6685</v>
      </c>
      <c r="J1672" s="644" t="s">
        <v>6686</v>
      </c>
      <c r="K1672" s="739"/>
      <c r="L1672" s="638"/>
      <c r="M1672" s="638"/>
      <c r="N1672" s="752"/>
      <c r="O1672" s="638">
        <v>6</v>
      </c>
      <c r="P1672" s="638">
        <v>54000</v>
      </c>
      <c r="Q1672" s="214"/>
    </row>
    <row r="1673" spans="1:17" ht="12" customHeight="1" x14ac:dyDescent="0.2">
      <c r="A1673" s="735" t="s">
        <v>6676</v>
      </c>
      <c r="B1673" s="735" t="s">
        <v>2170</v>
      </c>
      <c r="C1673" s="638" t="s">
        <v>451</v>
      </c>
      <c r="D1673" s="644" t="s">
        <v>6831</v>
      </c>
      <c r="E1673" s="751">
        <v>7000</v>
      </c>
      <c r="F1673" s="638" t="s">
        <v>6832</v>
      </c>
      <c r="G1673" s="644" t="s">
        <v>6833</v>
      </c>
      <c r="H1673" s="636" t="s">
        <v>6834</v>
      </c>
      <c r="I1673" s="636" t="s">
        <v>6548</v>
      </c>
      <c r="J1673" s="644" t="s">
        <v>6686</v>
      </c>
      <c r="K1673" s="739"/>
      <c r="L1673" s="638"/>
      <c r="M1673" s="638"/>
      <c r="N1673" s="752"/>
      <c r="O1673" s="638">
        <v>6</v>
      </c>
      <c r="P1673" s="638">
        <v>42000</v>
      </c>
      <c r="Q1673" s="214"/>
    </row>
    <row r="1674" spans="1:17" ht="12" customHeight="1" x14ac:dyDescent="0.2">
      <c r="A1674" s="735" t="s">
        <v>6676</v>
      </c>
      <c r="B1674" s="735" t="s">
        <v>2170</v>
      </c>
      <c r="C1674" s="638" t="s">
        <v>451</v>
      </c>
      <c r="D1674" s="644" t="s">
        <v>6815</v>
      </c>
      <c r="E1674" s="751">
        <v>8000</v>
      </c>
      <c r="F1674" s="638" t="s">
        <v>6835</v>
      </c>
      <c r="G1674" s="644" t="s">
        <v>6836</v>
      </c>
      <c r="H1674" s="636" t="s">
        <v>6536</v>
      </c>
      <c r="I1674" s="636" t="s">
        <v>6548</v>
      </c>
      <c r="J1674" s="644" t="s">
        <v>6686</v>
      </c>
      <c r="K1674" s="739"/>
      <c r="L1674" s="638"/>
      <c r="M1674" s="638"/>
      <c r="N1674" s="752"/>
      <c r="O1674" s="638">
        <v>2</v>
      </c>
      <c r="P1674" s="638">
        <v>16000</v>
      </c>
      <c r="Q1674" s="214"/>
    </row>
    <row r="1675" spans="1:17" ht="12" customHeight="1" x14ac:dyDescent="0.2">
      <c r="A1675" s="735" t="s">
        <v>6676</v>
      </c>
      <c r="B1675" s="735" t="s">
        <v>2170</v>
      </c>
      <c r="C1675" s="638" t="s">
        <v>451</v>
      </c>
      <c r="D1675" s="644" t="s">
        <v>6837</v>
      </c>
      <c r="E1675" s="751">
        <v>5000</v>
      </c>
      <c r="F1675" s="638" t="s">
        <v>6838</v>
      </c>
      <c r="G1675" s="636" t="s">
        <v>6839</v>
      </c>
      <c r="H1675" s="636" t="s">
        <v>6840</v>
      </c>
      <c r="I1675" s="636" t="s">
        <v>6685</v>
      </c>
      <c r="J1675" s="644" t="s">
        <v>6686</v>
      </c>
      <c r="K1675" s="739"/>
      <c r="L1675" s="638">
        <v>12</v>
      </c>
      <c r="M1675" s="638">
        <v>60000</v>
      </c>
      <c r="N1675" s="752"/>
      <c r="O1675" s="638">
        <v>6</v>
      </c>
      <c r="P1675" s="638">
        <v>30000</v>
      </c>
      <c r="Q1675" s="214"/>
    </row>
    <row r="1676" spans="1:17" ht="12" customHeight="1" x14ac:dyDescent="0.2">
      <c r="A1676" s="735" t="s">
        <v>6676</v>
      </c>
      <c r="B1676" s="735" t="s">
        <v>2170</v>
      </c>
      <c r="C1676" s="638" t="s">
        <v>451</v>
      </c>
      <c r="D1676" s="644" t="s">
        <v>6841</v>
      </c>
      <c r="E1676" s="751">
        <v>8500</v>
      </c>
      <c r="F1676" s="638" t="s">
        <v>6842</v>
      </c>
      <c r="G1676" s="636" t="s">
        <v>6843</v>
      </c>
      <c r="H1676" s="636" t="s">
        <v>2317</v>
      </c>
      <c r="I1676" s="636" t="s">
        <v>6685</v>
      </c>
      <c r="J1676" s="644" t="s">
        <v>6686</v>
      </c>
      <c r="K1676" s="739"/>
      <c r="L1676" s="638">
        <v>11</v>
      </c>
      <c r="M1676" s="638">
        <v>93500</v>
      </c>
      <c r="N1676" s="752"/>
      <c r="O1676" s="638">
        <v>2</v>
      </c>
      <c r="P1676" s="638">
        <v>17000</v>
      </c>
      <c r="Q1676" s="214"/>
    </row>
    <row r="1677" spans="1:17" ht="12" customHeight="1" x14ac:dyDescent="0.2">
      <c r="A1677" s="735" t="s">
        <v>6676</v>
      </c>
      <c r="B1677" s="735" t="s">
        <v>2170</v>
      </c>
      <c r="C1677" s="638" t="s">
        <v>451</v>
      </c>
      <c r="D1677" s="644" t="s">
        <v>6734</v>
      </c>
      <c r="E1677" s="751">
        <v>10000</v>
      </c>
      <c r="F1677" s="638" t="s">
        <v>6842</v>
      </c>
      <c r="G1677" s="644" t="s">
        <v>6843</v>
      </c>
      <c r="H1677" s="636" t="s">
        <v>2317</v>
      </c>
      <c r="I1677" s="636" t="s">
        <v>6685</v>
      </c>
      <c r="J1677" s="644" t="s">
        <v>6686</v>
      </c>
      <c r="K1677" s="739"/>
      <c r="L1677" s="638"/>
      <c r="M1677" s="638"/>
      <c r="N1677" s="752"/>
      <c r="O1677" s="638">
        <v>2</v>
      </c>
      <c r="P1677" s="638">
        <v>20000</v>
      </c>
      <c r="Q1677" s="214"/>
    </row>
    <row r="1678" spans="1:17" ht="12" customHeight="1" x14ac:dyDescent="0.2">
      <c r="A1678" s="735" t="s">
        <v>6676</v>
      </c>
      <c r="B1678" s="735" t="s">
        <v>2170</v>
      </c>
      <c r="C1678" s="638" t="s">
        <v>451</v>
      </c>
      <c r="D1678" s="644" t="s">
        <v>6734</v>
      </c>
      <c r="E1678" s="751">
        <v>10000</v>
      </c>
      <c r="F1678" s="638" t="s">
        <v>6842</v>
      </c>
      <c r="G1678" s="644" t="s">
        <v>6843</v>
      </c>
      <c r="H1678" s="636" t="s">
        <v>2317</v>
      </c>
      <c r="I1678" s="636" t="s">
        <v>6685</v>
      </c>
      <c r="J1678" s="644" t="s">
        <v>6686</v>
      </c>
      <c r="K1678" s="739"/>
      <c r="L1678" s="638"/>
      <c r="M1678" s="638"/>
      <c r="N1678" s="752"/>
      <c r="O1678" s="638">
        <v>6</v>
      </c>
      <c r="P1678" s="638">
        <v>60000</v>
      </c>
      <c r="Q1678" s="214"/>
    </row>
    <row r="1679" spans="1:17" ht="12" customHeight="1" x14ac:dyDescent="0.2">
      <c r="A1679" s="735" t="s">
        <v>6676</v>
      </c>
      <c r="B1679" s="735" t="s">
        <v>2170</v>
      </c>
      <c r="C1679" s="638" t="s">
        <v>451</v>
      </c>
      <c r="D1679" s="644" t="s">
        <v>6681</v>
      </c>
      <c r="E1679" s="751">
        <v>9000</v>
      </c>
      <c r="F1679" s="638" t="s">
        <v>6844</v>
      </c>
      <c r="G1679" s="636" t="s">
        <v>6845</v>
      </c>
      <c r="H1679" s="636" t="s">
        <v>6684</v>
      </c>
      <c r="I1679" s="636" t="s">
        <v>6685</v>
      </c>
      <c r="J1679" s="644" t="s">
        <v>6686</v>
      </c>
      <c r="K1679" s="739"/>
      <c r="L1679" s="638">
        <v>12</v>
      </c>
      <c r="M1679" s="638">
        <v>108000</v>
      </c>
      <c r="N1679" s="752"/>
      <c r="O1679" s="638">
        <v>6</v>
      </c>
      <c r="P1679" s="638">
        <v>54000</v>
      </c>
      <c r="Q1679" s="214"/>
    </row>
    <row r="1680" spans="1:17" ht="12" customHeight="1" x14ac:dyDescent="0.2">
      <c r="A1680" s="735" t="s">
        <v>6676</v>
      </c>
      <c r="B1680" s="735" t="s">
        <v>2170</v>
      </c>
      <c r="C1680" s="638" t="s">
        <v>451</v>
      </c>
      <c r="D1680" s="644" t="s">
        <v>2190</v>
      </c>
      <c r="E1680" s="751">
        <v>3000</v>
      </c>
      <c r="F1680" s="638" t="s">
        <v>6846</v>
      </c>
      <c r="G1680" s="636" t="s">
        <v>6847</v>
      </c>
      <c r="H1680" s="636" t="s">
        <v>6848</v>
      </c>
      <c r="I1680" s="636" t="s">
        <v>6685</v>
      </c>
      <c r="J1680" s="644" t="s">
        <v>6686</v>
      </c>
      <c r="K1680" s="739"/>
      <c r="L1680" s="638">
        <v>12</v>
      </c>
      <c r="M1680" s="638">
        <v>36000</v>
      </c>
      <c r="N1680" s="752"/>
      <c r="O1680" s="638">
        <v>6</v>
      </c>
      <c r="P1680" s="638">
        <v>18000</v>
      </c>
      <c r="Q1680" s="214"/>
    </row>
    <row r="1681" spans="1:17" ht="12" customHeight="1" x14ac:dyDescent="0.2">
      <c r="A1681" s="735" t="s">
        <v>6676</v>
      </c>
      <c r="B1681" s="735" t="s">
        <v>2170</v>
      </c>
      <c r="C1681" s="638" t="s">
        <v>451</v>
      </c>
      <c r="D1681" s="644" t="s">
        <v>6849</v>
      </c>
      <c r="E1681" s="751">
        <v>10000</v>
      </c>
      <c r="F1681" s="638" t="s">
        <v>6850</v>
      </c>
      <c r="G1681" s="636" t="s">
        <v>6851</v>
      </c>
      <c r="H1681" s="636" t="s">
        <v>2317</v>
      </c>
      <c r="I1681" s="636" t="s">
        <v>6685</v>
      </c>
      <c r="J1681" s="644" t="s">
        <v>6686</v>
      </c>
      <c r="K1681" s="739"/>
      <c r="L1681" s="638">
        <v>1</v>
      </c>
      <c r="M1681" s="638">
        <v>10000</v>
      </c>
      <c r="N1681" s="752"/>
      <c r="O1681" s="638"/>
      <c r="P1681" s="638"/>
      <c r="Q1681" s="214"/>
    </row>
    <row r="1682" spans="1:17" ht="12" customHeight="1" x14ac:dyDescent="0.2">
      <c r="A1682" s="735" t="s">
        <v>6676</v>
      </c>
      <c r="B1682" s="735" t="s">
        <v>2170</v>
      </c>
      <c r="C1682" s="638" t="s">
        <v>451</v>
      </c>
      <c r="D1682" s="644" t="s">
        <v>6852</v>
      </c>
      <c r="E1682" s="751">
        <v>8000</v>
      </c>
      <c r="F1682" s="638" t="s">
        <v>6853</v>
      </c>
      <c r="G1682" s="636" t="s">
        <v>6854</v>
      </c>
      <c r="H1682" s="636" t="s">
        <v>6855</v>
      </c>
      <c r="I1682" s="636" t="s">
        <v>6685</v>
      </c>
      <c r="J1682" s="644" t="s">
        <v>6686</v>
      </c>
      <c r="K1682" s="739"/>
      <c r="L1682" s="638">
        <v>12</v>
      </c>
      <c r="M1682" s="638">
        <v>96000</v>
      </c>
      <c r="N1682" s="752"/>
      <c r="O1682" s="638">
        <v>6</v>
      </c>
      <c r="P1682" s="638">
        <v>48000</v>
      </c>
      <c r="Q1682" s="214"/>
    </row>
    <row r="1683" spans="1:17" ht="12" customHeight="1" x14ac:dyDescent="0.2">
      <c r="A1683" s="735" t="s">
        <v>6676</v>
      </c>
      <c r="B1683" s="735" t="s">
        <v>2170</v>
      </c>
      <c r="C1683" s="638" t="s">
        <v>451</v>
      </c>
      <c r="D1683" s="644" t="s">
        <v>6717</v>
      </c>
      <c r="E1683" s="751">
        <v>9000</v>
      </c>
      <c r="F1683" s="638" t="s">
        <v>6856</v>
      </c>
      <c r="G1683" s="636" t="s">
        <v>6857</v>
      </c>
      <c r="H1683" s="636" t="s">
        <v>6684</v>
      </c>
      <c r="I1683" s="636" t="s">
        <v>6685</v>
      </c>
      <c r="J1683" s="644" t="s">
        <v>6686</v>
      </c>
      <c r="K1683" s="739"/>
      <c r="L1683" s="638">
        <v>12</v>
      </c>
      <c r="M1683" s="638">
        <v>108000</v>
      </c>
      <c r="N1683" s="752"/>
      <c r="O1683" s="638">
        <v>6</v>
      </c>
      <c r="P1683" s="638">
        <v>54000</v>
      </c>
      <c r="Q1683" s="214"/>
    </row>
    <row r="1684" spans="1:17" ht="12" customHeight="1" x14ac:dyDescent="0.2">
      <c r="A1684" s="735" t="s">
        <v>6676</v>
      </c>
      <c r="B1684" s="735" t="s">
        <v>2170</v>
      </c>
      <c r="C1684" s="638" t="s">
        <v>451</v>
      </c>
      <c r="D1684" s="644" t="s">
        <v>6700</v>
      </c>
      <c r="E1684" s="751">
        <v>3500</v>
      </c>
      <c r="F1684" s="638" t="s">
        <v>6858</v>
      </c>
      <c r="G1684" s="644" t="s">
        <v>6859</v>
      </c>
      <c r="H1684" s="636" t="s">
        <v>6699</v>
      </c>
      <c r="I1684" s="636" t="s">
        <v>6685</v>
      </c>
      <c r="J1684" s="644" t="s">
        <v>6686</v>
      </c>
      <c r="K1684" s="739"/>
      <c r="L1684" s="638"/>
      <c r="M1684" s="638"/>
      <c r="N1684" s="752"/>
      <c r="O1684" s="638">
        <v>6</v>
      </c>
      <c r="P1684" s="638">
        <v>21000</v>
      </c>
      <c r="Q1684" s="214"/>
    </row>
    <row r="1685" spans="1:17" ht="12" customHeight="1" x14ac:dyDescent="0.2">
      <c r="A1685" s="735" t="s">
        <v>6676</v>
      </c>
      <c r="B1685" s="735" t="s">
        <v>2170</v>
      </c>
      <c r="C1685" s="638" t="s">
        <v>451</v>
      </c>
      <c r="D1685" s="644" t="s">
        <v>3037</v>
      </c>
      <c r="E1685" s="751">
        <v>8000</v>
      </c>
      <c r="F1685" s="638" t="s">
        <v>6860</v>
      </c>
      <c r="G1685" s="636" t="s">
        <v>6861</v>
      </c>
      <c r="H1685" s="636" t="s">
        <v>2189</v>
      </c>
      <c r="I1685" s="636" t="s">
        <v>6685</v>
      </c>
      <c r="J1685" s="644" t="s">
        <v>6686</v>
      </c>
      <c r="K1685" s="739"/>
      <c r="L1685" s="638">
        <v>11</v>
      </c>
      <c r="M1685" s="638">
        <v>88000</v>
      </c>
      <c r="N1685" s="752"/>
      <c r="O1685" s="638"/>
      <c r="P1685" s="638"/>
      <c r="Q1685" s="214"/>
    </row>
    <row r="1686" spans="1:17" ht="12" customHeight="1" x14ac:dyDescent="0.2">
      <c r="A1686" s="735" t="s">
        <v>6676</v>
      </c>
      <c r="B1686" s="735" t="s">
        <v>2170</v>
      </c>
      <c r="C1686" s="638" t="s">
        <v>451</v>
      </c>
      <c r="D1686" s="644" t="s">
        <v>6862</v>
      </c>
      <c r="E1686" s="751">
        <v>9000</v>
      </c>
      <c r="F1686" s="638" t="s">
        <v>6863</v>
      </c>
      <c r="G1686" s="644" t="s">
        <v>6864</v>
      </c>
      <c r="H1686" s="636" t="s">
        <v>6536</v>
      </c>
      <c r="I1686" s="636" t="s">
        <v>6548</v>
      </c>
      <c r="J1686" s="644" t="s">
        <v>6686</v>
      </c>
      <c r="K1686" s="739"/>
      <c r="L1686" s="638"/>
      <c r="M1686" s="638"/>
      <c r="N1686" s="752"/>
      <c r="O1686" s="638">
        <v>6</v>
      </c>
      <c r="P1686" s="638">
        <v>54000</v>
      </c>
      <c r="Q1686" s="214"/>
    </row>
    <row r="1687" spans="1:17" ht="12" customHeight="1" x14ac:dyDescent="0.2">
      <c r="A1687" s="735" t="s">
        <v>6676</v>
      </c>
      <c r="B1687" s="735" t="s">
        <v>2170</v>
      </c>
      <c r="C1687" s="638" t="s">
        <v>451</v>
      </c>
      <c r="D1687" s="644" t="s">
        <v>6865</v>
      </c>
      <c r="E1687" s="751">
        <v>12000</v>
      </c>
      <c r="F1687" s="638" t="s">
        <v>5720</v>
      </c>
      <c r="G1687" s="644" t="s">
        <v>6866</v>
      </c>
      <c r="H1687" s="636" t="s">
        <v>6684</v>
      </c>
      <c r="I1687" s="636" t="s">
        <v>6548</v>
      </c>
      <c r="J1687" s="644" t="s">
        <v>6686</v>
      </c>
      <c r="K1687" s="739"/>
      <c r="L1687" s="638">
        <v>2</v>
      </c>
      <c r="M1687" s="638">
        <v>24000</v>
      </c>
      <c r="N1687" s="752"/>
      <c r="O1687" s="638"/>
      <c r="P1687" s="638"/>
      <c r="Q1687" s="214"/>
    </row>
    <row r="1688" spans="1:17" ht="12" customHeight="1" x14ac:dyDescent="0.2">
      <c r="A1688" s="735" t="s">
        <v>6676</v>
      </c>
      <c r="B1688" s="735" t="s">
        <v>2170</v>
      </c>
      <c r="C1688" s="638" t="s">
        <v>451</v>
      </c>
      <c r="D1688" s="644" t="s">
        <v>6867</v>
      </c>
      <c r="E1688" s="751">
        <v>10000</v>
      </c>
      <c r="F1688" s="638" t="s">
        <v>6868</v>
      </c>
      <c r="G1688" s="636" t="s">
        <v>6869</v>
      </c>
      <c r="H1688" s="636" t="s">
        <v>2317</v>
      </c>
      <c r="I1688" s="636" t="s">
        <v>6685</v>
      </c>
      <c r="J1688" s="644" t="s">
        <v>6686</v>
      </c>
      <c r="K1688" s="739"/>
      <c r="L1688" s="638">
        <v>12</v>
      </c>
      <c r="M1688" s="638">
        <v>120000</v>
      </c>
      <c r="N1688" s="752"/>
      <c r="O1688" s="638">
        <v>6</v>
      </c>
      <c r="P1688" s="638">
        <v>60000</v>
      </c>
      <c r="Q1688" s="214"/>
    </row>
    <row r="1689" spans="1:17" ht="12" customHeight="1" x14ac:dyDescent="0.2">
      <c r="A1689" s="735" t="s">
        <v>6676</v>
      </c>
      <c r="B1689" s="735" t="s">
        <v>2170</v>
      </c>
      <c r="C1689" s="638" t="s">
        <v>451</v>
      </c>
      <c r="D1689" s="644" t="s">
        <v>6734</v>
      </c>
      <c r="E1689" s="751">
        <v>10000</v>
      </c>
      <c r="F1689" s="638" t="s">
        <v>6870</v>
      </c>
      <c r="G1689" s="636" t="s">
        <v>6871</v>
      </c>
      <c r="H1689" s="636" t="s">
        <v>6684</v>
      </c>
      <c r="I1689" s="636" t="s">
        <v>6685</v>
      </c>
      <c r="J1689" s="644" t="s">
        <v>6686</v>
      </c>
      <c r="K1689" s="739"/>
      <c r="L1689" s="638">
        <v>12</v>
      </c>
      <c r="M1689" s="638">
        <v>120000</v>
      </c>
      <c r="N1689" s="752"/>
      <c r="O1689" s="638">
        <v>6</v>
      </c>
      <c r="P1689" s="638">
        <v>60000</v>
      </c>
      <c r="Q1689" s="214"/>
    </row>
    <row r="1690" spans="1:17" ht="12" customHeight="1" x14ac:dyDescent="0.2">
      <c r="A1690" s="735" t="s">
        <v>6676</v>
      </c>
      <c r="B1690" s="735" t="s">
        <v>2170</v>
      </c>
      <c r="C1690" s="638" t="s">
        <v>451</v>
      </c>
      <c r="D1690" s="644" t="s">
        <v>6690</v>
      </c>
      <c r="E1690" s="751">
        <v>8500</v>
      </c>
      <c r="F1690" s="638" t="s">
        <v>6872</v>
      </c>
      <c r="G1690" s="636" t="s">
        <v>6873</v>
      </c>
      <c r="H1690" s="636" t="s">
        <v>6874</v>
      </c>
      <c r="I1690" s="636" t="s">
        <v>6685</v>
      </c>
      <c r="J1690" s="644" t="s">
        <v>6686</v>
      </c>
      <c r="K1690" s="739"/>
      <c r="L1690" s="638">
        <v>12</v>
      </c>
      <c r="M1690" s="638">
        <v>102000</v>
      </c>
      <c r="N1690" s="752"/>
      <c r="O1690" s="638">
        <v>6</v>
      </c>
      <c r="P1690" s="638">
        <v>51000</v>
      </c>
      <c r="Q1690" s="214"/>
    </row>
    <row r="1691" spans="1:17" ht="12" customHeight="1" x14ac:dyDescent="0.2">
      <c r="A1691" s="735" t="s">
        <v>6676</v>
      </c>
      <c r="B1691" s="735" t="s">
        <v>2170</v>
      </c>
      <c r="C1691" s="638" t="s">
        <v>451</v>
      </c>
      <c r="D1691" s="644" t="s">
        <v>6875</v>
      </c>
      <c r="E1691" s="751">
        <v>10000</v>
      </c>
      <c r="F1691" s="638" t="s">
        <v>6876</v>
      </c>
      <c r="G1691" s="644" t="s">
        <v>6877</v>
      </c>
      <c r="H1691" s="636" t="s">
        <v>2189</v>
      </c>
      <c r="I1691" s="636" t="s">
        <v>6548</v>
      </c>
      <c r="J1691" s="644" t="s">
        <v>6686</v>
      </c>
      <c r="K1691" s="739"/>
      <c r="L1691" s="638"/>
      <c r="M1691" s="638"/>
      <c r="N1691" s="752"/>
      <c r="O1691" s="638">
        <v>6</v>
      </c>
      <c r="P1691" s="638">
        <v>60000</v>
      </c>
      <c r="Q1691" s="214"/>
    </row>
    <row r="1692" spans="1:17" ht="12" customHeight="1" x14ac:dyDescent="0.2">
      <c r="A1692" s="735" t="s">
        <v>6676</v>
      </c>
      <c r="B1692" s="735" t="s">
        <v>2170</v>
      </c>
      <c r="C1692" s="638" t="s">
        <v>451</v>
      </c>
      <c r="D1692" s="644" t="s">
        <v>6878</v>
      </c>
      <c r="E1692" s="751">
        <v>12000</v>
      </c>
      <c r="F1692" s="638" t="s">
        <v>6879</v>
      </c>
      <c r="G1692" s="636" t="s">
        <v>6880</v>
      </c>
      <c r="H1692" s="636" t="s">
        <v>2189</v>
      </c>
      <c r="I1692" s="636" t="s">
        <v>6685</v>
      </c>
      <c r="J1692" s="644" t="s">
        <v>6686</v>
      </c>
      <c r="K1692" s="739"/>
      <c r="L1692" s="638">
        <v>12</v>
      </c>
      <c r="M1692" s="638">
        <v>144000</v>
      </c>
      <c r="N1692" s="752"/>
      <c r="O1692" s="638">
        <v>6</v>
      </c>
      <c r="P1692" s="638">
        <v>72000</v>
      </c>
      <c r="Q1692" s="214"/>
    </row>
    <row r="1693" spans="1:17" ht="12" customHeight="1" x14ac:dyDescent="0.2">
      <c r="A1693" s="735" t="s">
        <v>6676</v>
      </c>
      <c r="B1693" s="735" t="s">
        <v>2170</v>
      </c>
      <c r="C1693" s="638" t="s">
        <v>451</v>
      </c>
      <c r="D1693" s="644" t="s">
        <v>6229</v>
      </c>
      <c r="E1693" s="751">
        <v>9000</v>
      </c>
      <c r="F1693" s="638" t="s">
        <v>6881</v>
      </c>
      <c r="G1693" s="644" t="s">
        <v>6882</v>
      </c>
      <c r="H1693" s="636" t="s">
        <v>2179</v>
      </c>
      <c r="I1693" s="636" t="s">
        <v>6548</v>
      </c>
      <c r="J1693" s="644" t="s">
        <v>6686</v>
      </c>
      <c r="K1693" s="739"/>
      <c r="L1693" s="638"/>
      <c r="M1693" s="638"/>
      <c r="N1693" s="752"/>
      <c r="O1693" s="638">
        <v>6</v>
      </c>
      <c r="P1693" s="638">
        <v>54000</v>
      </c>
      <c r="Q1693" s="214"/>
    </row>
    <row r="1694" spans="1:17" ht="12" customHeight="1" x14ac:dyDescent="0.2">
      <c r="A1694" s="735" t="s">
        <v>6676</v>
      </c>
      <c r="B1694" s="735" t="s">
        <v>2170</v>
      </c>
      <c r="C1694" s="638" t="s">
        <v>451</v>
      </c>
      <c r="D1694" s="644" t="s">
        <v>6883</v>
      </c>
      <c r="E1694" s="751">
        <v>3000</v>
      </c>
      <c r="F1694" s="638" t="s">
        <v>6884</v>
      </c>
      <c r="G1694" s="644" t="s">
        <v>6885</v>
      </c>
      <c r="H1694" s="636" t="s">
        <v>2253</v>
      </c>
      <c r="I1694" s="636" t="s">
        <v>2253</v>
      </c>
      <c r="J1694" s="644" t="s">
        <v>2253</v>
      </c>
      <c r="K1694" s="739"/>
      <c r="L1694" s="638"/>
      <c r="M1694" s="638"/>
      <c r="N1694" s="752"/>
      <c r="O1694" s="638">
        <v>6</v>
      </c>
      <c r="P1694" s="638">
        <v>18000</v>
      </c>
      <c r="Q1694" s="214"/>
    </row>
    <row r="1695" spans="1:17" ht="12" customHeight="1" x14ac:dyDescent="0.2">
      <c r="A1695" s="735" t="s">
        <v>6676</v>
      </c>
      <c r="B1695" s="735" t="s">
        <v>2170</v>
      </c>
      <c r="C1695" s="638" t="s">
        <v>451</v>
      </c>
      <c r="D1695" s="644" t="s">
        <v>5511</v>
      </c>
      <c r="E1695" s="751">
        <v>3000</v>
      </c>
      <c r="F1695" s="638" t="s">
        <v>6886</v>
      </c>
      <c r="G1695" s="636" t="s">
        <v>6887</v>
      </c>
      <c r="H1695" s="636" t="s">
        <v>6888</v>
      </c>
      <c r="I1695" s="636" t="s">
        <v>3760</v>
      </c>
      <c r="J1695" s="644" t="s">
        <v>6680</v>
      </c>
      <c r="K1695" s="739"/>
      <c r="L1695" s="638">
        <v>12</v>
      </c>
      <c r="M1695" s="638">
        <v>36000</v>
      </c>
      <c r="N1695" s="752"/>
      <c r="O1695" s="638">
        <v>6</v>
      </c>
      <c r="P1695" s="638">
        <v>18000</v>
      </c>
      <c r="Q1695" s="214"/>
    </row>
    <row r="1696" spans="1:17" ht="12" customHeight="1" x14ac:dyDescent="0.2">
      <c r="A1696" s="735" t="s">
        <v>6676</v>
      </c>
      <c r="B1696" s="735" t="s">
        <v>2170</v>
      </c>
      <c r="C1696" s="638" t="s">
        <v>451</v>
      </c>
      <c r="D1696" s="644" t="s">
        <v>6889</v>
      </c>
      <c r="E1696" s="751">
        <v>10000</v>
      </c>
      <c r="F1696" s="638" t="s">
        <v>5741</v>
      </c>
      <c r="G1696" s="636" t="s">
        <v>6890</v>
      </c>
      <c r="H1696" s="636" t="s">
        <v>2197</v>
      </c>
      <c r="I1696" s="636" t="s">
        <v>6685</v>
      </c>
      <c r="J1696" s="644" t="s">
        <v>6686</v>
      </c>
      <c r="K1696" s="739"/>
      <c r="L1696" s="638">
        <v>10</v>
      </c>
      <c r="M1696" s="638">
        <v>100000</v>
      </c>
      <c r="N1696" s="752"/>
      <c r="O1696" s="638"/>
      <c r="P1696" s="638"/>
      <c r="Q1696" s="214"/>
    </row>
    <row r="1697" spans="1:17" ht="12" customHeight="1" x14ac:dyDescent="0.2">
      <c r="A1697" s="735" t="s">
        <v>6676</v>
      </c>
      <c r="B1697" s="735" t="s">
        <v>2170</v>
      </c>
      <c r="C1697" s="638" t="s">
        <v>451</v>
      </c>
      <c r="D1697" s="644" t="s">
        <v>6681</v>
      </c>
      <c r="E1697" s="751">
        <v>9000</v>
      </c>
      <c r="F1697" s="638" t="s">
        <v>6891</v>
      </c>
      <c r="G1697" s="636" t="s">
        <v>6892</v>
      </c>
      <c r="H1697" s="636" t="s">
        <v>6684</v>
      </c>
      <c r="I1697" s="636" t="s">
        <v>6685</v>
      </c>
      <c r="J1697" s="644" t="s">
        <v>6686</v>
      </c>
      <c r="K1697" s="739"/>
      <c r="L1697" s="638">
        <v>12</v>
      </c>
      <c r="M1697" s="638">
        <v>108000</v>
      </c>
      <c r="N1697" s="752"/>
      <c r="O1697" s="638">
        <v>6</v>
      </c>
      <c r="P1697" s="638">
        <v>54000</v>
      </c>
      <c r="Q1697" s="214"/>
    </row>
    <row r="1698" spans="1:17" ht="12" customHeight="1" x14ac:dyDescent="0.2">
      <c r="A1698" s="735" t="s">
        <v>6676</v>
      </c>
      <c r="B1698" s="735" t="s">
        <v>2170</v>
      </c>
      <c r="C1698" s="638" t="s">
        <v>451</v>
      </c>
      <c r="D1698" s="644" t="s">
        <v>6893</v>
      </c>
      <c r="E1698" s="751">
        <v>3600</v>
      </c>
      <c r="F1698" s="638" t="s">
        <v>6894</v>
      </c>
      <c r="G1698" s="636" t="s">
        <v>6895</v>
      </c>
      <c r="H1698" s="636" t="s">
        <v>6896</v>
      </c>
      <c r="I1698" s="636" t="s">
        <v>6685</v>
      </c>
      <c r="J1698" s="644" t="s">
        <v>6686</v>
      </c>
      <c r="K1698" s="739"/>
      <c r="L1698" s="638">
        <v>1</v>
      </c>
      <c r="M1698" s="638">
        <v>3600</v>
      </c>
      <c r="N1698" s="752"/>
      <c r="O1698" s="638"/>
      <c r="P1698" s="638"/>
      <c r="Q1698" s="214"/>
    </row>
    <row r="1699" spans="1:17" ht="12" customHeight="1" x14ac:dyDescent="0.2">
      <c r="A1699" s="735" t="s">
        <v>6676</v>
      </c>
      <c r="B1699" s="735" t="s">
        <v>2170</v>
      </c>
      <c r="C1699" s="638" t="s">
        <v>451</v>
      </c>
      <c r="D1699" s="644" t="s">
        <v>6700</v>
      </c>
      <c r="E1699" s="751">
        <v>3500</v>
      </c>
      <c r="F1699" s="638" t="s">
        <v>6897</v>
      </c>
      <c r="G1699" s="636" t="s">
        <v>6898</v>
      </c>
      <c r="H1699" s="636" t="s">
        <v>6699</v>
      </c>
      <c r="I1699" s="636" t="s">
        <v>6685</v>
      </c>
      <c r="J1699" s="644" t="s">
        <v>6686</v>
      </c>
      <c r="K1699" s="739"/>
      <c r="L1699" s="638">
        <v>12</v>
      </c>
      <c r="M1699" s="638">
        <v>42000</v>
      </c>
      <c r="N1699" s="752"/>
      <c r="O1699" s="638">
        <v>6</v>
      </c>
      <c r="P1699" s="638">
        <v>21000</v>
      </c>
      <c r="Q1699" s="214"/>
    </row>
    <row r="1700" spans="1:17" ht="12" customHeight="1" x14ac:dyDescent="0.2">
      <c r="A1700" s="735" t="s">
        <v>6676</v>
      </c>
      <c r="B1700" s="735" t="s">
        <v>2170</v>
      </c>
      <c r="C1700" s="638" t="s">
        <v>451</v>
      </c>
      <c r="D1700" s="644" t="s">
        <v>6735</v>
      </c>
      <c r="E1700" s="751">
        <v>3500</v>
      </c>
      <c r="F1700" s="638" t="s">
        <v>6899</v>
      </c>
      <c r="G1700" s="636" t="s">
        <v>6900</v>
      </c>
      <c r="H1700" s="636" t="s">
        <v>6684</v>
      </c>
      <c r="I1700" s="636" t="s">
        <v>6685</v>
      </c>
      <c r="J1700" s="644" t="s">
        <v>6686</v>
      </c>
      <c r="K1700" s="739"/>
      <c r="L1700" s="638">
        <v>3</v>
      </c>
      <c r="M1700" s="638">
        <v>10500</v>
      </c>
      <c r="N1700" s="752"/>
      <c r="O1700" s="638"/>
      <c r="P1700" s="638"/>
      <c r="Q1700" s="214"/>
    </row>
    <row r="1701" spans="1:17" ht="12" customHeight="1" x14ac:dyDescent="0.2">
      <c r="A1701" s="735" t="s">
        <v>6676</v>
      </c>
      <c r="B1701" s="735" t="s">
        <v>2170</v>
      </c>
      <c r="C1701" s="638" t="s">
        <v>451</v>
      </c>
      <c r="D1701" s="644" t="s">
        <v>6735</v>
      </c>
      <c r="E1701" s="751">
        <v>3500</v>
      </c>
      <c r="F1701" s="638" t="s">
        <v>6901</v>
      </c>
      <c r="G1701" s="636" t="s">
        <v>6902</v>
      </c>
      <c r="H1701" s="636" t="s">
        <v>6684</v>
      </c>
      <c r="I1701" s="636" t="s">
        <v>6685</v>
      </c>
      <c r="J1701" s="644" t="s">
        <v>6686</v>
      </c>
      <c r="K1701" s="739"/>
      <c r="L1701" s="638">
        <v>1</v>
      </c>
      <c r="M1701" s="638">
        <v>3500</v>
      </c>
      <c r="N1701" s="752"/>
      <c r="O1701" s="638"/>
      <c r="P1701" s="638"/>
      <c r="Q1701" s="214"/>
    </row>
    <row r="1702" spans="1:17" ht="12" customHeight="1" x14ac:dyDescent="0.2">
      <c r="A1702" s="735" t="s">
        <v>6676</v>
      </c>
      <c r="B1702" s="735" t="s">
        <v>2170</v>
      </c>
      <c r="C1702" s="638" t="s">
        <v>451</v>
      </c>
      <c r="D1702" s="644" t="s">
        <v>3444</v>
      </c>
      <c r="E1702" s="751">
        <v>3500</v>
      </c>
      <c r="F1702" s="638" t="s">
        <v>6901</v>
      </c>
      <c r="G1702" s="644" t="s">
        <v>6902</v>
      </c>
      <c r="H1702" s="636" t="s">
        <v>6684</v>
      </c>
      <c r="I1702" s="636" t="s">
        <v>6685</v>
      </c>
      <c r="J1702" s="644" t="s">
        <v>6686</v>
      </c>
      <c r="K1702" s="739"/>
      <c r="L1702" s="638"/>
      <c r="M1702" s="638"/>
      <c r="N1702" s="752"/>
      <c r="O1702" s="638">
        <v>6</v>
      </c>
      <c r="P1702" s="638">
        <v>21000</v>
      </c>
      <c r="Q1702" s="214"/>
    </row>
    <row r="1703" spans="1:17" ht="12" customHeight="1" x14ac:dyDescent="0.2">
      <c r="A1703" s="735" t="s">
        <v>6676</v>
      </c>
      <c r="B1703" s="735" t="s">
        <v>2170</v>
      </c>
      <c r="C1703" s="638" t="s">
        <v>451</v>
      </c>
      <c r="D1703" s="644" t="s">
        <v>6797</v>
      </c>
      <c r="E1703" s="751">
        <v>9000</v>
      </c>
      <c r="F1703" s="638" t="s">
        <v>6903</v>
      </c>
      <c r="G1703" s="636" t="s">
        <v>6904</v>
      </c>
      <c r="H1703" s="636" t="s">
        <v>6684</v>
      </c>
      <c r="I1703" s="636" t="s">
        <v>6685</v>
      </c>
      <c r="J1703" s="644" t="s">
        <v>6686</v>
      </c>
      <c r="K1703" s="739"/>
      <c r="L1703" s="638">
        <v>12</v>
      </c>
      <c r="M1703" s="638">
        <v>108000</v>
      </c>
      <c r="N1703" s="752"/>
      <c r="O1703" s="638">
        <v>6</v>
      </c>
      <c r="P1703" s="638">
        <v>54000</v>
      </c>
      <c r="Q1703" s="214"/>
    </row>
    <row r="1704" spans="1:17" ht="12" customHeight="1" x14ac:dyDescent="0.2">
      <c r="A1704" s="735" t="s">
        <v>6676</v>
      </c>
      <c r="B1704" s="735" t="s">
        <v>2170</v>
      </c>
      <c r="C1704" s="638" t="s">
        <v>451</v>
      </c>
      <c r="D1704" s="644" t="s">
        <v>6883</v>
      </c>
      <c r="E1704" s="751">
        <v>3000</v>
      </c>
      <c r="F1704" s="638" t="s">
        <v>6905</v>
      </c>
      <c r="G1704" s="636" t="s">
        <v>6906</v>
      </c>
      <c r="H1704" s="636" t="s">
        <v>6907</v>
      </c>
      <c r="I1704" s="636" t="s">
        <v>2253</v>
      </c>
      <c r="J1704" s="644" t="s">
        <v>2253</v>
      </c>
      <c r="K1704" s="739"/>
      <c r="L1704" s="638">
        <v>5</v>
      </c>
      <c r="M1704" s="638">
        <v>15000</v>
      </c>
      <c r="N1704" s="752"/>
      <c r="O1704" s="638"/>
      <c r="P1704" s="638"/>
      <c r="Q1704" s="214"/>
    </row>
    <row r="1705" spans="1:17" ht="12" customHeight="1" x14ac:dyDescent="0.2">
      <c r="A1705" s="735" t="s">
        <v>6676</v>
      </c>
      <c r="B1705" s="735" t="s">
        <v>2170</v>
      </c>
      <c r="C1705" s="638" t="s">
        <v>451</v>
      </c>
      <c r="D1705" s="644" t="s">
        <v>2214</v>
      </c>
      <c r="E1705" s="751">
        <v>3000</v>
      </c>
      <c r="F1705" s="638" t="s">
        <v>6908</v>
      </c>
      <c r="G1705" s="644" t="s">
        <v>6909</v>
      </c>
      <c r="H1705" s="636" t="s">
        <v>2253</v>
      </c>
      <c r="I1705" s="636" t="s">
        <v>2253</v>
      </c>
      <c r="J1705" s="644" t="s">
        <v>2253</v>
      </c>
      <c r="K1705" s="739"/>
      <c r="L1705" s="638"/>
      <c r="M1705" s="638"/>
      <c r="N1705" s="752"/>
      <c r="O1705" s="638">
        <v>6</v>
      </c>
      <c r="P1705" s="638">
        <v>18000</v>
      </c>
      <c r="Q1705" s="214"/>
    </row>
    <row r="1706" spans="1:17" ht="12" customHeight="1" x14ac:dyDescent="0.2">
      <c r="A1706" s="735" t="s">
        <v>6676</v>
      </c>
      <c r="B1706" s="735" t="s">
        <v>2170</v>
      </c>
      <c r="C1706" s="638" t="s">
        <v>451</v>
      </c>
      <c r="D1706" s="644" t="s">
        <v>3305</v>
      </c>
      <c r="E1706" s="751">
        <v>14000</v>
      </c>
      <c r="F1706" s="638" t="s">
        <v>6910</v>
      </c>
      <c r="G1706" s="636" t="s">
        <v>6911</v>
      </c>
      <c r="H1706" s="636" t="s">
        <v>6536</v>
      </c>
      <c r="I1706" s="636" t="s">
        <v>2180</v>
      </c>
      <c r="J1706" s="644" t="s">
        <v>6686</v>
      </c>
      <c r="K1706" s="739"/>
      <c r="L1706" s="638">
        <v>1</v>
      </c>
      <c r="M1706" s="638">
        <v>14000</v>
      </c>
      <c r="N1706" s="752"/>
      <c r="O1706" s="638"/>
      <c r="P1706" s="638"/>
      <c r="Q1706" s="214"/>
    </row>
    <row r="1707" spans="1:17" ht="12" customHeight="1" x14ac:dyDescent="0.2">
      <c r="A1707" s="735" t="s">
        <v>6676</v>
      </c>
      <c r="B1707" s="735" t="s">
        <v>2170</v>
      </c>
      <c r="C1707" s="638" t="s">
        <v>451</v>
      </c>
      <c r="D1707" s="644" t="s">
        <v>2369</v>
      </c>
      <c r="E1707" s="751">
        <v>3500</v>
      </c>
      <c r="F1707" s="638" t="s">
        <v>6912</v>
      </c>
      <c r="G1707" s="636" t="s">
        <v>6913</v>
      </c>
      <c r="H1707" s="636" t="s">
        <v>2346</v>
      </c>
      <c r="I1707" s="636" t="s">
        <v>6685</v>
      </c>
      <c r="J1707" s="644" t="s">
        <v>6686</v>
      </c>
      <c r="K1707" s="739"/>
      <c r="L1707" s="638">
        <v>4</v>
      </c>
      <c r="M1707" s="638">
        <v>14000</v>
      </c>
      <c r="N1707" s="752"/>
      <c r="O1707" s="638"/>
      <c r="P1707" s="638"/>
      <c r="Q1707" s="214"/>
    </row>
    <row r="1708" spans="1:17" ht="12" customHeight="1" x14ac:dyDescent="0.2">
      <c r="A1708" s="735" t="s">
        <v>6676</v>
      </c>
      <c r="B1708" s="735" t="s">
        <v>2170</v>
      </c>
      <c r="C1708" s="638" t="s">
        <v>451</v>
      </c>
      <c r="D1708" s="644" t="s">
        <v>5560</v>
      </c>
      <c r="E1708" s="751">
        <v>9000</v>
      </c>
      <c r="F1708" s="638" t="s">
        <v>6914</v>
      </c>
      <c r="G1708" s="636" t="s">
        <v>6915</v>
      </c>
      <c r="H1708" s="636" t="s">
        <v>6684</v>
      </c>
      <c r="I1708" s="636" t="s">
        <v>6685</v>
      </c>
      <c r="J1708" s="644" t="s">
        <v>6686</v>
      </c>
      <c r="K1708" s="739"/>
      <c r="L1708" s="638">
        <v>8</v>
      </c>
      <c r="M1708" s="638">
        <v>72000</v>
      </c>
      <c r="N1708" s="752"/>
      <c r="O1708" s="638"/>
      <c r="P1708" s="638"/>
      <c r="Q1708" s="214"/>
    </row>
    <row r="1709" spans="1:17" ht="12" customHeight="1" x14ac:dyDescent="0.2">
      <c r="A1709" s="735" t="s">
        <v>6676</v>
      </c>
      <c r="B1709" s="735" t="s">
        <v>2170</v>
      </c>
      <c r="C1709" s="638" t="s">
        <v>451</v>
      </c>
      <c r="D1709" s="644" t="s">
        <v>6700</v>
      </c>
      <c r="E1709" s="751">
        <v>3500</v>
      </c>
      <c r="F1709" s="638" t="s">
        <v>6916</v>
      </c>
      <c r="G1709" s="636" t="s">
        <v>6917</v>
      </c>
      <c r="H1709" s="636" t="s">
        <v>6699</v>
      </c>
      <c r="I1709" s="636" t="s">
        <v>6685</v>
      </c>
      <c r="J1709" s="644" t="s">
        <v>6686</v>
      </c>
      <c r="K1709" s="739"/>
      <c r="L1709" s="638">
        <v>9</v>
      </c>
      <c r="M1709" s="638">
        <v>31500</v>
      </c>
      <c r="N1709" s="752"/>
      <c r="O1709" s="638"/>
      <c r="P1709" s="638"/>
      <c r="Q1709" s="214"/>
    </row>
    <row r="1710" spans="1:17" ht="12" customHeight="1" x14ac:dyDescent="0.2">
      <c r="A1710" s="735" t="s">
        <v>6676</v>
      </c>
      <c r="B1710" s="735" t="s">
        <v>2170</v>
      </c>
      <c r="C1710" s="638" t="s">
        <v>451</v>
      </c>
      <c r="D1710" s="644" t="s">
        <v>3444</v>
      </c>
      <c r="E1710" s="751">
        <v>3500</v>
      </c>
      <c r="F1710" s="638" t="s">
        <v>6918</v>
      </c>
      <c r="G1710" s="644" t="s">
        <v>6919</v>
      </c>
      <c r="H1710" s="636" t="s">
        <v>6536</v>
      </c>
      <c r="I1710" s="636" t="s">
        <v>6548</v>
      </c>
      <c r="J1710" s="644" t="s">
        <v>6686</v>
      </c>
      <c r="K1710" s="739"/>
      <c r="L1710" s="638"/>
      <c r="M1710" s="638"/>
      <c r="N1710" s="752"/>
      <c r="O1710" s="638">
        <v>6</v>
      </c>
      <c r="P1710" s="638">
        <v>21000</v>
      </c>
      <c r="Q1710" s="214"/>
    </row>
    <row r="1711" spans="1:17" ht="12" customHeight="1" x14ac:dyDescent="0.2">
      <c r="A1711" s="735" t="s">
        <v>6676</v>
      </c>
      <c r="B1711" s="735" t="s">
        <v>2170</v>
      </c>
      <c r="C1711" s="638" t="s">
        <v>451</v>
      </c>
      <c r="D1711" s="644" t="s">
        <v>6920</v>
      </c>
      <c r="E1711" s="751">
        <v>9000</v>
      </c>
      <c r="F1711" s="638" t="s">
        <v>6921</v>
      </c>
      <c r="G1711" s="636" t="s">
        <v>6922</v>
      </c>
      <c r="H1711" s="636" t="s">
        <v>6699</v>
      </c>
      <c r="I1711" s="636" t="s">
        <v>6685</v>
      </c>
      <c r="J1711" s="644" t="s">
        <v>6686</v>
      </c>
      <c r="K1711" s="739"/>
      <c r="L1711" s="638">
        <v>12</v>
      </c>
      <c r="M1711" s="638">
        <v>108000</v>
      </c>
      <c r="N1711" s="752"/>
      <c r="O1711" s="638">
        <v>6</v>
      </c>
      <c r="P1711" s="638">
        <v>54000</v>
      </c>
      <c r="Q1711" s="214"/>
    </row>
    <row r="1712" spans="1:17" ht="12" customHeight="1" x14ac:dyDescent="0.2">
      <c r="A1712" s="735" t="s">
        <v>6676</v>
      </c>
      <c r="B1712" s="735" t="s">
        <v>2170</v>
      </c>
      <c r="C1712" s="638" t="s">
        <v>451</v>
      </c>
      <c r="D1712" s="644" t="s">
        <v>6923</v>
      </c>
      <c r="E1712" s="751">
        <v>14000</v>
      </c>
      <c r="F1712" s="638" t="s">
        <v>6924</v>
      </c>
      <c r="G1712" s="636" t="s">
        <v>6925</v>
      </c>
      <c r="H1712" s="636" t="s">
        <v>6926</v>
      </c>
      <c r="I1712" s="636" t="s">
        <v>6685</v>
      </c>
      <c r="J1712" s="644" t="s">
        <v>6686</v>
      </c>
      <c r="K1712" s="739"/>
      <c r="L1712" s="638">
        <v>12</v>
      </c>
      <c r="M1712" s="638">
        <v>168000</v>
      </c>
      <c r="N1712" s="752"/>
      <c r="O1712" s="638">
        <v>6</v>
      </c>
      <c r="P1712" s="638">
        <v>84000</v>
      </c>
      <c r="Q1712" s="214"/>
    </row>
    <row r="1713" spans="1:17" ht="12" customHeight="1" x14ac:dyDescent="0.2">
      <c r="A1713" s="735" t="s">
        <v>6676</v>
      </c>
      <c r="B1713" s="735" t="s">
        <v>2170</v>
      </c>
      <c r="C1713" s="638" t="s">
        <v>451</v>
      </c>
      <c r="D1713" s="644" t="s">
        <v>6812</v>
      </c>
      <c r="E1713" s="751">
        <v>8500</v>
      </c>
      <c r="F1713" s="638" t="s">
        <v>6927</v>
      </c>
      <c r="G1713" s="636" t="s">
        <v>6928</v>
      </c>
      <c r="H1713" s="636" t="s">
        <v>6765</v>
      </c>
      <c r="I1713" s="636" t="s">
        <v>6685</v>
      </c>
      <c r="J1713" s="644" t="s">
        <v>6686</v>
      </c>
      <c r="K1713" s="739"/>
      <c r="L1713" s="638">
        <v>8</v>
      </c>
      <c r="M1713" s="638">
        <v>68000</v>
      </c>
      <c r="N1713" s="752"/>
      <c r="O1713" s="638"/>
      <c r="P1713" s="638"/>
      <c r="Q1713" s="214"/>
    </row>
    <row r="1714" spans="1:17" ht="12" customHeight="1" x14ac:dyDescent="0.2">
      <c r="A1714" s="735" t="s">
        <v>6676</v>
      </c>
      <c r="B1714" s="735" t="s">
        <v>2170</v>
      </c>
      <c r="C1714" s="638" t="s">
        <v>451</v>
      </c>
      <c r="D1714" s="644" t="s">
        <v>6883</v>
      </c>
      <c r="E1714" s="751">
        <v>3000</v>
      </c>
      <c r="F1714" s="638" t="s">
        <v>6929</v>
      </c>
      <c r="G1714" s="636" t="s">
        <v>6930</v>
      </c>
      <c r="H1714" s="636" t="s">
        <v>6931</v>
      </c>
      <c r="I1714" s="636" t="s">
        <v>2253</v>
      </c>
      <c r="J1714" s="644" t="s">
        <v>2253</v>
      </c>
      <c r="K1714" s="739"/>
      <c r="L1714" s="638">
        <v>5</v>
      </c>
      <c r="M1714" s="638">
        <v>15000</v>
      </c>
      <c r="N1714" s="752"/>
      <c r="O1714" s="638"/>
      <c r="P1714" s="638"/>
      <c r="Q1714" s="214"/>
    </row>
    <row r="1715" spans="1:17" ht="12" customHeight="1" x14ac:dyDescent="0.2">
      <c r="A1715" s="735" t="s">
        <v>6676</v>
      </c>
      <c r="B1715" s="735" t="s">
        <v>2170</v>
      </c>
      <c r="C1715" s="638" t="s">
        <v>451</v>
      </c>
      <c r="D1715" s="644" t="s">
        <v>6883</v>
      </c>
      <c r="E1715" s="751">
        <v>3000</v>
      </c>
      <c r="F1715" s="638" t="s">
        <v>6929</v>
      </c>
      <c r="G1715" s="644" t="s">
        <v>6930</v>
      </c>
      <c r="H1715" s="636" t="s">
        <v>6931</v>
      </c>
      <c r="I1715" s="636" t="s">
        <v>2253</v>
      </c>
      <c r="J1715" s="644" t="s">
        <v>2253</v>
      </c>
      <c r="K1715" s="739"/>
      <c r="L1715" s="638">
        <v>7</v>
      </c>
      <c r="M1715" s="638">
        <v>21000</v>
      </c>
      <c r="N1715" s="752"/>
      <c r="O1715" s="638">
        <v>6</v>
      </c>
      <c r="P1715" s="638">
        <v>18000</v>
      </c>
      <c r="Q1715" s="214"/>
    </row>
    <row r="1716" spans="1:17" ht="12" customHeight="1" x14ac:dyDescent="0.2">
      <c r="A1716" s="735" t="s">
        <v>6676</v>
      </c>
      <c r="B1716" s="735" t="s">
        <v>2170</v>
      </c>
      <c r="C1716" s="638" t="s">
        <v>451</v>
      </c>
      <c r="D1716" s="644" t="s">
        <v>6700</v>
      </c>
      <c r="E1716" s="751">
        <v>3500</v>
      </c>
      <c r="F1716" s="638" t="s">
        <v>6932</v>
      </c>
      <c r="G1716" s="644" t="s">
        <v>6933</v>
      </c>
      <c r="H1716" s="636" t="s">
        <v>6699</v>
      </c>
      <c r="I1716" s="636" t="s">
        <v>6685</v>
      </c>
      <c r="J1716" s="644" t="s">
        <v>6686</v>
      </c>
      <c r="K1716" s="739"/>
      <c r="L1716" s="638">
        <v>7</v>
      </c>
      <c r="M1716" s="638">
        <v>24500</v>
      </c>
      <c r="N1716" s="752"/>
      <c r="O1716" s="638"/>
      <c r="P1716" s="638"/>
      <c r="Q1716" s="214"/>
    </row>
    <row r="1717" spans="1:17" ht="12" customHeight="1" x14ac:dyDescent="0.2">
      <c r="A1717" s="735" t="s">
        <v>6676</v>
      </c>
      <c r="B1717" s="735" t="s">
        <v>2170</v>
      </c>
      <c r="C1717" s="638" t="s">
        <v>451</v>
      </c>
      <c r="D1717" s="644" t="s">
        <v>6700</v>
      </c>
      <c r="E1717" s="751">
        <v>3500</v>
      </c>
      <c r="F1717" s="638" t="s">
        <v>6934</v>
      </c>
      <c r="G1717" s="644" t="s">
        <v>6935</v>
      </c>
      <c r="H1717" s="636" t="s">
        <v>6794</v>
      </c>
      <c r="I1717" s="636" t="s">
        <v>6685</v>
      </c>
      <c r="J1717" s="644" t="s">
        <v>6686</v>
      </c>
      <c r="K1717" s="739"/>
      <c r="L1717" s="638"/>
      <c r="M1717" s="638"/>
      <c r="N1717" s="752"/>
      <c r="O1717" s="638">
        <v>6</v>
      </c>
      <c r="P1717" s="638">
        <v>21000</v>
      </c>
      <c r="Q1717" s="214"/>
    </row>
    <row r="1718" spans="1:17" ht="12" customHeight="1" x14ac:dyDescent="0.2">
      <c r="A1718" s="735" t="s">
        <v>6676</v>
      </c>
      <c r="B1718" s="735" t="s">
        <v>2170</v>
      </c>
      <c r="C1718" s="638" t="s">
        <v>451</v>
      </c>
      <c r="D1718" s="644" t="s">
        <v>6717</v>
      </c>
      <c r="E1718" s="751">
        <v>9000</v>
      </c>
      <c r="F1718" s="638" t="s">
        <v>6936</v>
      </c>
      <c r="G1718" s="636" t="s">
        <v>6937</v>
      </c>
      <c r="H1718" s="636" t="s">
        <v>6699</v>
      </c>
      <c r="I1718" s="636" t="s">
        <v>6685</v>
      </c>
      <c r="J1718" s="644" t="s">
        <v>6686</v>
      </c>
      <c r="K1718" s="739"/>
      <c r="L1718" s="638">
        <v>12</v>
      </c>
      <c r="M1718" s="638">
        <v>108000</v>
      </c>
      <c r="N1718" s="752"/>
      <c r="O1718" s="638">
        <v>6</v>
      </c>
      <c r="P1718" s="638">
        <v>54000</v>
      </c>
      <c r="Q1718" s="214"/>
    </row>
    <row r="1719" spans="1:17" ht="12" customHeight="1" x14ac:dyDescent="0.2">
      <c r="A1719" s="735" t="s">
        <v>6676</v>
      </c>
      <c r="B1719" s="735" t="s">
        <v>2170</v>
      </c>
      <c r="C1719" s="638" t="s">
        <v>451</v>
      </c>
      <c r="D1719" s="644" t="s">
        <v>3444</v>
      </c>
      <c r="E1719" s="751">
        <v>3500</v>
      </c>
      <c r="F1719" s="638" t="s">
        <v>6938</v>
      </c>
      <c r="G1719" s="644" t="s">
        <v>6939</v>
      </c>
      <c r="H1719" s="636" t="s">
        <v>6536</v>
      </c>
      <c r="I1719" s="636" t="s">
        <v>6548</v>
      </c>
      <c r="J1719" s="644" t="s">
        <v>6686</v>
      </c>
      <c r="K1719" s="739"/>
      <c r="L1719" s="638"/>
      <c r="M1719" s="638"/>
      <c r="N1719" s="752"/>
      <c r="O1719" s="638">
        <v>6</v>
      </c>
      <c r="P1719" s="638">
        <v>21000</v>
      </c>
      <c r="Q1719" s="214"/>
    </row>
    <row r="1720" spans="1:17" ht="12" customHeight="1" x14ac:dyDescent="0.2">
      <c r="A1720" s="735" t="s">
        <v>6676</v>
      </c>
      <c r="B1720" s="735" t="s">
        <v>2170</v>
      </c>
      <c r="C1720" s="638" t="s">
        <v>451</v>
      </c>
      <c r="D1720" s="644" t="s">
        <v>5503</v>
      </c>
      <c r="E1720" s="751">
        <v>9000</v>
      </c>
      <c r="F1720" s="638" t="s">
        <v>6940</v>
      </c>
      <c r="G1720" s="644" t="s">
        <v>6941</v>
      </c>
      <c r="H1720" s="636" t="s">
        <v>6536</v>
      </c>
      <c r="I1720" s="636" t="s">
        <v>6548</v>
      </c>
      <c r="J1720" s="644" t="s">
        <v>6686</v>
      </c>
      <c r="K1720" s="739"/>
      <c r="L1720" s="638"/>
      <c r="M1720" s="638"/>
      <c r="N1720" s="752"/>
      <c r="O1720" s="638">
        <v>6</v>
      </c>
      <c r="P1720" s="638">
        <v>54000</v>
      </c>
      <c r="Q1720" s="214"/>
    </row>
    <row r="1721" spans="1:17" ht="12" customHeight="1" x14ac:dyDescent="0.2">
      <c r="A1721" s="735" t="s">
        <v>6676</v>
      </c>
      <c r="B1721" s="735" t="s">
        <v>2170</v>
      </c>
      <c r="C1721" s="638" t="s">
        <v>451</v>
      </c>
      <c r="D1721" s="644" t="s">
        <v>6735</v>
      </c>
      <c r="E1721" s="751">
        <v>3500</v>
      </c>
      <c r="F1721" s="638" t="s">
        <v>6942</v>
      </c>
      <c r="G1721" s="636" t="s">
        <v>6943</v>
      </c>
      <c r="H1721" s="636" t="s">
        <v>6684</v>
      </c>
      <c r="I1721" s="636" t="s">
        <v>6685</v>
      </c>
      <c r="J1721" s="644" t="s">
        <v>6686</v>
      </c>
      <c r="K1721" s="739"/>
      <c r="L1721" s="638">
        <v>5</v>
      </c>
      <c r="M1721" s="638">
        <v>17500</v>
      </c>
      <c r="N1721" s="752"/>
      <c r="O1721" s="638"/>
      <c r="P1721" s="638"/>
      <c r="Q1721" s="214"/>
    </row>
    <row r="1722" spans="1:17" ht="12" customHeight="1" x14ac:dyDescent="0.2">
      <c r="A1722" s="735" t="s">
        <v>6676</v>
      </c>
      <c r="B1722" s="735" t="s">
        <v>2170</v>
      </c>
      <c r="C1722" s="638" t="s">
        <v>451</v>
      </c>
      <c r="D1722" s="644" t="s">
        <v>6700</v>
      </c>
      <c r="E1722" s="751">
        <v>3500</v>
      </c>
      <c r="F1722" s="638" t="s">
        <v>6942</v>
      </c>
      <c r="G1722" s="644" t="s">
        <v>6943</v>
      </c>
      <c r="H1722" s="636" t="s">
        <v>6684</v>
      </c>
      <c r="I1722" s="636" t="s">
        <v>6685</v>
      </c>
      <c r="J1722" s="644" t="s">
        <v>6686</v>
      </c>
      <c r="K1722" s="739"/>
      <c r="L1722" s="638"/>
      <c r="M1722" s="638"/>
      <c r="N1722" s="752"/>
      <c r="O1722" s="638">
        <v>6</v>
      </c>
      <c r="P1722" s="638">
        <v>21000</v>
      </c>
      <c r="Q1722" s="214"/>
    </row>
    <row r="1723" spans="1:17" ht="12" customHeight="1" x14ac:dyDescent="0.2">
      <c r="A1723" s="735" t="s">
        <v>6676</v>
      </c>
      <c r="B1723" s="735" t="s">
        <v>2170</v>
      </c>
      <c r="C1723" s="638" t="s">
        <v>451</v>
      </c>
      <c r="D1723" s="644" t="s">
        <v>6752</v>
      </c>
      <c r="E1723" s="751">
        <v>3500</v>
      </c>
      <c r="F1723" s="638" t="s">
        <v>6944</v>
      </c>
      <c r="G1723" s="644" t="s">
        <v>6945</v>
      </c>
      <c r="H1723" s="636" t="s">
        <v>6625</v>
      </c>
      <c r="I1723" s="636" t="s">
        <v>6685</v>
      </c>
      <c r="J1723" s="644" t="s">
        <v>6686</v>
      </c>
      <c r="K1723" s="739"/>
      <c r="L1723" s="638"/>
      <c r="M1723" s="638"/>
      <c r="N1723" s="752"/>
      <c r="O1723" s="638">
        <v>6</v>
      </c>
      <c r="P1723" s="638">
        <v>21000</v>
      </c>
      <c r="Q1723" s="214"/>
    </row>
    <row r="1724" spans="1:17" ht="12" customHeight="1" x14ac:dyDescent="0.2">
      <c r="A1724" s="735" t="s">
        <v>6676</v>
      </c>
      <c r="B1724" s="735" t="s">
        <v>2170</v>
      </c>
      <c r="C1724" s="638" t="s">
        <v>451</v>
      </c>
      <c r="D1724" s="644" t="s">
        <v>6717</v>
      </c>
      <c r="E1724" s="751">
        <v>9000</v>
      </c>
      <c r="F1724" s="638" t="s">
        <v>6946</v>
      </c>
      <c r="G1724" s="636" t="s">
        <v>6947</v>
      </c>
      <c r="H1724" s="636" t="s">
        <v>6699</v>
      </c>
      <c r="I1724" s="636" t="s">
        <v>6685</v>
      </c>
      <c r="J1724" s="644" t="s">
        <v>6686</v>
      </c>
      <c r="K1724" s="739"/>
      <c r="L1724" s="638">
        <v>12</v>
      </c>
      <c r="M1724" s="638">
        <v>108000</v>
      </c>
      <c r="N1724" s="752"/>
      <c r="O1724" s="638">
        <v>6</v>
      </c>
      <c r="P1724" s="638">
        <v>54000</v>
      </c>
      <c r="Q1724" s="214"/>
    </row>
    <row r="1725" spans="1:17" ht="12" customHeight="1" x14ac:dyDescent="0.2">
      <c r="A1725" s="735" t="s">
        <v>6676</v>
      </c>
      <c r="B1725" s="735" t="s">
        <v>2170</v>
      </c>
      <c r="C1725" s="638" t="s">
        <v>451</v>
      </c>
      <c r="D1725" s="644" t="s">
        <v>3444</v>
      </c>
      <c r="E1725" s="751">
        <v>3500</v>
      </c>
      <c r="F1725" s="638" t="s">
        <v>6948</v>
      </c>
      <c r="G1725" s="644" t="s">
        <v>6949</v>
      </c>
      <c r="H1725" s="636" t="s">
        <v>6536</v>
      </c>
      <c r="I1725" s="636" t="s">
        <v>6548</v>
      </c>
      <c r="J1725" s="644" t="s">
        <v>6686</v>
      </c>
      <c r="K1725" s="739"/>
      <c r="L1725" s="638"/>
      <c r="M1725" s="638"/>
      <c r="N1725" s="752"/>
      <c r="O1725" s="638">
        <v>6</v>
      </c>
      <c r="P1725" s="638">
        <v>21000</v>
      </c>
      <c r="Q1725" s="214"/>
    </row>
    <row r="1726" spans="1:17" ht="12" customHeight="1" x14ac:dyDescent="0.2">
      <c r="A1726" s="735" t="s">
        <v>6676</v>
      </c>
      <c r="B1726" s="735" t="s">
        <v>2170</v>
      </c>
      <c r="C1726" s="638" t="s">
        <v>451</v>
      </c>
      <c r="D1726" s="644" t="s">
        <v>6883</v>
      </c>
      <c r="E1726" s="751">
        <v>3000</v>
      </c>
      <c r="F1726" s="638" t="s">
        <v>6950</v>
      </c>
      <c r="G1726" s="644" t="s">
        <v>6951</v>
      </c>
      <c r="H1726" s="636" t="s">
        <v>2253</v>
      </c>
      <c r="I1726" s="636" t="s">
        <v>2253</v>
      </c>
      <c r="J1726" s="644" t="s">
        <v>2253</v>
      </c>
      <c r="K1726" s="739"/>
      <c r="L1726" s="638"/>
      <c r="M1726" s="638"/>
      <c r="N1726" s="752"/>
      <c r="O1726" s="638">
        <v>6</v>
      </c>
      <c r="P1726" s="638">
        <v>18000</v>
      </c>
      <c r="Q1726" s="214"/>
    </row>
    <row r="1727" spans="1:17" ht="12" customHeight="1" x14ac:dyDescent="0.2">
      <c r="A1727" s="735" t="s">
        <v>6676</v>
      </c>
      <c r="B1727" s="735" t="s">
        <v>2170</v>
      </c>
      <c r="C1727" s="638" t="s">
        <v>451</v>
      </c>
      <c r="D1727" s="644" t="s">
        <v>6818</v>
      </c>
      <c r="E1727" s="751">
        <v>3500</v>
      </c>
      <c r="F1727" s="638" t="s">
        <v>6952</v>
      </c>
      <c r="G1727" s="636" t="s">
        <v>6953</v>
      </c>
      <c r="H1727" s="636" t="s">
        <v>6745</v>
      </c>
      <c r="I1727" s="636" t="s">
        <v>6685</v>
      </c>
      <c r="J1727" s="644" t="s">
        <v>6686</v>
      </c>
      <c r="K1727" s="739"/>
      <c r="L1727" s="638">
        <v>2</v>
      </c>
      <c r="M1727" s="638">
        <v>7000</v>
      </c>
      <c r="N1727" s="752"/>
      <c r="O1727" s="638"/>
      <c r="P1727" s="638"/>
      <c r="Q1727" s="214"/>
    </row>
    <row r="1728" spans="1:17" ht="12" customHeight="1" x14ac:dyDescent="0.2">
      <c r="A1728" s="735" t="s">
        <v>6676</v>
      </c>
      <c r="B1728" s="735" t="s">
        <v>2170</v>
      </c>
      <c r="C1728" s="638" t="s">
        <v>451</v>
      </c>
      <c r="D1728" s="644" t="s">
        <v>6818</v>
      </c>
      <c r="E1728" s="751">
        <v>3500</v>
      </c>
      <c r="F1728" s="638" t="s">
        <v>6952</v>
      </c>
      <c r="G1728" s="644" t="s">
        <v>6953</v>
      </c>
      <c r="H1728" s="636" t="s">
        <v>6745</v>
      </c>
      <c r="I1728" s="636" t="s">
        <v>6685</v>
      </c>
      <c r="J1728" s="644" t="s">
        <v>6686</v>
      </c>
      <c r="K1728" s="739"/>
      <c r="L1728" s="638">
        <v>10</v>
      </c>
      <c r="M1728" s="638">
        <v>35000</v>
      </c>
      <c r="N1728" s="752"/>
      <c r="O1728" s="638">
        <v>6</v>
      </c>
      <c r="P1728" s="638">
        <v>21000</v>
      </c>
      <c r="Q1728" s="214"/>
    </row>
    <row r="1729" spans="1:17" ht="12" customHeight="1" x14ac:dyDescent="0.2">
      <c r="A1729" s="735" t="s">
        <v>6676</v>
      </c>
      <c r="B1729" s="735" t="s">
        <v>2170</v>
      </c>
      <c r="C1729" s="638" t="s">
        <v>451</v>
      </c>
      <c r="D1729" s="644" t="s">
        <v>2918</v>
      </c>
      <c r="E1729" s="751">
        <v>8500</v>
      </c>
      <c r="F1729" s="638" t="s">
        <v>6954</v>
      </c>
      <c r="G1729" s="644" t="s">
        <v>6955</v>
      </c>
      <c r="H1729" s="636" t="s">
        <v>6536</v>
      </c>
      <c r="I1729" s="636" t="s">
        <v>2180</v>
      </c>
      <c r="J1729" s="644" t="s">
        <v>6686</v>
      </c>
      <c r="K1729" s="739"/>
      <c r="L1729" s="638">
        <v>2</v>
      </c>
      <c r="M1729" s="638">
        <v>17000</v>
      </c>
      <c r="N1729" s="752"/>
      <c r="O1729" s="638"/>
      <c r="P1729" s="638"/>
      <c r="Q1729" s="214"/>
    </row>
    <row r="1730" spans="1:17" ht="12" customHeight="1" x14ac:dyDescent="0.2">
      <c r="A1730" s="735" t="s">
        <v>6676</v>
      </c>
      <c r="B1730" s="735" t="s">
        <v>2170</v>
      </c>
      <c r="C1730" s="638" t="s">
        <v>451</v>
      </c>
      <c r="D1730" s="644" t="s">
        <v>6956</v>
      </c>
      <c r="E1730" s="751">
        <v>6000</v>
      </c>
      <c r="F1730" s="638" t="s">
        <v>6957</v>
      </c>
      <c r="G1730" s="636" t="s">
        <v>6958</v>
      </c>
      <c r="H1730" s="636" t="s">
        <v>6834</v>
      </c>
      <c r="I1730" s="636" t="s">
        <v>6685</v>
      </c>
      <c r="J1730" s="644" t="s">
        <v>6686</v>
      </c>
      <c r="K1730" s="739"/>
      <c r="L1730" s="638">
        <v>1</v>
      </c>
      <c r="M1730" s="638">
        <v>6000</v>
      </c>
      <c r="N1730" s="752"/>
      <c r="O1730" s="638"/>
      <c r="P1730" s="638"/>
      <c r="Q1730" s="214"/>
    </row>
    <row r="1731" spans="1:17" ht="12" customHeight="1" x14ac:dyDescent="0.2">
      <c r="A1731" s="735" t="s">
        <v>6676</v>
      </c>
      <c r="B1731" s="735" t="s">
        <v>2170</v>
      </c>
      <c r="C1731" s="638" t="s">
        <v>451</v>
      </c>
      <c r="D1731" s="644" t="s">
        <v>5948</v>
      </c>
      <c r="E1731" s="751">
        <v>7000</v>
      </c>
      <c r="F1731" s="638" t="s">
        <v>6957</v>
      </c>
      <c r="G1731" s="644" t="s">
        <v>6958</v>
      </c>
      <c r="H1731" s="636" t="s">
        <v>6834</v>
      </c>
      <c r="I1731" s="636" t="s">
        <v>6685</v>
      </c>
      <c r="J1731" s="644" t="s">
        <v>6686</v>
      </c>
      <c r="K1731" s="739"/>
      <c r="L1731" s="638">
        <v>11</v>
      </c>
      <c r="M1731" s="638">
        <v>77000</v>
      </c>
      <c r="N1731" s="752"/>
      <c r="O1731" s="638">
        <v>6</v>
      </c>
      <c r="P1731" s="638">
        <v>42000</v>
      </c>
      <c r="Q1731" s="214"/>
    </row>
    <row r="1732" spans="1:17" ht="12" customHeight="1" x14ac:dyDescent="0.2">
      <c r="A1732" s="735" t="s">
        <v>6676</v>
      </c>
      <c r="B1732" s="735" t="s">
        <v>2170</v>
      </c>
      <c r="C1732" s="638" t="s">
        <v>451</v>
      </c>
      <c r="D1732" s="644" t="s">
        <v>6959</v>
      </c>
      <c r="E1732" s="751">
        <v>8500</v>
      </c>
      <c r="F1732" s="638" t="s">
        <v>6960</v>
      </c>
      <c r="G1732" s="636" t="s">
        <v>6961</v>
      </c>
      <c r="H1732" s="636" t="s">
        <v>6962</v>
      </c>
      <c r="I1732" s="636" t="s">
        <v>6685</v>
      </c>
      <c r="J1732" s="644" t="s">
        <v>6686</v>
      </c>
      <c r="K1732" s="739"/>
      <c r="L1732" s="638">
        <v>12</v>
      </c>
      <c r="M1732" s="638">
        <v>102000</v>
      </c>
      <c r="N1732" s="752"/>
      <c r="O1732" s="638">
        <v>6</v>
      </c>
      <c r="P1732" s="638">
        <v>51000</v>
      </c>
      <c r="Q1732" s="214"/>
    </row>
    <row r="1733" spans="1:17" ht="12" customHeight="1" x14ac:dyDescent="0.2">
      <c r="A1733" s="735" t="s">
        <v>6676</v>
      </c>
      <c r="B1733" s="735" t="s">
        <v>2170</v>
      </c>
      <c r="C1733" s="638" t="s">
        <v>451</v>
      </c>
      <c r="D1733" s="644" t="s">
        <v>6963</v>
      </c>
      <c r="E1733" s="751">
        <v>9000</v>
      </c>
      <c r="F1733" s="638" t="s">
        <v>6964</v>
      </c>
      <c r="G1733" s="636" t="s">
        <v>6965</v>
      </c>
      <c r="H1733" s="636" t="s">
        <v>6684</v>
      </c>
      <c r="I1733" s="636" t="s">
        <v>6685</v>
      </c>
      <c r="J1733" s="644" t="s">
        <v>6686</v>
      </c>
      <c r="K1733" s="739"/>
      <c r="L1733" s="638">
        <v>12</v>
      </c>
      <c r="M1733" s="638">
        <v>108000</v>
      </c>
      <c r="N1733" s="752"/>
      <c r="O1733" s="638">
        <v>6</v>
      </c>
      <c r="P1733" s="638">
        <v>54000</v>
      </c>
      <c r="Q1733" s="214"/>
    </row>
    <row r="1734" spans="1:17" ht="12" customHeight="1" x14ac:dyDescent="0.2">
      <c r="A1734" s="735" t="s">
        <v>6676</v>
      </c>
      <c r="B1734" s="735" t="s">
        <v>2170</v>
      </c>
      <c r="C1734" s="638" t="s">
        <v>451</v>
      </c>
      <c r="D1734" s="644" t="s">
        <v>6681</v>
      </c>
      <c r="E1734" s="751">
        <v>9000</v>
      </c>
      <c r="F1734" s="638" t="s">
        <v>6966</v>
      </c>
      <c r="G1734" s="636" t="s">
        <v>6967</v>
      </c>
      <c r="H1734" s="636" t="s">
        <v>6684</v>
      </c>
      <c r="I1734" s="636" t="s">
        <v>6685</v>
      </c>
      <c r="J1734" s="644" t="s">
        <v>6686</v>
      </c>
      <c r="K1734" s="739"/>
      <c r="L1734" s="638">
        <v>12</v>
      </c>
      <c r="M1734" s="638">
        <v>108000</v>
      </c>
      <c r="N1734" s="752"/>
      <c r="O1734" s="638">
        <v>6</v>
      </c>
      <c r="P1734" s="638">
        <v>54000</v>
      </c>
      <c r="Q1734" s="214"/>
    </row>
    <row r="1735" spans="1:17" ht="12" customHeight="1" x14ac:dyDescent="0.2">
      <c r="A1735" s="735" t="s">
        <v>6676</v>
      </c>
      <c r="B1735" s="735" t="s">
        <v>2170</v>
      </c>
      <c r="C1735" s="638" t="s">
        <v>451</v>
      </c>
      <c r="D1735" s="644" t="s">
        <v>2265</v>
      </c>
      <c r="E1735" s="751">
        <v>9500</v>
      </c>
      <c r="F1735" s="638" t="s">
        <v>6968</v>
      </c>
      <c r="G1735" s="636" t="s">
        <v>6969</v>
      </c>
      <c r="H1735" s="636" t="s">
        <v>6962</v>
      </c>
      <c r="I1735" s="636" t="s">
        <v>6685</v>
      </c>
      <c r="J1735" s="644" t="s">
        <v>6686</v>
      </c>
      <c r="K1735" s="739"/>
      <c r="L1735" s="638">
        <v>12</v>
      </c>
      <c r="M1735" s="638">
        <v>114000</v>
      </c>
      <c r="N1735" s="752"/>
      <c r="O1735" s="638">
        <v>6</v>
      </c>
      <c r="P1735" s="638">
        <v>57000</v>
      </c>
      <c r="Q1735" s="214"/>
    </row>
    <row r="1736" spans="1:17" ht="12" customHeight="1" x14ac:dyDescent="0.2">
      <c r="A1736" s="735" t="s">
        <v>6676</v>
      </c>
      <c r="B1736" s="735" t="s">
        <v>2170</v>
      </c>
      <c r="C1736" s="638" t="s">
        <v>451</v>
      </c>
      <c r="D1736" s="644" t="s">
        <v>6797</v>
      </c>
      <c r="E1736" s="751">
        <v>9000</v>
      </c>
      <c r="F1736" s="638" t="s">
        <v>6970</v>
      </c>
      <c r="G1736" s="636" t="s">
        <v>6971</v>
      </c>
      <c r="H1736" s="636" t="s">
        <v>6684</v>
      </c>
      <c r="I1736" s="636" t="s">
        <v>6685</v>
      </c>
      <c r="J1736" s="644" t="s">
        <v>6686</v>
      </c>
      <c r="K1736" s="739"/>
      <c r="L1736" s="638">
        <v>12</v>
      </c>
      <c r="M1736" s="638">
        <v>108000</v>
      </c>
      <c r="N1736" s="752"/>
      <c r="O1736" s="638">
        <v>6</v>
      </c>
      <c r="P1736" s="638">
        <v>54000</v>
      </c>
      <c r="Q1736" s="214"/>
    </row>
    <row r="1737" spans="1:17" ht="12" customHeight="1" x14ac:dyDescent="0.2">
      <c r="A1737" s="735" t="s">
        <v>6676</v>
      </c>
      <c r="B1737" s="735" t="s">
        <v>2170</v>
      </c>
      <c r="C1737" s="638" t="s">
        <v>451</v>
      </c>
      <c r="D1737" s="644" t="s">
        <v>6717</v>
      </c>
      <c r="E1737" s="751">
        <v>9000</v>
      </c>
      <c r="F1737" s="638" t="s">
        <v>6972</v>
      </c>
      <c r="G1737" s="636" t="s">
        <v>6973</v>
      </c>
      <c r="H1737" s="636" t="s">
        <v>6684</v>
      </c>
      <c r="I1737" s="636" t="s">
        <v>6685</v>
      </c>
      <c r="J1737" s="644" t="s">
        <v>6686</v>
      </c>
      <c r="K1737" s="739"/>
      <c r="L1737" s="638">
        <v>12</v>
      </c>
      <c r="M1737" s="638">
        <v>108000</v>
      </c>
      <c r="N1737" s="752"/>
      <c r="O1737" s="638">
        <v>6</v>
      </c>
      <c r="P1737" s="638">
        <v>54000</v>
      </c>
      <c r="Q1737" s="214"/>
    </row>
    <row r="1738" spans="1:17" ht="12" customHeight="1" x14ac:dyDescent="0.2">
      <c r="A1738" s="735" t="s">
        <v>6676</v>
      </c>
      <c r="B1738" s="735" t="s">
        <v>2170</v>
      </c>
      <c r="C1738" s="638" t="s">
        <v>451</v>
      </c>
      <c r="D1738" s="644" t="s">
        <v>6734</v>
      </c>
      <c r="E1738" s="751">
        <v>10000</v>
      </c>
      <c r="F1738" s="638" t="s">
        <v>6974</v>
      </c>
      <c r="G1738" s="644" t="s">
        <v>6975</v>
      </c>
      <c r="H1738" s="636" t="s">
        <v>6684</v>
      </c>
      <c r="I1738" s="636" t="s">
        <v>6685</v>
      </c>
      <c r="J1738" s="644" t="s">
        <v>6686</v>
      </c>
      <c r="K1738" s="739"/>
      <c r="L1738" s="638"/>
      <c r="M1738" s="638"/>
      <c r="N1738" s="752"/>
      <c r="O1738" s="638">
        <v>6</v>
      </c>
      <c r="P1738" s="638">
        <v>60000</v>
      </c>
      <c r="Q1738" s="214"/>
    </row>
    <row r="1739" spans="1:17" ht="12" customHeight="1" x14ac:dyDescent="0.2">
      <c r="A1739" s="735" t="s">
        <v>6676</v>
      </c>
      <c r="B1739" s="735" t="s">
        <v>2170</v>
      </c>
      <c r="C1739" s="638" t="s">
        <v>451</v>
      </c>
      <c r="D1739" s="644" t="s">
        <v>6976</v>
      </c>
      <c r="E1739" s="751">
        <v>3000</v>
      </c>
      <c r="F1739" s="638" t="s">
        <v>6977</v>
      </c>
      <c r="G1739" s="636" t="s">
        <v>6978</v>
      </c>
      <c r="H1739" s="636" t="s">
        <v>6979</v>
      </c>
      <c r="I1739" s="636" t="s">
        <v>2766</v>
      </c>
      <c r="J1739" s="644" t="s">
        <v>2766</v>
      </c>
      <c r="K1739" s="739"/>
      <c r="L1739" s="638">
        <v>12</v>
      </c>
      <c r="M1739" s="638">
        <v>36000</v>
      </c>
      <c r="N1739" s="752"/>
      <c r="O1739" s="638">
        <v>6</v>
      </c>
      <c r="P1739" s="638">
        <v>18000</v>
      </c>
      <c r="Q1739" s="214"/>
    </row>
    <row r="1740" spans="1:17" ht="12" customHeight="1" x14ac:dyDescent="0.2">
      <c r="A1740" s="735" t="s">
        <v>6676</v>
      </c>
      <c r="B1740" s="735" t="s">
        <v>2170</v>
      </c>
      <c r="C1740" s="638" t="s">
        <v>451</v>
      </c>
      <c r="D1740" s="644" t="s">
        <v>6980</v>
      </c>
      <c r="E1740" s="751">
        <v>5000</v>
      </c>
      <c r="F1740" s="638" t="s">
        <v>6981</v>
      </c>
      <c r="G1740" s="636" t="s">
        <v>6982</v>
      </c>
      <c r="H1740" s="636" t="s">
        <v>2647</v>
      </c>
      <c r="I1740" s="636" t="s">
        <v>2766</v>
      </c>
      <c r="J1740" s="644" t="s">
        <v>2766</v>
      </c>
      <c r="K1740" s="739"/>
      <c r="L1740" s="638">
        <v>12</v>
      </c>
      <c r="M1740" s="638">
        <v>60000</v>
      </c>
      <c r="N1740" s="752"/>
      <c r="O1740" s="638">
        <v>6</v>
      </c>
      <c r="P1740" s="638">
        <v>30000</v>
      </c>
      <c r="Q1740" s="214"/>
    </row>
    <row r="1741" spans="1:17" ht="12" customHeight="1" x14ac:dyDescent="0.2">
      <c r="A1741" s="735" t="s">
        <v>6676</v>
      </c>
      <c r="B1741" s="735" t="s">
        <v>2170</v>
      </c>
      <c r="C1741" s="638" t="s">
        <v>451</v>
      </c>
      <c r="D1741" s="644" t="s">
        <v>6717</v>
      </c>
      <c r="E1741" s="751">
        <v>9000</v>
      </c>
      <c r="F1741" s="638" t="s">
        <v>6983</v>
      </c>
      <c r="G1741" s="636" t="s">
        <v>6984</v>
      </c>
      <c r="H1741" s="636" t="s">
        <v>6699</v>
      </c>
      <c r="I1741" s="636" t="s">
        <v>6685</v>
      </c>
      <c r="J1741" s="644" t="s">
        <v>6686</v>
      </c>
      <c r="K1741" s="739"/>
      <c r="L1741" s="638">
        <v>12</v>
      </c>
      <c r="M1741" s="638">
        <v>108000</v>
      </c>
      <c r="N1741" s="752"/>
      <c r="O1741" s="638">
        <v>6</v>
      </c>
      <c r="P1741" s="638">
        <v>54000</v>
      </c>
      <c r="Q1741" s="214"/>
    </row>
    <row r="1742" spans="1:17" ht="12" customHeight="1" x14ac:dyDescent="0.2">
      <c r="A1742" s="735" t="s">
        <v>6676</v>
      </c>
      <c r="B1742" s="735" t="s">
        <v>2170</v>
      </c>
      <c r="C1742" s="638" t="s">
        <v>451</v>
      </c>
      <c r="D1742" s="644" t="s">
        <v>6717</v>
      </c>
      <c r="E1742" s="751">
        <v>9000</v>
      </c>
      <c r="F1742" s="638" t="s">
        <v>6985</v>
      </c>
      <c r="G1742" s="636" t="s">
        <v>6986</v>
      </c>
      <c r="H1742" s="636" t="s">
        <v>6684</v>
      </c>
      <c r="I1742" s="636" t="s">
        <v>6685</v>
      </c>
      <c r="J1742" s="644" t="s">
        <v>6686</v>
      </c>
      <c r="K1742" s="739"/>
      <c r="L1742" s="638">
        <v>7</v>
      </c>
      <c r="M1742" s="638">
        <v>63000</v>
      </c>
      <c r="N1742" s="752"/>
      <c r="O1742" s="638"/>
      <c r="P1742" s="638"/>
      <c r="Q1742" s="214"/>
    </row>
    <row r="1743" spans="1:17" ht="12" customHeight="1" x14ac:dyDescent="0.2">
      <c r="A1743" s="735" t="s">
        <v>6676</v>
      </c>
      <c r="B1743" s="735" t="s">
        <v>2170</v>
      </c>
      <c r="C1743" s="638" t="s">
        <v>451</v>
      </c>
      <c r="D1743" s="644" t="s">
        <v>6987</v>
      </c>
      <c r="E1743" s="751">
        <v>9000</v>
      </c>
      <c r="F1743" s="638" t="s">
        <v>6985</v>
      </c>
      <c r="G1743" s="644" t="s">
        <v>6986</v>
      </c>
      <c r="H1743" s="636" t="s">
        <v>6684</v>
      </c>
      <c r="I1743" s="636" t="s">
        <v>6685</v>
      </c>
      <c r="J1743" s="644" t="s">
        <v>6686</v>
      </c>
      <c r="K1743" s="739"/>
      <c r="L1743" s="638">
        <v>5</v>
      </c>
      <c r="M1743" s="638">
        <v>45000</v>
      </c>
      <c r="N1743" s="752"/>
      <c r="O1743" s="638">
        <v>6</v>
      </c>
      <c r="P1743" s="638">
        <v>54000</v>
      </c>
      <c r="Q1743" s="214"/>
    </row>
    <row r="1744" spans="1:17" ht="12" customHeight="1" x14ac:dyDescent="0.2">
      <c r="A1744" s="735" t="s">
        <v>6676</v>
      </c>
      <c r="B1744" s="735" t="s">
        <v>2170</v>
      </c>
      <c r="C1744" s="638" t="s">
        <v>451</v>
      </c>
      <c r="D1744" s="644" t="s">
        <v>6988</v>
      </c>
      <c r="E1744" s="751">
        <v>8500</v>
      </c>
      <c r="F1744" s="638" t="s">
        <v>6989</v>
      </c>
      <c r="G1744" s="644" t="s">
        <v>6990</v>
      </c>
      <c r="H1744" s="636" t="s">
        <v>6536</v>
      </c>
      <c r="I1744" s="636" t="s">
        <v>6548</v>
      </c>
      <c r="J1744" s="644" t="s">
        <v>6686</v>
      </c>
      <c r="K1744" s="739"/>
      <c r="L1744" s="638"/>
      <c r="M1744" s="638"/>
      <c r="N1744" s="752"/>
      <c r="O1744" s="638">
        <v>6</v>
      </c>
      <c r="P1744" s="638">
        <v>51000</v>
      </c>
      <c r="Q1744" s="214"/>
    </row>
    <row r="1745" spans="1:17" ht="12" customHeight="1" x14ac:dyDescent="0.2">
      <c r="A1745" s="735" t="s">
        <v>6676</v>
      </c>
      <c r="B1745" s="735" t="s">
        <v>2170</v>
      </c>
      <c r="C1745" s="638" t="s">
        <v>451</v>
      </c>
      <c r="D1745" s="644" t="s">
        <v>3464</v>
      </c>
      <c r="E1745" s="751">
        <v>3000</v>
      </c>
      <c r="F1745" s="638" t="s">
        <v>6991</v>
      </c>
      <c r="G1745" s="636" t="s">
        <v>6992</v>
      </c>
      <c r="H1745" s="636" t="s">
        <v>6931</v>
      </c>
      <c r="I1745" s="636" t="s">
        <v>2253</v>
      </c>
      <c r="J1745" s="644" t="s">
        <v>2253</v>
      </c>
      <c r="K1745" s="739"/>
      <c r="L1745" s="638">
        <v>12</v>
      </c>
      <c r="M1745" s="638">
        <v>36000</v>
      </c>
      <c r="N1745" s="752"/>
      <c r="O1745" s="638">
        <v>6</v>
      </c>
      <c r="P1745" s="638">
        <v>18000</v>
      </c>
      <c r="Q1745" s="214"/>
    </row>
    <row r="1746" spans="1:17" ht="12" customHeight="1" x14ac:dyDescent="0.2">
      <c r="A1746" s="735" t="s">
        <v>6676</v>
      </c>
      <c r="B1746" s="735" t="s">
        <v>2170</v>
      </c>
      <c r="C1746" s="638" t="s">
        <v>451</v>
      </c>
      <c r="D1746" s="644" t="s">
        <v>6865</v>
      </c>
      <c r="E1746" s="751">
        <v>12000</v>
      </c>
      <c r="F1746" s="638" t="s">
        <v>6993</v>
      </c>
      <c r="G1746" s="636" t="s">
        <v>6994</v>
      </c>
      <c r="H1746" s="636" t="s">
        <v>6571</v>
      </c>
      <c r="I1746" s="636" t="s">
        <v>2180</v>
      </c>
      <c r="J1746" s="644" t="s">
        <v>6686</v>
      </c>
      <c r="K1746" s="739"/>
      <c r="L1746" s="638">
        <v>7</v>
      </c>
      <c r="M1746" s="638">
        <v>84000</v>
      </c>
      <c r="N1746" s="752"/>
      <c r="O1746" s="638"/>
      <c r="P1746" s="638"/>
      <c r="Q1746" s="214"/>
    </row>
    <row r="1747" spans="1:17" ht="12" customHeight="1" x14ac:dyDescent="0.2">
      <c r="A1747" s="735" t="s">
        <v>6676</v>
      </c>
      <c r="B1747" s="735" t="s">
        <v>2170</v>
      </c>
      <c r="C1747" s="638" t="s">
        <v>451</v>
      </c>
      <c r="D1747" s="644" t="s">
        <v>2258</v>
      </c>
      <c r="E1747" s="751">
        <v>5000</v>
      </c>
      <c r="F1747" s="638" t="s">
        <v>6995</v>
      </c>
      <c r="G1747" s="644" t="s">
        <v>6996</v>
      </c>
      <c r="H1747" s="636" t="s">
        <v>6536</v>
      </c>
      <c r="I1747" s="636" t="s">
        <v>6548</v>
      </c>
      <c r="J1747" s="644" t="s">
        <v>6686</v>
      </c>
      <c r="K1747" s="739"/>
      <c r="L1747" s="638"/>
      <c r="M1747" s="638"/>
      <c r="N1747" s="752"/>
      <c r="O1747" s="638">
        <v>6</v>
      </c>
      <c r="P1747" s="638">
        <v>30000</v>
      </c>
      <c r="Q1747" s="214"/>
    </row>
    <row r="1748" spans="1:17" ht="12" customHeight="1" x14ac:dyDescent="0.2">
      <c r="A1748" s="735" t="s">
        <v>6676</v>
      </c>
      <c r="B1748" s="735" t="s">
        <v>2170</v>
      </c>
      <c r="C1748" s="638" t="s">
        <v>451</v>
      </c>
      <c r="D1748" s="644" t="s">
        <v>6997</v>
      </c>
      <c r="E1748" s="751">
        <v>10500</v>
      </c>
      <c r="F1748" s="638" t="s">
        <v>6998</v>
      </c>
      <c r="G1748" s="636" t="s">
        <v>6999</v>
      </c>
      <c r="H1748" s="636" t="s">
        <v>2317</v>
      </c>
      <c r="I1748" s="636" t="s">
        <v>6685</v>
      </c>
      <c r="J1748" s="644" t="s">
        <v>6686</v>
      </c>
      <c r="K1748" s="739"/>
      <c r="L1748" s="638">
        <v>3</v>
      </c>
      <c r="M1748" s="638">
        <v>31500</v>
      </c>
      <c r="N1748" s="752"/>
      <c r="O1748" s="638"/>
      <c r="P1748" s="638"/>
      <c r="Q1748" s="214"/>
    </row>
    <row r="1749" spans="1:17" ht="12" customHeight="1" x14ac:dyDescent="0.2">
      <c r="A1749" s="735" t="s">
        <v>6676</v>
      </c>
      <c r="B1749" s="735" t="s">
        <v>2170</v>
      </c>
      <c r="C1749" s="638" t="s">
        <v>451</v>
      </c>
      <c r="D1749" s="644" t="s">
        <v>7000</v>
      </c>
      <c r="E1749" s="751">
        <v>7000</v>
      </c>
      <c r="F1749" s="638" t="s">
        <v>7001</v>
      </c>
      <c r="G1749" s="636" t="s">
        <v>7002</v>
      </c>
      <c r="H1749" s="636" t="s">
        <v>6834</v>
      </c>
      <c r="I1749" s="636" t="s">
        <v>6685</v>
      </c>
      <c r="J1749" s="644" t="s">
        <v>6686</v>
      </c>
      <c r="K1749" s="739"/>
      <c r="L1749" s="638">
        <v>12</v>
      </c>
      <c r="M1749" s="638">
        <v>84000</v>
      </c>
      <c r="N1749" s="752"/>
      <c r="O1749" s="638">
        <v>6</v>
      </c>
      <c r="P1749" s="638">
        <v>42000</v>
      </c>
      <c r="Q1749" s="214"/>
    </row>
    <row r="1750" spans="1:17" ht="12" customHeight="1" x14ac:dyDescent="0.2">
      <c r="A1750" s="735" t="s">
        <v>6676</v>
      </c>
      <c r="B1750" s="735" t="s">
        <v>2170</v>
      </c>
      <c r="C1750" s="638" t="s">
        <v>451</v>
      </c>
      <c r="D1750" s="644" t="s">
        <v>6735</v>
      </c>
      <c r="E1750" s="751">
        <v>3500</v>
      </c>
      <c r="F1750" s="638" t="s">
        <v>7003</v>
      </c>
      <c r="G1750" s="636" t="s">
        <v>7004</v>
      </c>
      <c r="H1750" s="636" t="s">
        <v>6684</v>
      </c>
      <c r="I1750" s="636" t="s">
        <v>6685</v>
      </c>
      <c r="J1750" s="644" t="s">
        <v>6686</v>
      </c>
      <c r="K1750" s="739"/>
      <c r="L1750" s="638">
        <v>2</v>
      </c>
      <c r="M1750" s="638">
        <v>7000</v>
      </c>
      <c r="N1750" s="752"/>
      <c r="O1750" s="638"/>
      <c r="P1750" s="638"/>
      <c r="Q1750" s="214"/>
    </row>
    <row r="1751" spans="1:17" ht="12" customHeight="1" x14ac:dyDescent="0.2">
      <c r="A1751" s="735" t="s">
        <v>6676</v>
      </c>
      <c r="B1751" s="735" t="s">
        <v>2170</v>
      </c>
      <c r="C1751" s="638" t="s">
        <v>451</v>
      </c>
      <c r="D1751" s="644" t="s">
        <v>6746</v>
      </c>
      <c r="E1751" s="751">
        <v>8000</v>
      </c>
      <c r="F1751" s="638" t="s">
        <v>7005</v>
      </c>
      <c r="G1751" s="636" t="s">
        <v>7006</v>
      </c>
      <c r="H1751" s="636" t="s">
        <v>6707</v>
      </c>
      <c r="I1751" s="636" t="s">
        <v>6685</v>
      </c>
      <c r="J1751" s="644" t="s">
        <v>6686</v>
      </c>
      <c r="K1751" s="739"/>
      <c r="L1751" s="638">
        <v>1</v>
      </c>
      <c r="M1751" s="638">
        <v>8000</v>
      </c>
      <c r="N1751" s="752"/>
      <c r="O1751" s="638"/>
      <c r="P1751" s="638"/>
      <c r="Q1751" s="214"/>
    </row>
    <row r="1752" spans="1:17" ht="12" customHeight="1" x14ac:dyDescent="0.2">
      <c r="A1752" s="735" t="s">
        <v>6676</v>
      </c>
      <c r="B1752" s="735" t="s">
        <v>2170</v>
      </c>
      <c r="C1752" s="638" t="s">
        <v>451</v>
      </c>
      <c r="D1752" s="644" t="s">
        <v>6818</v>
      </c>
      <c r="E1752" s="751">
        <v>3500</v>
      </c>
      <c r="F1752" s="638" t="s">
        <v>7007</v>
      </c>
      <c r="G1752" s="636" t="s">
        <v>7008</v>
      </c>
      <c r="H1752" s="636" t="s">
        <v>6745</v>
      </c>
      <c r="I1752" s="636" t="s">
        <v>6685</v>
      </c>
      <c r="J1752" s="644" t="s">
        <v>6686</v>
      </c>
      <c r="K1752" s="739"/>
      <c r="L1752" s="638">
        <v>9</v>
      </c>
      <c r="M1752" s="638">
        <v>31500</v>
      </c>
      <c r="N1752" s="752"/>
      <c r="O1752" s="638"/>
      <c r="P1752" s="638"/>
      <c r="Q1752" s="214"/>
    </row>
    <row r="1753" spans="1:17" ht="12" customHeight="1" x14ac:dyDescent="0.2">
      <c r="A1753" s="735" t="s">
        <v>6676</v>
      </c>
      <c r="B1753" s="735" t="s">
        <v>2170</v>
      </c>
      <c r="C1753" s="638" t="s">
        <v>451</v>
      </c>
      <c r="D1753" s="644" t="s">
        <v>6734</v>
      </c>
      <c r="E1753" s="751">
        <v>10000</v>
      </c>
      <c r="F1753" s="638" t="s">
        <v>7009</v>
      </c>
      <c r="G1753" s="644" t="s">
        <v>7010</v>
      </c>
      <c r="H1753" s="636" t="s">
        <v>6536</v>
      </c>
      <c r="I1753" s="636" t="s">
        <v>6548</v>
      </c>
      <c r="J1753" s="644" t="s">
        <v>6686</v>
      </c>
      <c r="K1753" s="739"/>
      <c r="L1753" s="638"/>
      <c r="M1753" s="638"/>
      <c r="N1753" s="752"/>
      <c r="O1753" s="638">
        <v>6</v>
      </c>
      <c r="P1753" s="638">
        <v>60000</v>
      </c>
      <c r="Q1753" s="214"/>
    </row>
    <row r="1754" spans="1:17" ht="12" customHeight="1" x14ac:dyDescent="0.2">
      <c r="A1754" s="735" t="s">
        <v>6676</v>
      </c>
      <c r="B1754" s="735" t="s">
        <v>2170</v>
      </c>
      <c r="C1754" s="638" t="s">
        <v>451</v>
      </c>
      <c r="D1754" s="644" t="s">
        <v>6681</v>
      </c>
      <c r="E1754" s="751">
        <v>9000</v>
      </c>
      <c r="F1754" s="638" t="s">
        <v>7011</v>
      </c>
      <c r="G1754" s="636" t="s">
        <v>7012</v>
      </c>
      <c r="H1754" s="636" t="s">
        <v>6684</v>
      </c>
      <c r="I1754" s="636" t="s">
        <v>6685</v>
      </c>
      <c r="J1754" s="644" t="s">
        <v>6686</v>
      </c>
      <c r="K1754" s="739"/>
      <c r="L1754" s="638">
        <v>12</v>
      </c>
      <c r="M1754" s="638">
        <v>108000</v>
      </c>
      <c r="N1754" s="752"/>
      <c r="O1754" s="638">
        <v>6</v>
      </c>
      <c r="P1754" s="638">
        <v>54000</v>
      </c>
      <c r="Q1754" s="214"/>
    </row>
    <row r="1755" spans="1:17" ht="12" customHeight="1" x14ac:dyDescent="0.2">
      <c r="A1755" s="735" t="s">
        <v>6676</v>
      </c>
      <c r="B1755" s="735" t="s">
        <v>2170</v>
      </c>
      <c r="C1755" s="638" t="s">
        <v>451</v>
      </c>
      <c r="D1755" s="644" t="s">
        <v>7013</v>
      </c>
      <c r="E1755" s="751">
        <v>14000</v>
      </c>
      <c r="F1755" s="638" t="s">
        <v>7014</v>
      </c>
      <c r="G1755" s="636" t="s">
        <v>7015</v>
      </c>
      <c r="H1755" s="636" t="s">
        <v>6807</v>
      </c>
      <c r="I1755" s="636" t="s">
        <v>6685</v>
      </c>
      <c r="J1755" s="644" t="s">
        <v>6686</v>
      </c>
      <c r="K1755" s="739"/>
      <c r="L1755" s="638">
        <v>5</v>
      </c>
      <c r="M1755" s="638">
        <v>70000</v>
      </c>
      <c r="N1755" s="752"/>
      <c r="O1755" s="638"/>
      <c r="P1755" s="638"/>
      <c r="Q1755" s="214"/>
    </row>
    <row r="1756" spans="1:17" ht="12" customHeight="1" x14ac:dyDescent="0.2">
      <c r="A1756" s="735" t="s">
        <v>6676</v>
      </c>
      <c r="B1756" s="735" t="s">
        <v>2170</v>
      </c>
      <c r="C1756" s="638" t="s">
        <v>451</v>
      </c>
      <c r="D1756" s="644" t="s">
        <v>2394</v>
      </c>
      <c r="E1756" s="751">
        <v>10500</v>
      </c>
      <c r="F1756" s="638" t="s">
        <v>7014</v>
      </c>
      <c r="G1756" s="644" t="s">
        <v>7015</v>
      </c>
      <c r="H1756" s="636" t="s">
        <v>6807</v>
      </c>
      <c r="I1756" s="636" t="s">
        <v>6685</v>
      </c>
      <c r="J1756" s="644" t="s">
        <v>6686</v>
      </c>
      <c r="K1756" s="739"/>
      <c r="L1756" s="638">
        <v>1</v>
      </c>
      <c r="M1756" s="638">
        <v>10500</v>
      </c>
      <c r="N1756" s="752"/>
      <c r="O1756" s="638"/>
      <c r="P1756" s="638"/>
      <c r="Q1756" s="214"/>
    </row>
    <row r="1757" spans="1:17" ht="12" customHeight="1" x14ac:dyDescent="0.2">
      <c r="A1757" s="735" t="s">
        <v>6676</v>
      </c>
      <c r="B1757" s="735" t="s">
        <v>2170</v>
      </c>
      <c r="C1757" s="638" t="s">
        <v>451</v>
      </c>
      <c r="D1757" s="644" t="s">
        <v>7013</v>
      </c>
      <c r="E1757" s="751">
        <v>14000</v>
      </c>
      <c r="F1757" s="638" t="s">
        <v>7014</v>
      </c>
      <c r="G1757" s="644" t="s">
        <v>7015</v>
      </c>
      <c r="H1757" s="636" t="s">
        <v>6807</v>
      </c>
      <c r="I1757" s="636" t="s">
        <v>6685</v>
      </c>
      <c r="J1757" s="644" t="s">
        <v>6686</v>
      </c>
      <c r="K1757" s="739"/>
      <c r="L1757" s="638">
        <v>3</v>
      </c>
      <c r="M1757" s="638">
        <v>42000</v>
      </c>
      <c r="N1757" s="752"/>
      <c r="O1757" s="638"/>
      <c r="P1757" s="638"/>
      <c r="Q1757" s="214"/>
    </row>
    <row r="1758" spans="1:17" ht="12" customHeight="1" x14ac:dyDescent="0.2">
      <c r="A1758" s="735" t="s">
        <v>6676</v>
      </c>
      <c r="B1758" s="735" t="s">
        <v>2170</v>
      </c>
      <c r="C1758" s="638" t="s">
        <v>451</v>
      </c>
      <c r="D1758" s="644" t="s">
        <v>7016</v>
      </c>
      <c r="E1758" s="751">
        <v>10000</v>
      </c>
      <c r="F1758" s="638" t="s">
        <v>7017</v>
      </c>
      <c r="G1758" s="644" t="s">
        <v>7018</v>
      </c>
      <c r="H1758" s="636" t="s">
        <v>6699</v>
      </c>
      <c r="I1758" s="636" t="s">
        <v>6685</v>
      </c>
      <c r="J1758" s="644" t="s">
        <v>6686</v>
      </c>
      <c r="K1758" s="739"/>
      <c r="L1758" s="638"/>
      <c r="M1758" s="638"/>
      <c r="N1758" s="752"/>
      <c r="O1758" s="638">
        <v>6</v>
      </c>
      <c r="P1758" s="638">
        <v>60000</v>
      </c>
      <c r="Q1758" s="214"/>
    </row>
    <row r="1759" spans="1:17" ht="12" customHeight="1" x14ac:dyDescent="0.2">
      <c r="A1759" s="735" t="s">
        <v>6676</v>
      </c>
      <c r="B1759" s="735" t="s">
        <v>2170</v>
      </c>
      <c r="C1759" s="638" t="s">
        <v>451</v>
      </c>
      <c r="D1759" s="644" t="s">
        <v>2258</v>
      </c>
      <c r="E1759" s="751">
        <v>8500</v>
      </c>
      <c r="F1759" s="638" t="s">
        <v>7019</v>
      </c>
      <c r="G1759" s="644" t="s">
        <v>7020</v>
      </c>
      <c r="H1759" s="636" t="s">
        <v>7021</v>
      </c>
      <c r="I1759" s="636" t="s">
        <v>6685</v>
      </c>
      <c r="J1759" s="644" t="s">
        <v>6686</v>
      </c>
      <c r="K1759" s="739"/>
      <c r="L1759" s="638"/>
      <c r="M1759" s="638"/>
      <c r="N1759" s="752"/>
      <c r="O1759" s="638">
        <v>6</v>
      </c>
      <c r="P1759" s="638">
        <v>51000</v>
      </c>
      <c r="Q1759" s="214"/>
    </row>
    <row r="1760" spans="1:17" ht="12" customHeight="1" x14ac:dyDescent="0.2">
      <c r="A1760" s="735" t="s">
        <v>6676</v>
      </c>
      <c r="B1760" s="735" t="s">
        <v>2170</v>
      </c>
      <c r="C1760" s="638" t="s">
        <v>451</v>
      </c>
      <c r="D1760" s="644" t="s">
        <v>7022</v>
      </c>
      <c r="E1760" s="751">
        <v>10000</v>
      </c>
      <c r="F1760" s="638" t="s">
        <v>7023</v>
      </c>
      <c r="G1760" s="636" t="s">
        <v>7024</v>
      </c>
      <c r="H1760" s="636" t="s">
        <v>6684</v>
      </c>
      <c r="I1760" s="636" t="s">
        <v>6685</v>
      </c>
      <c r="J1760" s="644" t="s">
        <v>6686</v>
      </c>
      <c r="K1760" s="739"/>
      <c r="L1760" s="638">
        <v>12</v>
      </c>
      <c r="M1760" s="638">
        <v>120000</v>
      </c>
      <c r="N1760" s="752"/>
      <c r="O1760" s="638">
        <v>6</v>
      </c>
      <c r="P1760" s="638">
        <v>60000</v>
      </c>
      <c r="Q1760" s="214"/>
    </row>
    <row r="1761" spans="1:17" ht="12" customHeight="1" x14ac:dyDescent="0.2">
      <c r="A1761" s="735" t="s">
        <v>6676</v>
      </c>
      <c r="B1761" s="735" t="s">
        <v>2170</v>
      </c>
      <c r="C1761" s="638" t="s">
        <v>451</v>
      </c>
      <c r="D1761" s="644" t="s">
        <v>6681</v>
      </c>
      <c r="E1761" s="751">
        <v>9000</v>
      </c>
      <c r="F1761" s="638" t="s">
        <v>7025</v>
      </c>
      <c r="G1761" s="636" t="s">
        <v>7026</v>
      </c>
      <c r="H1761" s="636" t="s">
        <v>6684</v>
      </c>
      <c r="I1761" s="636" t="s">
        <v>6685</v>
      </c>
      <c r="J1761" s="644" t="s">
        <v>6686</v>
      </c>
      <c r="K1761" s="739"/>
      <c r="L1761" s="638">
        <v>5</v>
      </c>
      <c r="M1761" s="638">
        <v>45000</v>
      </c>
      <c r="N1761" s="752"/>
      <c r="O1761" s="638"/>
      <c r="P1761" s="638"/>
      <c r="Q1761" s="214"/>
    </row>
    <row r="1762" spans="1:17" ht="12" customHeight="1" x14ac:dyDescent="0.2">
      <c r="A1762" s="735" t="s">
        <v>6676</v>
      </c>
      <c r="B1762" s="735" t="s">
        <v>2170</v>
      </c>
      <c r="C1762" s="638" t="s">
        <v>451</v>
      </c>
      <c r="D1762" s="644" t="s">
        <v>5624</v>
      </c>
      <c r="E1762" s="751">
        <v>9000</v>
      </c>
      <c r="F1762" s="638" t="s">
        <v>5486</v>
      </c>
      <c r="G1762" s="636" t="s">
        <v>7027</v>
      </c>
      <c r="H1762" s="636" t="s">
        <v>6684</v>
      </c>
      <c r="I1762" s="636" t="s">
        <v>6685</v>
      </c>
      <c r="J1762" s="644" t="s">
        <v>6686</v>
      </c>
      <c r="K1762" s="739"/>
      <c r="L1762" s="638">
        <v>12</v>
      </c>
      <c r="M1762" s="638">
        <v>108000</v>
      </c>
      <c r="N1762" s="752"/>
      <c r="O1762" s="638">
        <v>1</v>
      </c>
      <c r="P1762" s="638">
        <v>9000</v>
      </c>
      <c r="Q1762" s="214"/>
    </row>
    <row r="1763" spans="1:17" ht="12" customHeight="1" x14ac:dyDescent="0.2">
      <c r="A1763" s="735" t="s">
        <v>6676</v>
      </c>
      <c r="B1763" s="735" t="s">
        <v>2170</v>
      </c>
      <c r="C1763" s="638" t="s">
        <v>451</v>
      </c>
      <c r="D1763" s="644" t="s">
        <v>6681</v>
      </c>
      <c r="E1763" s="751">
        <v>9000</v>
      </c>
      <c r="F1763" s="638" t="s">
        <v>7028</v>
      </c>
      <c r="G1763" s="636" t="s">
        <v>7029</v>
      </c>
      <c r="H1763" s="636" t="s">
        <v>6684</v>
      </c>
      <c r="I1763" s="636" t="s">
        <v>6685</v>
      </c>
      <c r="J1763" s="644" t="s">
        <v>6686</v>
      </c>
      <c r="K1763" s="739"/>
      <c r="L1763" s="638">
        <v>12</v>
      </c>
      <c r="M1763" s="638">
        <v>108000</v>
      </c>
      <c r="N1763" s="752"/>
      <c r="O1763" s="638">
        <v>6</v>
      </c>
      <c r="P1763" s="638">
        <v>54000</v>
      </c>
      <c r="Q1763" s="214"/>
    </row>
    <row r="1764" spans="1:17" ht="12" customHeight="1" x14ac:dyDescent="0.2">
      <c r="A1764" s="735" t="s">
        <v>6676</v>
      </c>
      <c r="B1764" s="735" t="s">
        <v>2170</v>
      </c>
      <c r="C1764" s="638" t="s">
        <v>451</v>
      </c>
      <c r="D1764" s="644" t="s">
        <v>6752</v>
      </c>
      <c r="E1764" s="751">
        <v>3500</v>
      </c>
      <c r="F1764" s="638" t="s">
        <v>7030</v>
      </c>
      <c r="G1764" s="644" t="s">
        <v>7031</v>
      </c>
      <c r="H1764" s="636" t="s">
        <v>7032</v>
      </c>
      <c r="I1764" s="636" t="s">
        <v>2180</v>
      </c>
      <c r="J1764" s="644" t="s">
        <v>6686</v>
      </c>
      <c r="K1764" s="739"/>
      <c r="L1764" s="638">
        <v>3</v>
      </c>
      <c r="M1764" s="638">
        <v>10500</v>
      </c>
      <c r="N1764" s="752"/>
      <c r="O1764" s="638"/>
      <c r="P1764" s="638"/>
      <c r="Q1764" s="214"/>
    </row>
    <row r="1765" spans="1:17" ht="12" customHeight="1" x14ac:dyDescent="0.2">
      <c r="A1765" s="735" t="s">
        <v>6676</v>
      </c>
      <c r="B1765" s="735" t="s">
        <v>2170</v>
      </c>
      <c r="C1765" s="638" t="s">
        <v>451</v>
      </c>
      <c r="D1765" s="644" t="s">
        <v>6889</v>
      </c>
      <c r="E1765" s="751">
        <v>10000</v>
      </c>
      <c r="F1765" s="638" t="s">
        <v>7033</v>
      </c>
      <c r="G1765" s="636" t="s">
        <v>7034</v>
      </c>
      <c r="H1765" s="636" t="s">
        <v>6684</v>
      </c>
      <c r="I1765" s="636" t="s">
        <v>6685</v>
      </c>
      <c r="J1765" s="644" t="s">
        <v>6686</v>
      </c>
      <c r="K1765" s="739"/>
      <c r="L1765" s="638">
        <v>1</v>
      </c>
      <c r="M1765" s="638">
        <v>10000</v>
      </c>
      <c r="N1765" s="752"/>
      <c r="O1765" s="638"/>
      <c r="P1765" s="638"/>
      <c r="Q1765" s="214"/>
    </row>
    <row r="1766" spans="1:17" ht="12" customHeight="1" x14ac:dyDescent="0.2">
      <c r="A1766" s="735" t="s">
        <v>6676</v>
      </c>
      <c r="B1766" s="735" t="s">
        <v>2170</v>
      </c>
      <c r="C1766" s="638" t="s">
        <v>451</v>
      </c>
      <c r="D1766" s="644" t="s">
        <v>7035</v>
      </c>
      <c r="E1766" s="751">
        <v>8000</v>
      </c>
      <c r="F1766" s="638" t="s">
        <v>7036</v>
      </c>
      <c r="G1766" s="636" t="s">
        <v>7037</v>
      </c>
      <c r="H1766" s="636" t="s">
        <v>7038</v>
      </c>
      <c r="I1766" s="636" t="s">
        <v>6685</v>
      </c>
      <c r="J1766" s="644" t="s">
        <v>6686</v>
      </c>
      <c r="K1766" s="739"/>
      <c r="L1766" s="638">
        <v>12</v>
      </c>
      <c r="M1766" s="638">
        <v>96000</v>
      </c>
      <c r="N1766" s="752"/>
      <c r="O1766" s="638">
        <v>6</v>
      </c>
      <c r="P1766" s="638">
        <v>48000</v>
      </c>
      <c r="Q1766" s="214"/>
    </row>
    <row r="1767" spans="1:17" ht="12" customHeight="1" x14ac:dyDescent="0.2">
      <c r="A1767" s="735" t="s">
        <v>6676</v>
      </c>
      <c r="B1767" s="735" t="s">
        <v>2170</v>
      </c>
      <c r="C1767" s="638" t="s">
        <v>451</v>
      </c>
      <c r="D1767" s="644" t="s">
        <v>5511</v>
      </c>
      <c r="E1767" s="751">
        <v>3000</v>
      </c>
      <c r="F1767" s="638" t="s">
        <v>7039</v>
      </c>
      <c r="G1767" s="644" t="s">
        <v>7040</v>
      </c>
      <c r="H1767" s="636" t="s">
        <v>7041</v>
      </c>
      <c r="I1767" s="636" t="s">
        <v>3760</v>
      </c>
      <c r="J1767" s="644" t="s">
        <v>6680</v>
      </c>
      <c r="K1767" s="739"/>
      <c r="L1767" s="638"/>
      <c r="M1767" s="638"/>
      <c r="N1767" s="752"/>
      <c r="O1767" s="638">
        <v>6</v>
      </c>
      <c r="P1767" s="638">
        <v>18000</v>
      </c>
      <c r="Q1767" s="214"/>
    </row>
    <row r="1768" spans="1:17" ht="12" customHeight="1" x14ac:dyDescent="0.2">
      <c r="A1768" s="735" t="s">
        <v>6676</v>
      </c>
      <c r="B1768" s="735" t="s">
        <v>2170</v>
      </c>
      <c r="C1768" s="638" t="s">
        <v>451</v>
      </c>
      <c r="D1768" s="644" t="s">
        <v>6920</v>
      </c>
      <c r="E1768" s="751">
        <v>9000</v>
      </c>
      <c r="F1768" s="638" t="s">
        <v>7042</v>
      </c>
      <c r="G1768" s="636" t="s">
        <v>7043</v>
      </c>
      <c r="H1768" s="636" t="s">
        <v>6699</v>
      </c>
      <c r="I1768" s="636" t="s">
        <v>6685</v>
      </c>
      <c r="J1768" s="644" t="s">
        <v>6686</v>
      </c>
      <c r="K1768" s="739"/>
      <c r="L1768" s="638">
        <v>12</v>
      </c>
      <c r="M1768" s="638">
        <v>108000</v>
      </c>
      <c r="N1768" s="752"/>
      <c r="O1768" s="638">
        <v>6</v>
      </c>
      <c r="P1768" s="638">
        <v>54000</v>
      </c>
      <c r="Q1768" s="214"/>
    </row>
    <row r="1769" spans="1:17" ht="12" customHeight="1" x14ac:dyDescent="0.2">
      <c r="A1769" s="735" t="s">
        <v>6676</v>
      </c>
      <c r="B1769" s="735" t="s">
        <v>2170</v>
      </c>
      <c r="C1769" s="638" t="s">
        <v>451</v>
      </c>
      <c r="D1769" s="644" t="s">
        <v>6700</v>
      </c>
      <c r="E1769" s="751">
        <v>3500</v>
      </c>
      <c r="F1769" s="638" t="s">
        <v>7044</v>
      </c>
      <c r="G1769" s="636" t="s">
        <v>7045</v>
      </c>
      <c r="H1769" s="636" t="s">
        <v>6699</v>
      </c>
      <c r="I1769" s="636" t="s">
        <v>2766</v>
      </c>
      <c r="J1769" s="644" t="s">
        <v>2766</v>
      </c>
      <c r="K1769" s="739"/>
      <c r="L1769" s="638">
        <v>12</v>
      </c>
      <c r="M1769" s="638">
        <v>42000</v>
      </c>
      <c r="N1769" s="752"/>
      <c r="O1769" s="638">
        <v>6</v>
      </c>
      <c r="P1769" s="638">
        <v>21000</v>
      </c>
      <c r="Q1769" s="214"/>
    </row>
    <row r="1770" spans="1:17" ht="12" customHeight="1" x14ac:dyDescent="0.2">
      <c r="A1770" s="735" t="s">
        <v>6676</v>
      </c>
      <c r="B1770" s="735" t="s">
        <v>2170</v>
      </c>
      <c r="C1770" s="638" t="s">
        <v>451</v>
      </c>
      <c r="D1770" s="644" t="s">
        <v>2548</v>
      </c>
      <c r="E1770" s="751">
        <v>3500</v>
      </c>
      <c r="F1770" s="638" t="s">
        <v>7046</v>
      </c>
      <c r="G1770" s="636" t="s">
        <v>7047</v>
      </c>
      <c r="H1770" s="636" t="s">
        <v>6848</v>
      </c>
      <c r="I1770" s="636" t="s">
        <v>6685</v>
      </c>
      <c r="J1770" s="644" t="s">
        <v>6686</v>
      </c>
      <c r="K1770" s="739"/>
      <c r="L1770" s="638">
        <v>12</v>
      </c>
      <c r="M1770" s="638">
        <v>42000</v>
      </c>
      <c r="N1770" s="752"/>
      <c r="O1770" s="638">
        <v>6</v>
      </c>
      <c r="P1770" s="638">
        <v>21000</v>
      </c>
      <c r="Q1770" s="214"/>
    </row>
    <row r="1771" spans="1:17" ht="12" customHeight="1" x14ac:dyDescent="0.2">
      <c r="A1771" s="735" t="s">
        <v>6676</v>
      </c>
      <c r="B1771" s="735" t="s">
        <v>2170</v>
      </c>
      <c r="C1771" s="638" t="s">
        <v>451</v>
      </c>
      <c r="D1771" s="644" t="s">
        <v>6681</v>
      </c>
      <c r="E1771" s="751">
        <v>9000</v>
      </c>
      <c r="F1771" s="638" t="s">
        <v>7048</v>
      </c>
      <c r="G1771" s="636" t="s">
        <v>7049</v>
      </c>
      <c r="H1771" s="636" t="s">
        <v>6684</v>
      </c>
      <c r="I1771" s="636" t="s">
        <v>6685</v>
      </c>
      <c r="J1771" s="644" t="s">
        <v>6686</v>
      </c>
      <c r="K1771" s="739"/>
      <c r="L1771" s="638">
        <v>12</v>
      </c>
      <c r="M1771" s="638">
        <v>108000</v>
      </c>
      <c r="N1771" s="752"/>
      <c r="O1771" s="638">
        <v>6</v>
      </c>
      <c r="P1771" s="638">
        <v>54000</v>
      </c>
      <c r="Q1771" s="214"/>
    </row>
    <row r="1772" spans="1:17" ht="12" customHeight="1" x14ac:dyDescent="0.2">
      <c r="A1772" s="735" t="s">
        <v>6676</v>
      </c>
      <c r="B1772" s="735" t="s">
        <v>2170</v>
      </c>
      <c r="C1772" s="638" t="s">
        <v>451</v>
      </c>
      <c r="D1772" s="644" t="s">
        <v>5758</v>
      </c>
      <c r="E1772" s="751">
        <v>7000</v>
      </c>
      <c r="F1772" s="638" t="s">
        <v>7050</v>
      </c>
      <c r="G1772" s="644" t="s">
        <v>7051</v>
      </c>
      <c r="H1772" s="636" t="s">
        <v>6834</v>
      </c>
      <c r="I1772" s="636" t="s">
        <v>6685</v>
      </c>
      <c r="J1772" s="644" t="s">
        <v>6686</v>
      </c>
      <c r="K1772" s="739"/>
      <c r="L1772" s="638"/>
      <c r="M1772" s="638"/>
      <c r="N1772" s="752"/>
      <c r="O1772" s="638">
        <v>3</v>
      </c>
      <c r="P1772" s="638">
        <v>21000</v>
      </c>
      <c r="Q1772" s="214"/>
    </row>
    <row r="1773" spans="1:17" ht="12" customHeight="1" x14ac:dyDescent="0.2">
      <c r="A1773" s="735" t="s">
        <v>6676</v>
      </c>
      <c r="B1773" s="735" t="s">
        <v>2170</v>
      </c>
      <c r="C1773" s="638" t="s">
        <v>451</v>
      </c>
      <c r="D1773" s="644" t="s">
        <v>6725</v>
      </c>
      <c r="E1773" s="751">
        <v>8500</v>
      </c>
      <c r="F1773" s="638" t="s">
        <v>7052</v>
      </c>
      <c r="G1773" s="636" t="s">
        <v>7053</v>
      </c>
      <c r="H1773" s="636" t="s">
        <v>2317</v>
      </c>
      <c r="I1773" s="636" t="s">
        <v>6685</v>
      </c>
      <c r="J1773" s="644" t="s">
        <v>6686</v>
      </c>
      <c r="K1773" s="739"/>
      <c r="L1773" s="638">
        <v>12</v>
      </c>
      <c r="M1773" s="638">
        <v>102000</v>
      </c>
      <c r="N1773" s="752"/>
      <c r="O1773" s="638">
        <v>6</v>
      </c>
      <c r="P1773" s="638">
        <v>51000</v>
      </c>
      <c r="Q1773" s="214"/>
    </row>
    <row r="1774" spans="1:17" ht="12" customHeight="1" x14ac:dyDescent="0.2">
      <c r="A1774" s="735" t="s">
        <v>6676</v>
      </c>
      <c r="B1774" s="735" t="s">
        <v>2170</v>
      </c>
      <c r="C1774" s="638" t="s">
        <v>451</v>
      </c>
      <c r="D1774" s="644" t="s">
        <v>5617</v>
      </c>
      <c r="E1774" s="751">
        <v>5000</v>
      </c>
      <c r="F1774" s="638" t="s">
        <v>7054</v>
      </c>
      <c r="G1774" s="644" t="s">
        <v>7055</v>
      </c>
      <c r="H1774" s="636" t="s">
        <v>3915</v>
      </c>
      <c r="I1774" s="636" t="s">
        <v>6548</v>
      </c>
      <c r="J1774" s="644" t="s">
        <v>6686</v>
      </c>
      <c r="K1774" s="739"/>
      <c r="L1774" s="638"/>
      <c r="M1774" s="638"/>
      <c r="N1774" s="752"/>
      <c r="O1774" s="638">
        <v>6</v>
      </c>
      <c r="P1774" s="638">
        <v>30000</v>
      </c>
      <c r="Q1774" s="214"/>
    </row>
    <row r="1775" spans="1:17" ht="12" customHeight="1" x14ac:dyDescent="0.2">
      <c r="A1775" s="735" t="s">
        <v>6676</v>
      </c>
      <c r="B1775" s="735" t="s">
        <v>2170</v>
      </c>
      <c r="C1775" s="638" t="s">
        <v>451</v>
      </c>
      <c r="D1775" s="644" t="s">
        <v>6804</v>
      </c>
      <c r="E1775" s="751">
        <v>14000</v>
      </c>
      <c r="F1775" s="638" t="s">
        <v>7056</v>
      </c>
      <c r="G1775" s="644" t="s">
        <v>7057</v>
      </c>
      <c r="H1775" s="636" t="s">
        <v>6536</v>
      </c>
      <c r="I1775" s="636" t="s">
        <v>6548</v>
      </c>
      <c r="J1775" s="644" t="s">
        <v>6686</v>
      </c>
      <c r="K1775" s="739"/>
      <c r="L1775" s="638">
        <v>4</v>
      </c>
      <c r="M1775" s="638">
        <v>56000</v>
      </c>
      <c r="N1775" s="752"/>
      <c r="O1775" s="638"/>
      <c r="P1775" s="638"/>
      <c r="Q1775" s="214"/>
    </row>
    <row r="1776" spans="1:17" ht="12" customHeight="1" x14ac:dyDescent="0.2">
      <c r="A1776" s="735" t="s">
        <v>6676</v>
      </c>
      <c r="B1776" s="735" t="s">
        <v>2170</v>
      </c>
      <c r="C1776" s="638" t="s">
        <v>451</v>
      </c>
      <c r="D1776" s="644" t="s">
        <v>6875</v>
      </c>
      <c r="E1776" s="751">
        <v>10000</v>
      </c>
      <c r="F1776" s="638" t="s">
        <v>7058</v>
      </c>
      <c r="G1776" s="636" t="s">
        <v>7059</v>
      </c>
      <c r="H1776" s="636" t="s">
        <v>4188</v>
      </c>
      <c r="I1776" s="636" t="s">
        <v>6685</v>
      </c>
      <c r="J1776" s="644" t="s">
        <v>6686</v>
      </c>
      <c r="K1776" s="739"/>
      <c r="L1776" s="638">
        <v>12</v>
      </c>
      <c r="M1776" s="638">
        <v>120000</v>
      </c>
      <c r="N1776" s="752"/>
      <c r="O1776" s="638">
        <v>6</v>
      </c>
      <c r="P1776" s="638">
        <v>60000</v>
      </c>
      <c r="Q1776" s="214"/>
    </row>
    <row r="1777" spans="1:17" ht="12" customHeight="1" x14ac:dyDescent="0.2">
      <c r="A1777" s="735" t="s">
        <v>6676</v>
      </c>
      <c r="B1777" s="735" t="s">
        <v>2170</v>
      </c>
      <c r="C1777" s="638" t="s">
        <v>451</v>
      </c>
      <c r="D1777" s="644" t="s">
        <v>2591</v>
      </c>
      <c r="E1777" s="751">
        <v>15600</v>
      </c>
      <c r="F1777" s="638" t="s">
        <v>7060</v>
      </c>
      <c r="G1777" s="644" t="s">
        <v>7061</v>
      </c>
      <c r="H1777" s="636" t="s">
        <v>6684</v>
      </c>
      <c r="I1777" s="636" t="s">
        <v>6685</v>
      </c>
      <c r="J1777" s="644" t="s">
        <v>6686</v>
      </c>
      <c r="K1777" s="739"/>
      <c r="L1777" s="638">
        <v>2</v>
      </c>
      <c r="M1777" s="638">
        <v>31200</v>
      </c>
      <c r="N1777" s="752"/>
      <c r="O1777" s="638"/>
      <c r="P1777" s="638"/>
      <c r="Q1777" s="214"/>
    </row>
    <row r="1778" spans="1:17" ht="12" customHeight="1" x14ac:dyDescent="0.2">
      <c r="A1778" s="735" t="s">
        <v>6676</v>
      </c>
      <c r="B1778" s="735" t="s">
        <v>2170</v>
      </c>
      <c r="C1778" s="638" t="s">
        <v>451</v>
      </c>
      <c r="D1778" s="644" t="s">
        <v>5624</v>
      </c>
      <c r="E1778" s="751">
        <v>9000</v>
      </c>
      <c r="F1778" s="638" t="s">
        <v>7062</v>
      </c>
      <c r="G1778" s="636" t="s">
        <v>7063</v>
      </c>
      <c r="H1778" s="636" t="s">
        <v>6684</v>
      </c>
      <c r="I1778" s="636" t="s">
        <v>6685</v>
      </c>
      <c r="J1778" s="644" t="s">
        <v>6686</v>
      </c>
      <c r="K1778" s="739"/>
      <c r="L1778" s="638">
        <v>12</v>
      </c>
      <c r="M1778" s="638">
        <v>108000</v>
      </c>
      <c r="N1778" s="752"/>
      <c r="O1778" s="638">
        <v>6</v>
      </c>
      <c r="P1778" s="638">
        <v>54000</v>
      </c>
      <c r="Q1778" s="214"/>
    </row>
    <row r="1779" spans="1:17" ht="12" customHeight="1" x14ac:dyDescent="0.2">
      <c r="A1779" s="735" t="s">
        <v>6676</v>
      </c>
      <c r="B1779" s="735" t="s">
        <v>2170</v>
      </c>
      <c r="C1779" s="638" t="s">
        <v>451</v>
      </c>
      <c r="D1779" s="644" t="s">
        <v>6700</v>
      </c>
      <c r="E1779" s="751">
        <v>3500</v>
      </c>
      <c r="F1779" s="638" t="s">
        <v>7064</v>
      </c>
      <c r="G1779" s="644" t="s">
        <v>7065</v>
      </c>
      <c r="H1779" s="636" t="s">
        <v>6794</v>
      </c>
      <c r="I1779" s="636" t="s">
        <v>6685</v>
      </c>
      <c r="J1779" s="644" t="s">
        <v>6686</v>
      </c>
      <c r="K1779" s="739"/>
      <c r="L1779" s="638"/>
      <c r="M1779" s="638"/>
      <c r="N1779" s="752"/>
      <c r="O1779" s="638">
        <v>6</v>
      </c>
      <c r="P1779" s="638">
        <v>21000</v>
      </c>
      <c r="Q1779" s="214"/>
    </row>
    <row r="1780" spans="1:17" ht="12" customHeight="1" x14ac:dyDescent="0.2">
      <c r="A1780" s="735" t="s">
        <v>6676</v>
      </c>
      <c r="B1780" s="735" t="s">
        <v>2170</v>
      </c>
      <c r="C1780" s="638" t="s">
        <v>451</v>
      </c>
      <c r="D1780" s="644" t="s">
        <v>6700</v>
      </c>
      <c r="E1780" s="751">
        <v>3500</v>
      </c>
      <c r="F1780" s="638" t="s">
        <v>7066</v>
      </c>
      <c r="G1780" s="636" t="s">
        <v>7067</v>
      </c>
      <c r="H1780" s="636" t="s">
        <v>6699</v>
      </c>
      <c r="I1780" s="636" t="s">
        <v>6685</v>
      </c>
      <c r="J1780" s="644" t="s">
        <v>6686</v>
      </c>
      <c r="K1780" s="739"/>
      <c r="L1780" s="638">
        <v>12</v>
      </c>
      <c r="M1780" s="638">
        <v>42000</v>
      </c>
      <c r="N1780" s="752"/>
      <c r="O1780" s="638">
        <v>6</v>
      </c>
      <c r="P1780" s="638">
        <v>21000</v>
      </c>
      <c r="Q1780" s="214"/>
    </row>
    <row r="1781" spans="1:17" ht="12" customHeight="1" x14ac:dyDescent="0.2">
      <c r="A1781" s="735" t="s">
        <v>6676</v>
      </c>
      <c r="B1781" s="735" t="s">
        <v>2170</v>
      </c>
      <c r="C1781" s="638" t="s">
        <v>451</v>
      </c>
      <c r="D1781" s="644" t="s">
        <v>6717</v>
      </c>
      <c r="E1781" s="751">
        <v>9000</v>
      </c>
      <c r="F1781" s="638" t="s">
        <v>7068</v>
      </c>
      <c r="G1781" s="636" t="s">
        <v>7069</v>
      </c>
      <c r="H1781" s="636" t="s">
        <v>6684</v>
      </c>
      <c r="I1781" s="636" t="s">
        <v>6685</v>
      </c>
      <c r="J1781" s="644" t="s">
        <v>6686</v>
      </c>
      <c r="K1781" s="739"/>
      <c r="L1781" s="638">
        <v>12</v>
      </c>
      <c r="M1781" s="638">
        <v>108000</v>
      </c>
      <c r="N1781" s="752"/>
      <c r="O1781" s="638">
        <v>6</v>
      </c>
      <c r="P1781" s="638">
        <v>54000</v>
      </c>
      <c r="Q1781" s="214"/>
    </row>
    <row r="1782" spans="1:17" ht="12" customHeight="1" x14ac:dyDescent="0.2">
      <c r="A1782" s="735" t="s">
        <v>6676</v>
      </c>
      <c r="B1782" s="735" t="s">
        <v>2170</v>
      </c>
      <c r="C1782" s="638" t="s">
        <v>451</v>
      </c>
      <c r="D1782" s="644" t="s">
        <v>7070</v>
      </c>
      <c r="E1782" s="751">
        <v>5500</v>
      </c>
      <c r="F1782" s="638" t="s">
        <v>7071</v>
      </c>
      <c r="G1782" s="644" t="s">
        <v>7072</v>
      </c>
      <c r="H1782" s="636" t="s">
        <v>7073</v>
      </c>
      <c r="I1782" s="636" t="s">
        <v>2766</v>
      </c>
      <c r="J1782" s="644" t="s">
        <v>6686</v>
      </c>
      <c r="K1782" s="739"/>
      <c r="L1782" s="638"/>
      <c r="M1782" s="638"/>
      <c r="N1782" s="752"/>
      <c r="O1782" s="638">
        <v>6</v>
      </c>
      <c r="P1782" s="638">
        <v>33000</v>
      </c>
      <c r="Q1782" s="214"/>
    </row>
    <row r="1783" spans="1:17" ht="12" customHeight="1" x14ac:dyDescent="0.2">
      <c r="A1783" s="735" t="s">
        <v>6676</v>
      </c>
      <c r="B1783" s="735" t="s">
        <v>2170</v>
      </c>
      <c r="C1783" s="638" t="s">
        <v>451</v>
      </c>
      <c r="D1783" s="644" t="s">
        <v>6883</v>
      </c>
      <c r="E1783" s="751">
        <v>3000</v>
      </c>
      <c r="F1783" s="638" t="s">
        <v>7074</v>
      </c>
      <c r="G1783" s="636" t="s">
        <v>7075</v>
      </c>
      <c r="H1783" s="636" t="s">
        <v>2254</v>
      </c>
      <c r="I1783" s="636" t="s">
        <v>2253</v>
      </c>
      <c r="J1783" s="644" t="s">
        <v>2253</v>
      </c>
      <c r="K1783" s="739"/>
      <c r="L1783" s="638">
        <v>12</v>
      </c>
      <c r="M1783" s="638">
        <v>36000</v>
      </c>
      <c r="N1783" s="752"/>
      <c r="O1783" s="638">
        <v>6</v>
      </c>
      <c r="P1783" s="638">
        <v>18000</v>
      </c>
      <c r="Q1783" s="214"/>
    </row>
    <row r="1784" spans="1:17" ht="12" customHeight="1" x14ac:dyDescent="0.2">
      <c r="A1784" s="735" t="s">
        <v>6676</v>
      </c>
      <c r="B1784" s="735" t="s">
        <v>2170</v>
      </c>
      <c r="C1784" s="638" t="s">
        <v>451</v>
      </c>
      <c r="D1784" s="644" t="s">
        <v>2255</v>
      </c>
      <c r="E1784" s="751">
        <v>8500</v>
      </c>
      <c r="F1784" s="638" t="s">
        <v>7076</v>
      </c>
      <c r="G1784" s="644" t="s">
        <v>7077</v>
      </c>
      <c r="H1784" s="636" t="s">
        <v>6536</v>
      </c>
      <c r="I1784" s="636" t="s">
        <v>6548</v>
      </c>
      <c r="J1784" s="644" t="s">
        <v>6686</v>
      </c>
      <c r="K1784" s="739"/>
      <c r="L1784" s="638"/>
      <c r="M1784" s="638"/>
      <c r="N1784" s="752"/>
      <c r="O1784" s="638">
        <v>6</v>
      </c>
      <c r="P1784" s="638">
        <v>51000</v>
      </c>
      <c r="Q1784" s="214"/>
    </row>
    <row r="1785" spans="1:17" ht="12" customHeight="1" x14ac:dyDescent="0.2">
      <c r="A1785" s="735" t="s">
        <v>6676</v>
      </c>
      <c r="B1785" s="735" t="s">
        <v>2170</v>
      </c>
      <c r="C1785" s="638" t="s">
        <v>451</v>
      </c>
      <c r="D1785" s="644" t="s">
        <v>6717</v>
      </c>
      <c r="E1785" s="751">
        <v>9000</v>
      </c>
      <c r="F1785" s="638" t="s">
        <v>7078</v>
      </c>
      <c r="G1785" s="636" t="s">
        <v>7079</v>
      </c>
      <c r="H1785" s="636" t="s">
        <v>6684</v>
      </c>
      <c r="I1785" s="636" t="s">
        <v>6685</v>
      </c>
      <c r="J1785" s="644" t="s">
        <v>6686</v>
      </c>
      <c r="K1785" s="739"/>
      <c r="L1785" s="638">
        <v>12</v>
      </c>
      <c r="M1785" s="638">
        <v>108000</v>
      </c>
      <c r="N1785" s="752"/>
      <c r="O1785" s="638">
        <v>6</v>
      </c>
      <c r="P1785" s="638">
        <v>54000</v>
      </c>
      <c r="Q1785" s="214"/>
    </row>
    <row r="1786" spans="1:17" ht="12" customHeight="1" x14ac:dyDescent="0.2">
      <c r="A1786" s="735" t="s">
        <v>6676</v>
      </c>
      <c r="B1786" s="735" t="s">
        <v>2170</v>
      </c>
      <c r="C1786" s="638" t="s">
        <v>451</v>
      </c>
      <c r="D1786" s="644" t="s">
        <v>2258</v>
      </c>
      <c r="E1786" s="751">
        <v>9000</v>
      </c>
      <c r="F1786" s="638" t="s">
        <v>7080</v>
      </c>
      <c r="G1786" s="636" t="s">
        <v>7081</v>
      </c>
      <c r="H1786" s="636" t="s">
        <v>7082</v>
      </c>
      <c r="I1786" s="636" t="s">
        <v>6685</v>
      </c>
      <c r="J1786" s="644" t="s">
        <v>6686</v>
      </c>
      <c r="K1786" s="739"/>
      <c r="L1786" s="638">
        <v>12</v>
      </c>
      <c r="M1786" s="638">
        <v>108000</v>
      </c>
      <c r="N1786" s="752"/>
      <c r="O1786" s="638">
        <v>6</v>
      </c>
      <c r="P1786" s="638">
        <v>54000</v>
      </c>
      <c r="Q1786" s="214"/>
    </row>
    <row r="1787" spans="1:17" ht="12" customHeight="1" x14ac:dyDescent="0.2">
      <c r="A1787" s="735" t="s">
        <v>6676</v>
      </c>
      <c r="B1787" s="735" t="s">
        <v>2170</v>
      </c>
      <c r="C1787" s="638" t="s">
        <v>451</v>
      </c>
      <c r="D1787" s="644" t="s">
        <v>7083</v>
      </c>
      <c r="E1787" s="751">
        <v>10000</v>
      </c>
      <c r="F1787" s="638" t="s">
        <v>7084</v>
      </c>
      <c r="G1787" s="636" t="s">
        <v>7085</v>
      </c>
      <c r="H1787" s="636" t="s">
        <v>2317</v>
      </c>
      <c r="I1787" s="636" t="s">
        <v>6685</v>
      </c>
      <c r="J1787" s="644" t="s">
        <v>6686</v>
      </c>
      <c r="K1787" s="739"/>
      <c r="L1787" s="638">
        <v>6</v>
      </c>
      <c r="M1787" s="638">
        <v>60000</v>
      </c>
      <c r="N1787" s="752"/>
      <c r="O1787" s="638"/>
      <c r="P1787" s="638"/>
      <c r="Q1787" s="214"/>
    </row>
    <row r="1788" spans="1:17" ht="12" customHeight="1" x14ac:dyDescent="0.2">
      <c r="A1788" s="735" t="s">
        <v>6676</v>
      </c>
      <c r="B1788" s="735" t="s">
        <v>2170</v>
      </c>
      <c r="C1788" s="638" t="s">
        <v>451</v>
      </c>
      <c r="D1788" s="644" t="s">
        <v>2261</v>
      </c>
      <c r="E1788" s="751">
        <v>3500</v>
      </c>
      <c r="F1788" s="638" t="s">
        <v>7086</v>
      </c>
      <c r="G1788" s="636" t="s">
        <v>7087</v>
      </c>
      <c r="H1788" s="636" t="s">
        <v>7088</v>
      </c>
      <c r="I1788" s="636" t="s">
        <v>6685</v>
      </c>
      <c r="J1788" s="644" t="s">
        <v>6686</v>
      </c>
      <c r="K1788" s="739"/>
      <c r="L1788" s="638">
        <v>12</v>
      </c>
      <c r="M1788" s="638">
        <v>42000</v>
      </c>
      <c r="N1788" s="752"/>
      <c r="O1788" s="638">
        <v>6</v>
      </c>
      <c r="P1788" s="638">
        <v>21000</v>
      </c>
      <c r="Q1788" s="214"/>
    </row>
    <row r="1789" spans="1:17" ht="12" customHeight="1" x14ac:dyDescent="0.2">
      <c r="A1789" s="735" t="s">
        <v>6676</v>
      </c>
      <c r="B1789" s="735" t="s">
        <v>2170</v>
      </c>
      <c r="C1789" s="638" t="s">
        <v>451</v>
      </c>
      <c r="D1789" s="644" t="s">
        <v>3444</v>
      </c>
      <c r="E1789" s="751">
        <v>3500</v>
      </c>
      <c r="F1789" s="638" t="s">
        <v>7089</v>
      </c>
      <c r="G1789" s="644" t="s">
        <v>7090</v>
      </c>
      <c r="H1789" s="636" t="s">
        <v>6536</v>
      </c>
      <c r="I1789" s="636" t="s">
        <v>6548</v>
      </c>
      <c r="J1789" s="644" t="s">
        <v>6686</v>
      </c>
      <c r="K1789" s="739"/>
      <c r="L1789" s="638"/>
      <c r="M1789" s="638"/>
      <c r="N1789" s="752"/>
      <c r="O1789" s="638">
        <v>6</v>
      </c>
      <c r="P1789" s="638">
        <v>21000</v>
      </c>
      <c r="Q1789" s="214"/>
    </row>
    <row r="1790" spans="1:17" ht="12" customHeight="1" x14ac:dyDescent="0.2">
      <c r="A1790" s="735" t="s">
        <v>6676</v>
      </c>
      <c r="B1790" s="735" t="s">
        <v>2170</v>
      </c>
      <c r="C1790" s="638" t="s">
        <v>451</v>
      </c>
      <c r="D1790" s="644" t="s">
        <v>2258</v>
      </c>
      <c r="E1790" s="751">
        <v>8000</v>
      </c>
      <c r="F1790" s="638" t="s">
        <v>7091</v>
      </c>
      <c r="G1790" s="636" t="s">
        <v>7092</v>
      </c>
      <c r="H1790" s="636" t="s">
        <v>6608</v>
      </c>
      <c r="I1790" s="636" t="s">
        <v>6685</v>
      </c>
      <c r="J1790" s="644" t="s">
        <v>6686</v>
      </c>
      <c r="K1790" s="739"/>
      <c r="L1790" s="638">
        <v>12</v>
      </c>
      <c r="M1790" s="638">
        <v>96000</v>
      </c>
      <c r="N1790" s="752"/>
      <c r="O1790" s="638">
        <v>1</v>
      </c>
      <c r="P1790" s="638">
        <v>8000</v>
      </c>
      <c r="Q1790" s="214"/>
    </row>
    <row r="1791" spans="1:17" ht="12" customHeight="1" x14ac:dyDescent="0.2">
      <c r="A1791" s="735" t="s">
        <v>6676</v>
      </c>
      <c r="B1791" s="735" t="s">
        <v>2170</v>
      </c>
      <c r="C1791" s="638" t="s">
        <v>451</v>
      </c>
      <c r="D1791" s="644" t="s">
        <v>6841</v>
      </c>
      <c r="E1791" s="751">
        <v>8500</v>
      </c>
      <c r="F1791" s="638" t="s">
        <v>7093</v>
      </c>
      <c r="G1791" s="636" t="s">
        <v>7094</v>
      </c>
      <c r="H1791" s="636" t="s">
        <v>2317</v>
      </c>
      <c r="I1791" s="636" t="s">
        <v>6685</v>
      </c>
      <c r="J1791" s="644" t="s">
        <v>6686</v>
      </c>
      <c r="K1791" s="739"/>
      <c r="L1791" s="638">
        <v>12</v>
      </c>
      <c r="M1791" s="638">
        <v>102000</v>
      </c>
      <c r="N1791" s="752"/>
      <c r="O1791" s="638"/>
      <c r="P1791" s="638"/>
      <c r="Q1791" s="214"/>
    </row>
    <row r="1792" spans="1:17" ht="12" customHeight="1" x14ac:dyDescent="0.2">
      <c r="A1792" s="735" t="s">
        <v>6676</v>
      </c>
      <c r="B1792" s="735" t="s">
        <v>2170</v>
      </c>
      <c r="C1792" s="638" t="s">
        <v>451</v>
      </c>
      <c r="D1792" s="644" t="s">
        <v>6734</v>
      </c>
      <c r="E1792" s="751">
        <v>10000</v>
      </c>
      <c r="F1792" s="638" t="s">
        <v>7093</v>
      </c>
      <c r="G1792" s="644" t="s">
        <v>7094</v>
      </c>
      <c r="H1792" s="636" t="s">
        <v>2317</v>
      </c>
      <c r="I1792" s="636" t="s">
        <v>6685</v>
      </c>
      <c r="J1792" s="644" t="s">
        <v>6686</v>
      </c>
      <c r="K1792" s="739"/>
      <c r="L1792" s="638"/>
      <c r="M1792" s="638"/>
      <c r="N1792" s="752"/>
      <c r="O1792" s="638">
        <v>6</v>
      </c>
      <c r="P1792" s="638">
        <v>60000</v>
      </c>
      <c r="Q1792" s="214"/>
    </row>
    <row r="1793" spans="1:17" ht="12" customHeight="1" x14ac:dyDescent="0.2">
      <c r="A1793" s="735" t="s">
        <v>6676</v>
      </c>
      <c r="B1793" s="735" t="s">
        <v>2170</v>
      </c>
      <c r="C1793" s="638" t="s">
        <v>451</v>
      </c>
      <c r="D1793" s="644" t="s">
        <v>6700</v>
      </c>
      <c r="E1793" s="751">
        <v>3500</v>
      </c>
      <c r="F1793" s="638" t="s">
        <v>7095</v>
      </c>
      <c r="G1793" s="636" t="s">
        <v>7096</v>
      </c>
      <c r="H1793" s="636" t="s">
        <v>6684</v>
      </c>
      <c r="I1793" s="636" t="s">
        <v>6685</v>
      </c>
      <c r="J1793" s="644" t="s">
        <v>6686</v>
      </c>
      <c r="K1793" s="739"/>
      <c r="L1793" s="638">
        <v>10</v>
      </c>
      <c r="M1793" s="638">
        <v>35000</v>
      </c>
      <c r="N1793" s="752"/>
      <c r="O1793" s="638"/>
      <c r="P1793" s="638"/>
      <c r="Q1793" s="214"/>
    </row>
    <row r="1794" spans="1:17" ht="12" customHeight="1" x14ac:dyDescent="0.2">
      <c r="A1794" s="735" t="s">
        <v>6676</v>
      </c>
      <c r="B1794" s="735" t="s">
        <v>2170</v>
      </c>
      <c r="C1794" s="638" t="s">
        <v>451</v>
      </c>
      <c r="D1794" s="644" t="s">
        <v>6757</v>
      </c>
      <c r="E1794" s="751">
        <v>9500</v>
      </c>
      <c r="F1794" s="638" t="s">
        <v>7097</v>
      </c>
      <c r="G1794" s="636" t="s">
        <v>7098</v>
      </c>
      <c r="H1794" s="636" t="s">
        <v>2189</v>
      </c>
      <c r="I1794" s="636" t="s">
        <v>6685</v>
      </c>
      <c r="J1794" s="644" t="s">
        <v>6686</v>
      </c>
      <c r="K1794" s="739"/>
      <c r="L1794" s="638">
        <v>12</v>
      </c>
      <c r="M1794" s="638">
        <v>114000</v>
      </c>
      <c r="N1794" s="752"/>
      <c r="O1794" s="638">
        <v>6</v>
      </c>
      <c r="P1794" s="638">
        <v>57000</v>
      </c>
      <c r="Q1794" s="214"/>
    </row>
    <row r="1795" spans="1:17" ht="12" customHeight="1" x14ac:dyDescent="0.2">
      <c r="A1795" s="735" t="s">
        <v>6676</v>
      </c>
      <c r="B1795" s="735" t="s">
        <v>2170</v>
      </c>
      <c r="C1795" s="638" t="s">
        <v>451</v>
      </c>
      <c r="D1795" s="644" t="s">
        <v>7099</v>
      </c>
      <c r="E1795" s="751">
        <v>3500</v>
      </c>
      <c r="F1795" s="638" t="s">
        <v>7100</v>
      </c>
      <c r="G1795" s="636" t="s">
        <v>7101</v>
      </c>
      <c r="H1795" s="636" t="s">
        <v>6684</v>
      </c>
      <c r="I1795" s="636" t="s">
        <v>6685</v>
      </c>
      <c r="J1795" s="644" t="s">
        <v>6686</v>
      </c>
      <c r="K1795" s="739"/>
      <c r="L1795" s="638">
        <v>11</v>
      </c>
      <c r="M1795" s="638">
        <v>38500</v>
      </c>
      <c r="N1795" s="752"/>
      <c r="O1795" s="638"/>
      <c r="P1795" s="638"/>
      <c r="Q1795" s="214"/>
    </row>
    <row r="1796" spans="1:17" ht="12" customHeight="1" x14ac:dyDescent="0.2">
      <c r="A1796" s="735" t="s">
        <v>6676</v>
      </c>
      <c r="B1796" s="735" t="s">
        <v>2170</v>
      </c>
      <c r="C1796" s="638" t="s">
        <v>451</v>
      </c>
      <c r="D1796" s="644" t="s">
        <v>6804</v>
      </c>
      <c r="E1796" s="751">
        <v>14000</v>
      </c>
      <c r="F1796" s="638" t="s">
        <v>7102</v>
      </c>
      <c r="G1796" s="644" t="s">
        <v>7103</v>
      </c>
      <c r="H1796" s="636" t="s">
        <v>6536</v>
      </c>
      <c r="I1796" s="636" t="s">
        <v>6548</v>
      </c>
      <c r="J1796" s="644" t="s">
        <v>6686</v>
      </c>
      <c r="K1796" s="739"/>
      <c r="L1796" s="638"/>
      <c r="M1796" s="638"/>
      <c r="N1796" s="752"/>
      <c r="O1796" s="638">
        <v>1</v>
      </c>
      <c r="P1796" s="638">
        <v>14000</v>
      </c>
      <c r="Q1796" s="214"/>
    </row>
    <row r="1797" spans="1:17" ht="12" customHeight="1" x14ac:dyDescent="0.2">
      <c r="A1797" s="735" t="s">
        <v>6676</v>
      </c>
      <c r="B1797" s="735" t="s">
        <v>2170</v>
      </c>
      <c r="C1797" s="638" t="s">
        <v>451</v>
      </c>
      <c r="D1797" s="644" t="s">
        <v>7104</v>
      </c>
      <c r="E1797" s="751">
        <v>4000</v>
      </c>
      <c r="F1797" s="638" t="s">
        <v>7105</v>
      </c>
      <c r="G1797" s="636" t="s">
        <v>7106</v>
      </c>
      <c r="H1797" s="636" t="s">
        <v>2384</v>
      </c>
      <c r="I1797" s="636" t="s">
        <v>3760</v>
      </c>
      <c r="J1797" s="644" t="s">
        <v>6680</v>
      </c>
      <c r="K1797" s="739"/>
      <c r="L1797" s="638">
        <v>12</v>
      </c>
      <c r="M1797" s="638">
        <v>48000</v>
      </c>
      <c r="N1797" s="752"/>
      <c r="O1797" s="638">
        <v>6</v>
      </c>
      <c r="P1797" s="638">
        <v>24000</v>
      </c>
      <c r="Q1797" s="214"/>
    </row>
    <row r="1798" spans="1:17" ht="12" customHeight="1" x14ac:dyDescent="0.2">
      <c r="A1798" s="735" t="s">
        <v>6676</v>
      </c>
      <c r="B1798" s="735" t="s">
        <v>2170</v>
      </c>
      <c r="C1798" s="638" t="s">
        <v>451</v>
      </c>
      <c r="D1798" s="644" t="s">
        <v>6797</v>
      </c>
      <c r="E1798" s="751">
        <v>9000</v>
      </c>
      <c r="F1798" s="638" t="s">
        <v>7107</v>
      </c>
      <c r="G1798" s="636" t="s">
        <v>7108</v>
      </c>
      <c r="H1798" s="636" t="s">
        <v>6684</v>
      </c>
      <c r="I1798" s="636" t="s">
        <v>6685</v>
      </c>
      <c r="J1798" s="644" t="s">
        <v>6686</v>
      </c>
      <c r="K1798" s="739"/>
      <c r="L1798" s="638">
        <v>12</v>
      </c>
      <c r="M1798" s="638">
        <v>108000</v>
      </c>
      <c r="N1798" s="752"/>
      <c r="O1798" s="638">
        <v>6</v>
      </c>
      <c r="P1798" s="638">
        <v>54000</v>
      </c>
      <c r="Q1798" s="214"/>
    </row>
    <row r="1799" spans="1:17" ht="12" customHeight="1" x14ac:dyDescent="0.2">
      <c r="A1799" s="735" t="s">
        <v>6676</v>
      </c>
      <c r="B1799" s="735" t="s">
        <v>2170</v>
      </c>
      <c r="C1799" s="638" t="s">
        <v>451</v>
      </c>
      <c r="D1799" s="644" t="s">
        <v>7109</v>
      </c>
      <c r="E1799" s="751">
        <v>5500</v>
      </c>
      <c r="F1799" s="638" t="s">
        <v>7110</v>
      </c>
      <c r="G1799" s="636" t="s">
        <v>7111</v>
      </c>
      <c r="H1799" s="636" t="s">
        <v>6745</v>
      </c>
      <c r="I1799" s="636" t="s">
        <v>6685</v>
      </c>
      <c r="J1799" s="644" t="s">
        <v>6686</v>
      </c>
      <c r="K1799" s="739"/>
      <c r="L1799" s="638">
        <v>12</v>
      </c>
      <c r="M1799" s="638">
        <v>66000</v>
      </c>
      <c r="N1799" s="752"/>
      <c r="O1799" s="638">
        <v>6</v>
      </c>
      <c r="P1799" s="638">
        <v>33000</v>
      </c>
      <c r="Q1799" s="214"/>
    </row>
    <row r="1800" spans="1:17" ht="12" customHeight="1" x14ac:dyDescent="0.2">
      <c r="A1800" s="735" t="s">
        <v>6676</v>
      </c>
      <c r="B1800" s="735" t="s">
        <v>2170</v>
      </c>
      <c r="C1800" s="638" t="s">
        <v>451</v>
      </c>
      <c r="D1800" s="644" t="s">
        <v>7112</v>
      </c>
      <c r="E1800" s="751">
        <v>11600</v>
      </c>
      <c r="F1800" s="638" t="s">
        <v>5952</v>
      </c>
      <c r="G1800" s="636" t="s">
        <v>7113</v>
      </c>
      <c r="H1800" s="636" t="s">
        <v>6794</v>
      </c>
      <c r="I1800" s="636" t="s">
        <v>2180</v>
      </c>
      <c r="J1800" s="644" t="s">
        <v>6686</v>
      </c>
      <c r="K1800" s="739"/>
      <c r="L1800" s="638">
        <v>7</v>
      </c>
      <c r="M1800" s="638">
        <v>81200</v>
      </c>
      <c r="N1800" s="752"/>
      <c r="O1800" s="638"/>
      <c r="P1800" s="638"/>
      <c r="Q1800" s="214"/>
    </row>
    <row r="1801" spans="1:17" ht="12" customHeight="1" x14ac:dyDescent="0.2">
      <c r="A1801" s="735" t="s">
        <v>6676</v>
      </c>
      <c r="B1801" s="735" t="s">
        <v>2170</v>
      </c>
      <c r="C1801" s="638" t="s">
        <v>451</v>
      </c>
      <c r="D1801" s="644" t="s">
        <v>6693</v>
      </c>
      <c r="E1801" s="751">
        <v>5000</v>
      </c>
      <c r="F1801" s="638" t="s">
        <v>7114</v>
      </c>
      <c r="G1801" s="636" t="s">
        <v>7115</v>
      </c>
      <c r="H1801" s="636" t="s">
        <v>7082</v>
      </c>
      <c r="I1801" s="636" t="s">
        <v>6685</v>
      </c>
      <c r="J1801" s="644" t="s">
        <v>6686</v>
      </c>
      <c r="K1801" s="739"/>
      <c r="L1801" s="638">
        <v>7</v>
      </c>
      <c r="M1801" s="638">
        <v>35000</v>
      </c>
      <c r="N1801" s="752"/>
      <c r="O1801" s="638"/>
      <c r="P1801" s="638"/>
      <c r="Q1801" s="214"/>
    </row>
    <row r="1802" spans="1:17" ht="12" customHeight="1" x14ac:dyDescent="0.2">
      <c r="A1802" s="735" t="s">
        <v>6676</v>
      </c>
      <c r="B1802" s="735" t="s">
        <v>2170</v>
      </c>
      <c r="C1802" s="638" t="s">
        <v>451</v>
      </c>
      <c r="D1802" s="644" t="s">
        <v>6797</v>
      </c>
      <c r="E1802" s="751">
        <v>9000</v>
      </c>
      <c r="F1802" s="638" t="s">
        <v>7116</v>
      </c>
      <c r="G1802" s="636" t="s">
        <v>7117</v>
      </c>
      <c r="H1802" s="636" t="s">
        <v>6684</v>
      </c>
      <c r="I1802" s="636" t="s">
        <v>6685</v>
      </c>
      <c r="J1802" s="644" t="s">
        <v>6686</v>
      </c>
      <c r="K1802" s="739"/>
      <c r="L1802" s="638">
        <v>12</v>
      </c>
      <c r="M1802" s="638">
        <v>108000</v>
      </c>
      <c r="N1802" s="752"/>
      <c r="O1802" s="638">
        <v>6</v>
      </c>
      <c r="P1802" s="638">
        <v>54000</v>
      </c>
      <c r="Q1802" s="214"/>
    </row>
    <row r="1803" spans="1:17" ht="12" customHeight="1" x14ac:dyDescent="0.2">
      <c r="A1803" s="735" t="s">
        <v>6676</v>
      </c>
      <c r="B1803" s="735" t="s">
        <v>2170</v>
      </c>
      <c r="C1803" s="638" t="s">
        <v>451</v>
      </c>
      <c r="D1803" s="644" t="s">
        <v>6818</v>
      </c>
      <c r="E1803" s="751">
        <v>3500</v>
      </c>
      <c r="F1803" s="638" t="s">
        <v>7118</v>
      </c>
      <c r="G1803" s="636" t="s">
        <v>7119</v>
      </c>
      <c r="H1803" s="636" t="s">
        <v>6707</v>
      </c>
      <c r="I1803" s="636" t="s">
        <v>6685</v>
      </c>
      <c r="J1803" s="644" t="s">
        <v>6686</v>
      </c>
      <c r="K1803" s="739"/>
      <c r="L1803" s="638">
        <v>12</v>
      </c>
      <c r="M1803" s="638">
        <v>42000</v>
      </c>
      <c r="N1803" s="752"/>
      <c r="O1803" s="638"/>
      <c r="P1803" s="638"/>
      <c r="Q1803" s="214"/>
    </row>
    <row r="1804" spans="1:17" ht="12" customHeight="1" x14ac:dyDescent="0.2">
      <c r="A1804" s="735" t="s">
        <v>6676</v>
      </c>
      <c r="B1804" s="735" t="s">
        <v>2170</v>
      </c>
      <c r="C1804" s="638" t="s">
        <v>451</v>
      </c>
      <c r="D1804" s="644" t="s">
        <v>7120</v>
      </c>
      <c r="E1804" s="751">
        <v>12000</v>
      </c>
      <c r="F1804" s="638" t="s">
        <v>7121</v>
      </c>
      <c r="G1804" s="644" t="s">
        <v>7122</v>
      </c>
      <c r="H1804" s="636" t="s">
        <v>6536</v>
      </c>
      <c r="I1804" s="636" t="s">
        <v>6548</v>
      </c>
      <c r="J1804" s="644" t="s">
        <v>6686</v>
      </c>
      <c r="K1804" s="739"/>
      <c r="L1804" s="638"/>
      <c r="M1804" s="638"/>
      <c r="N1804" s="752"/>
      <c r="O1804" s="638">
        <v>6</v>
      </c>
      <c r="P1804" s="638">
        <v>72000</v>
      </c>
      <c r="Q1804" s="214"/>
    </row>
    <row r="1805" spans="1:17" ht="12" customHeight="1" x14ac:dyDescent="0.2">
      <c r="A1805" s="735" t="s">
        <v>6676</v>
      </c>
      <c r="B1805" s="735" t="s">
        <v>2170</v>
      </c>
      <c r="C1805" s="638" t="s">
        <v>451</v>
      </c>
      <c r="D1805" s="644" t="s">
        <v>7123</v>
      </c>
      <c r="E1805" s="751">
        <v>8500</v>
      </c>
      <c r="F1805" s="638" t="s">
        <v>7124</v>
      </c>
      <c r="G1805" s="636" t="s">
        <v>7125</v>
      </c>
      <c r="H1805" s="636" t="s">
        <v>6684</v>
      </c>
      <c r="I1805" s="636" t="s">
        <v>6685</v>
      </c>
      <c r="J1805" s="644" t="s">
        <v>6686</v>
      </c>
      <c r="K1805" s="739"/>
      <c r="L1805" s="638">
        <v>12</v>
      </c>
      <c r="M1805" s="638">
        <v>102000</v>
      </c>
      <c r="N1805" s="752"/>
      <c r="O1805" s="638">
        <v>6</v>
      </c>
      <c r="P1805" s="638">
        <v>51000</v>
      </c>
      <c r="Q1805" s="214"/>
    </row>
    <row r="1806" spans="1:17" ht="12" customHeight="1" x14ac:dyDescent="0.2">
      <c r="A1806" s="735" t="s">
        <v>6676</v>
      </c>
      <c r="B1806" s="735" t="s">
        <v>2170</v>
      </c>
      <c r="C1806" s="638" t="s">
        <v>451</v>
      </c>
      <c r="D1806" s="644" t="s">
        <v>6681</v>
      </c>
      <c r="E1806" s="751">
        <v>9000</v>
      </c>
      <c r="F1806" s="638" t="s">
        <v>7126</v>
      </c>
      <c r="G1806" s="636" t="s">
        <v>7127</v>
      </c>
      <c r="H1806" s="636" t="s">
        <v>6684</v>
      </c>
      <c r="I1806" s="636" t="s">
        <v>6685</v>
      </c>
      <c r="J1806" s="644" t="s">
        <v>6686</v>
      </c>
      <c r="K1806" s="739"/>
      <c r="L1806" s="638">
        <v>12</v>
      </c>
      <c r="M1806" s="638">
        <v>108000</v>
      </c>
      <c r="N1806" s="752"/>
      <c r="O1806" s="638">
        <v>6</v>
      </c>
      <c r="P1806" s="638">
        <v>54000</v>
      </c>
      <c r="Q1806" s="214"/>
    </row>
    <row r="1807" spans="1:17" ht="12" customHeight="1" x14ac:dyDescent="0.2">
      <c r="A1807" s="735" t="s">
        <v>6676</v>
      </c>
      <c r="B1807" s="735" t="s">
        <v>2170</v>
      </c>
      <c r="C1807" s="638" t="s">
        <v>451</v>
      </c>
      <c r="D1807" s="644" t="s">
        <v>6700</v>
      </c>
      <c r="E1807" s="751">
        <v>3500</v>
      </c>
      <c r="F1807" s="638" t="s">
        <v>7128</v>
      </c>
      <c r="G1807" s="636" t="s">
        <v>7129</v>
      </c>
      <c r="H1807" s="636" t="s">
        <v>6703</v>
      </c>
      <c r="I1807" s="636" t="s">
        <v>6685</v>
      </c>
      <c r="J1807" s="644" t="s">
        <v>6686</v>
      </c>
      <c r="K1807" s="739"/>
      <c r="L1807" s="638">
        <v>12</v>
      </c>
      <c r="M1807" s="638">
        <v>42000</v>
      </c>
      <c r="N1807" s="752"/>
      <c r="O1807" s="638">
        <v>6</v>
      </c>
      <c r="P1807" s="638">
        <v>21000</v>
      </c>
      <c r="Q1807" s="214"/>
    </row>
    <row r="1808" spans="1:17" ht="12" customHeight="1" x14ac:dyDescent="0.2">
      <c r="A1808" s="735" t="s">
        <v>6676</v>
      </c>
      <c r="B1808" s="735" t="s">
        <v>2170</v>
      </c>
      <c r="C1808" s="638" t="s">
        <v>451</v>
      </c>
      <c r="D1808" s="644" t="s">
        <v>6681</v>
      </c>
      <c r="E1808" s="751">
        <v>9000</v>
      </c>
      <c r="F1808" s="638" t="s">
        <v>7130</v>
      </c>
      <c r="G1808" s="636" t="s">
        <v>7131</v>
      </c>
      <c r="H1808" s="636" t="s">
        <v>6684</v>
      </c>
      <c r="I1808" s="636" t="s">
        <v>6685</v>
      </c>
      <c r="J1808" s="644" t="s">
        <v>6686</v>
      </c>
      <c r="K1808" s="739"/>
      <c r="L1808" s="638">
        <v>12</v>
      </c>
      <c r="M1808" s="638">
        <v>108000</v>
      </c>
      <c r="N1808" s="752"/>
      <c r="O1808" s="638">
        <v>6</v>
      </c>
      <c r="P1808" s="638">
        <v>54000</v>
      </c>
      <c r="Q1808" s="214"/>
    </row>
    <row r="1809" spans="1:17" ht="12" customHeight="1" x14ac:dyDescent="0.2">
      <c r="A1809" s="735" t="s">
        <v>6676</v>
      </c>
      <c r="B1809" s="735" t="s">
        <v>2170</v>
      </c>
      <c r="C1809" s="638" t="s">
        <v>451</v>
      </c>
      <c r="D1809" s="644" t="s">
        <v>5624</v>
      </c>
      <c r="E1809" s="751">
        <v>9000</v>
      </c>
      <c r="F1809" s="638" t="s">
        <v>7132</v>
      </c>
      <c r="G1809" s="636" t="s">
        <v>7133</v>
      </c>
      <c r="H1809" s="636" t="s">
        <v>6684</v>
      </c>
      <c r="I1809" s="636" t="s">
        <v>6685</v>
      </c>
      <c r="J1809" s="644" t="s">
        <v>6686</v>
      </c>
      <c r="K1809" s="739"/>
      <c r="L1809" s="638">
        <v>12</v>
      </c>
      <c r="M1809" s="638">
        <v>108000</v>
      </c>
      <c r="N1809" s="752"/>
      <c r="O1809" s="638">
        <v>6</v>
      </c>
      <c r="P1809" s="638">
        <v>54000</v>
      </c>
      <c r="Q1809" s="214"/>
    </row>
    <row r="1810" spans="1:17" ht="12" customHeight="1" x14ac:dyDescent="0.2">
      <c r="A1810" s="735" t="s">
        <v>6676</v>
      </c>
      <c r="B1810" s="735" t="s">
        <v>2170</v>
      </c>
      <c r="C1810" s="638" t="s">
        <v>451</v>
      </c>
      <c r="D1810" s="644" t="s">
        <v>7134</v>
      </c>
      <c r="E1810" s="751">
        <v>8500</v>
      </c>
      <c r="F1810" s="638" t="s">
        <v>7135</v>
      </c>
      <c r="G1810" s="636" t="s">
        <v>7136</v>
      </c>
      <c r="H1810" s="636" t="s">
        <v>6896</v>
      </c>
      <c r="I1810" s="636" t="s">
        <v>6685</v>
      </c>
      <c r="J1810" s="644" t="s">
        <v>6686</v>
      </c>
      <c r="K1810" s="739"/>
      <c r="L1810" s="638">
        <v>12</v>
      </c>
      <c r="M1810" s="638">
        <v>102000</v>
      </c>
      <c r="N1810" s="752"/>
      <c r="O1810" s="638">
        <v>6</v>
      </c>
      <c r="P1810" s="638">
        <v>51000</v>
      </c>
      <c r="Q1810" s="214"/>
    </row>
    <row r="1811" spans="1:17" ht="12" customHeight="1" x14ac:dyDescent="0.2">
      <c r="A1811" s="735" t="s">
        <v>6676</v>
      </c>
      <c r="B1811" s="735" t="s">
        <v>2170</v>
      </c>
      <c r="C1811" s="638" t="s">
        <v>451</v>
      </c>
      <c r="D1811" s="644" t="s">
        <v>5624</v>
      </c>
      <c r="E1811" s="751">
        <v>9000</v>
      </c>
      <c r="F1811" s="638" t="s">
        <v>7137</v>
      </c>
      <c r="G1811" s="644" t="s">
        <v>7138</v>
      </c>
      <c r="H1811" s="636" t="s">
        <v>6536</v>
      </c>
      <c r="I1811" s="636" t="s">
        <v>6548</v>
      </c>
      <c r="J1811" s="644" t="s">
        <v>6686</v>
      </c>
      <c r="K1811" s="739"/>
      <c r="L1811" s="638"/>
      <c r="M1811" s="638"/>
      <c r="N1811" s="752"/>
      <c r="O1811" s="638">
        <v>6</v>
      </c>
      <c r="P1811" s="638">
        <v>54000</v>
      </c>
      <c r="Q1811" s="214"/>
    </row>
    <row r="1812" spans="1:17" ht="12" customHeight="1" x14ac:dyDescent="0.2">
      <c r="A1812" s="735" t="s">
        <v>6676</v>
      </c>
      <c r="B1812" s="735" t="s">
        <v>2170</v>
      </c>
      <c r="C1812" s="638" t="s">
        <v>451</v>
      </c>
      <c r="D1812" s="644" t="s">
        <v>6889</v>
      </c>
      <c r="E1812" s="751">
        <v>10000</v>
      </c>
      <c r="F1812" s="638" t="s">
        <v>7139</v>
      </c>
      <c r="G1812" s="636" t="s">
        <v>7140</v>
      </c>
      <c r="H1812" s="636" t="s">
        <v>7141</v>
      </c>
      <c r="I1812" s="636" t="s">
        <v>6685</v>
      </c>
      <c r="J1812" s="644" t="s">
        <v>6686</v>
      </c>
      <c r="K1812" s="739"/>
      <c r="L1812" s="638">
        <v>12</v>
      </c>
      <c r="M1812" s="638">
        <v>120000</v>
      </c>
      <c r="N1812" s="752"/>
      <c r="O1812" s="638">
        <v>6</v>
      </c>
      <c r="P1812" s="638">
        <v>60000</v>
      </c>
      <c r="Q1812" s="214"/>
    </row>
    <row r="1813" spans="1:17" ht="12" customHeight="1" x14ac:dyDescent="0.2">
      <c r="A1813" s="735" t="s">
        <v>6676</v>
      </c>
      <c r="B1813" s="735" t="s">
        <v>2170</v>
      </c>
      <c r="C1813" s="638" t="s">
        <v>451</v>
      </c>
      <c r="D1813" s="644" t="s">
        <v>5511</v>
      </c>
      <c r="E1813" s="751">
        <v>2000</v>
      </c>
      <c r="F1813" s="638" t="s">
        <v>7142</v>
      </c>
      <c r="G1813" s="636" t="s">
        <v>7143</v>
      </c>
      <c r="H1813" s="636" t="s">
        <v>6907</v>
      </c>
      <c r="I1813" s="636" t="s">
        <v>2253</v>
      </c>
      <c r="J1813" s="644" t="s">
        <v>2253</v>
      </c>
      <c r="K1813" s="739"/>
      <c r="L1813" s="638">
        <v>12</v>
      </c>
      <c r="M1813" s="638">
        <v>24000</v>
      </c>
      <c r="N1813" s="752"/>
      <c r="O1813" s="638">
        <v>6</v>
      </c>
      <c r="P1813" s="638">
        <v>12000</v>
      </c>
      <c r="Q1813" s="214"/>
    </row>
    <row r="1814" spans="1:17" ht="12" customHeight="1" x14ac:dyDescent="0.2">
      <c r="A1814" s="735" t="s">
        <v>6676</v>
      </c>
      <c r="B1814" s="735" t="s">
        <v>2170</v>
      </c>
      <c r="C1814" s="638" t="s">
        <v>451</v>
      </c>
      <c r="D1814" s="644" t="s">
        <v>6735</v>
      </c>
      <c r="E1814" s="751">
        <v>3500</v>
      </c>
      <c r="F1814" s="638" t="s">
        <v>7144</v>
      </c>
      <c r="G1814" s="636" t="s">
        <v>7145</v>
      </c>
      <c r="H1814" s="636" t="s">
        <v>6684</v>
      </c>
      <c r="I1814" s="636" t="s">
        <v>6685</v>
      </c>
      <c r="J1814" s="644" t="s">
        <v>6686</v>
      </c>
      <c r="K1814" s="739"/>
      <c r="L1814" s="638">
        <v>2</v>
      </c>
      <c r="M1814" s="638">
        <v>7000</v>
      </c>
      <c r="N1814" s="752"/>
      <c r="O1814" s="638"/>
      <c r="P1814" s="638"/>
      <c r="Q1814" s="214"/>
    </row>
    <row r="1815" spans="1:17" ht="12" customHeight="1" x14ac:dyDescent="0.2">
      <c r="A1815" s="735" t="s">
        <v>6676</v>
      </c>
      <c r="B1815" s="735" t="s">
        <v>2170</v>
      </c>
      <c r="C1815" s="638" t="s">
        <v>451</v>
      </c>
      <c r="D1815" s="644" t="s">
        <v>6229</v>
      </c>
      <c r="E1815" s="751">
        <v>9000</v>
      </c>
      <c r="F1815" s="638" t="s">
        <v>7146</v>
      </c>
      <c r="G1815" s="636" t="s">
        <v>7147</v>
      </c>
      <c r="H1815" s="636" t="s">
        <v>6571</v>
      </c>
      <c r="I1815" s="636" t="s">
        <v>2180</v>
      </c>
      <c r="J1815" s="644" t="s">
        <v>6686</v>
      </c>
      <c r="K1815" s="739"/>
      <c r="L1815" s="638">
        <v>3</v>
      </c>
      <c r="M1815" s="638">
        <v>27000</v>
      </c>
      <c r="N1815" s="752"/>
      <c r="O1815" s="638"/>
      <c r="P1815" s="638"/>
      <c r="Q1815" s="214"/>
    </row>
    <row r="1816" spans="1:17" ht="12" customHeight="1" x14ac:dyDescent="0.2">
      <c r="A1816" s="735" t="s">
        <v>6676</v>
      </c>
      <c r="B1816" s="735" t="s">
        <v>2170</v>
      </c>
      <c r="C1816" s="638" t="s">
        <v>451</v>
      </c>
      <c r="D1816" s="644" t="s">
        <v>6797</v>
      </c>
      <c r="E1816" s="751">
        <v>9000</v>
      </c>
      <c r="F1816" s="638" t="s">
        <v>7148</v>
      </c>
      <c r="G1816" s="636" t="s">
        <v>7149</v>
      </c>
      <c r="H1816" s="636" t="s">
        <v>7150</v>
      </c>
      <c r="I1816" s="636" t="s">
        <v>6685</v>
      </c>
      <c r="J1816" s="644" t="s">
        <v>6686</v>
      </c>
      <c r="K1816" s="739"/>
      <c r="L1816" s="638">
        <v>12</v>
      </c>
      <c r="M1816" s="638">
        <v>108000</v>
      </c>
      <c r="N1816" s="752"/>
      <c r="O1816" s="638">
        <v>6</v>
      </c>
      <c r="P1816" s="638">
        <v>54000</v>
      </c>
      <c r="Q1816" s="214"/>
    </row>
    <row r="1817" spans="1:17" ht="12" customHeight="1" x14ac:dyDescent="0.2">
      <c r="A1817" s="735" t="s">
        <v>6676</v>
      </c>
      <c r="B1817" s="735" t="s">
        <v>2170</v>
      </c>
      <c r="C1817" s="638" t="s">
        <v>451</v>
      </c>
      <c r="D1817" s="644" t="s">
        <v>7013</v>
      </c>
      <c r="E1817" s="751">
        <v>14000</v>
      </c>
      <c r="F1817" s="638" t="s">
        <v>5987</v>
      </c>
      <c r="G1817" s="644" t="s">
        <v>7151</v>
      </c>
      <c r="H1817" s="636" t="s">
        <v>7152</v>
      </c>
      <c r="I1817" s="636" t="s">
        <v>6548</v>
      </c>
      <c r="J1817" s="644" t="s">
        <v>6686</v>
      </c>
      <c r="K1817" s="739"/>
      <c r="L1817" s="638"/>
      <c r="M1817" s="638"/>
      <c r="N1817" s="752"/>
      <c r="O1817" s="638">
        <v>6</v>
      </c>
      <c r="P1817" s="638">
        <v>84000</v>
      </c>
      <c r="Q1817" s="214"/>
    </row>
    <row r="1818" spans="1:17" ht="12" customHeight="1" x14ac:dyDescent="0.2">
      <c r="A1818" s="735" t="s">
        <v>6676</v>
      </c>
      <c r="B1818" s="735" t="s">
        <v>2170</v>
      </c>
      <c r="C1818" s="638" t="s">
        <v>451</v>
      </c>
      <c r="D1818" s="644" t="s">
        <v>7153</v>
      </c>
      <c r="E1818" s="751">
        <v>9000</v>
      </c>
      <c r="F1818" s="638" t="s">
        <v>7154</v>
      </c>
      <c r="G1818" s="636" t="s">
        <v>7155</v>
      </c>
      <c r="H1818" s="636" t="s">
        <v>6699</v>
      </c>
      <c r="I1818" s="636" t="s">
        <v>6685</v>
      </c>
      <c r="J1818" s="644" t="s">
        <v>6686</v>
      </c>
      <c r="K1818" s="739"/>
      <c r="L1818" s="638">
        <v>12</v>
      </c>
      <c r="M1818" s="638">
        <v>108000</v>
      </c>
      <c r="N1818" s="752"/>
      <c r="O1818" s="638">
        <v>6</v>
      </c>
      <c r="P1818" s="638">
        <v>54000</v>
      </c>
      <c r="Q1818" s="214"/>
    </row>
    <row r="1819" spans="1:17" ht="12" customHeight="1" x14ac:dyDescent="0.2">
      <c r="A1819" s="735" t="s">
        <v>6676</v>
      </c>
      <c r="B1819" s="735" t="s">
        <v>2170</v>
      </c>
      <c r="C1819" s="638" t="s">
        <v>451</v>
      </c>
      <c r="D1819" s="644" t="s">
        <v>7123</v>
      </c>
      <c r="E1819" s="751">
        <v>8500</v>
      </c>
      <c r="F1819" s="638" t="s">
        <v>7156</v>
      </c>
      <c r="G1819" s="644" t="s">
        <v>7157</v>
      </c>
      <c r="H1819" s="636" t="s">
        <v>6536</v>
      </c>
      <c r="I1819" s="636" t="s">
        <v>6548</v>
      </c>
      <c r="J1819" s="644" t="s">
        <v>6686</v>
      </c>
      <c r="K1819" s="739"/>
      <c r="L1819" s="638">
        <v>1</v>
      </c>
      <c r="M1819" s="638">
        <v>8500</v>
      </c>
      <c r="N1819" s="752"/>
      <c r="O1819" s="638"/>
      <c r="P1819" s="638"/>
      <c r="Q1819" s="214"/>
    </row>
    <row r="1820" spans="1:17" ht="12" customHeight="1" x14ac:dyDescent="0.2">
      <c r="A1820" s="735" t="s">
        <v>6676</v>
      </c>
      <c r="B1820" s="735" t="s">
        <v>2170</v>
      </c>
      <c r="C1820" s="638" t="s">
        <v>451</v>
      </c>
      <c r="D1820" s="644" t="s">
        <v>7120</v>
      </c>
      <c r="E1820" s="751">
        <v>12000</v>
      </c>
      <c r="F1820" s="638" t="s">
        <v>7158</v>
      </c>
      <c r="G1820" s="644" t="s">
        <v>7159</v>
      </c>
      <c r="H1820" s="636" t="s">
        <v>6699</v>
      </c>
      <c r="I1820" s="636" t="s">
        <v>2180</v>
      </c>
      <c r="J1820" s="644" t="s">
        <v>6686</v>
      </c>
      <c r="K1820" s="739"/>
      <c r="L1820" s="638">
        <v>7</v>
      </c>
      <c r="M1820" s="638">
        <v>84000</v>
      </c>
      <c r="N1820" s="752"/>
      <c r="O1820" s="638"/>
      <c r="P1820" s="638"/>
      <c r="Q1820" s="214"/>
    </row>
    <row r="1821" spans="1:17" ht="12" customHeight="1" x14ac:dyDescent="0.2">
      <c r="A1821" s="735" t="s">
        <v>6676</v>
      </c>
      <c r="B1821" s="735" t="s">
        <v>2170</v>
      </c>
      <c r="C1821" s="638" t="s">
        <v>451</v>
      </c>
      <c r="D1821" s="644" t="s">
        <v>6797</v>
      </c>
      <c r="E1821" s="751">
        <v>9000</v>
      </c>
      <c r="F1821" s="638" t="s">
        <v>7160</v>
      </c>
      <c r="G1821" s="636" t="s">
        <v>7161</v>
      </c>
      <c r="H1821" s="636" t="s">
        <v>6684</v>
      </c>
      <c r="I1821" s="636" t="s">
        <v>6685</v>
      </c>
      <c r="J1821" s="644" t="s">
        <v>6686</v>
      </c>
      <c r="K1821" s="739"/>
      <c r="L1821" s="638">
        <v>11</v>
      </c>
      <c r="M1821" s="638">
        <v>99000</v>
      </c>
      <c r="N1821" s="752"/>
      <c r="O1821" s="638"/>
      <c r="P1821" s="638"/>
      <c r="Q1821" s="214"/>
    </row>
    <row r="1822" spans="1:17" ht="12" customHeight="1" x14ac:dyDescent="0.2">
      <c r="A1822" s="735" t="s">
        <v>6676</v>
      </c>
      <c r="B1822" s="735" t="s">
        <v>2170</v>
      </c>
      <c r="C1822" s="638" t="s">
        <v>451</v>
      </c>
      <c r="D1822" s="644" t="s">
        <v>2258</v>
      </c>
      <c r="E1822" s="751">
        <v>5000</v>
      </c>
      <c r="F1822" s="638" t="s">
        <v>7162</v>
      </c>
      <c r="G1822" s="644" t="s">
        <v>7163</v>
      </c>
      <c r="H1822" s="636" t="s">
        <v>6625</v>
      </c>
      <c r="I1822" s="636" t="s">
        <v>6685</v>
      </c>
      <c r="J1822" s="644" t="s">
        <v>6686</v>
      </c>
      <c r="K1822" s="739"/>
      <c r="L1822" s="638"/>
      <c r="M1822" s="638"/>
      <c r="N1822" s="752"/>
      <c r="O1822" s="638">
        <v>6</v>
      </c>
      <c r="P1822" s="638">
        <v>30000</v>
      </c>
      <c r="Q1822" s="214"/>
    </row>
    <row r="1823" spans="1:17" ht="12" customHeight="1" x14ac:dyDescent="0.2">
      <c r="A1823" s="735" t="s">
        <v>6676</v>
      </c>
      <c r="B1823" s="735" t="s">
        <v>2170</v>
      </c>
      <c r="C1823" s="638" t="s">
        <v>451</v>
      </c>
      <c r="D1823" s="644" t="s">
        <v>7164</v>
      </c>
      <c r="E1823" s="751">
        <v>12000</v>
      </c>
      <c r="F1823" s="638" t="s">
        <v>7165</v>
      </c>
      <c r="G1823" s="636" t="s">
        <v>7166</v>
      </c>
      <c r="H1823" s="636" t="s">
        <v>6765</v>
      </c>
      <c r="I1823" s="636" t="s">
        <v>6685</v>
      </c>
      <c r="J1823" s="644" t="s">
        <v>6686</v>
      </c>
      <c r="K1823" s="739"/>
      <c r="L1823" s="638">
        <v>5</v>
      </c>
      <c r="M1823" s="638">
        <v>60000</v>
      </c>
      <c r="N1823" s="752"/>
      <c r="O1823" s="638"/>
      <c r="P1823" s="638"/>
      <c r="Q1823" s="214"/>
    </row>
    <row r="1824" spans="1:17" ht="12" customHeight="1" x14ac:dyDescent="0.2">
      <c r="A1824" s="735" t="s">
        <v>6676</v>
      </c>
      <c r="B1824" s="735" t="s">
        <v>2170</v>
      </c>
      <c r="C1824" s="638" t="s">
        <v>451</v>
      </c>
      <c r="D1824" s="644" t="s">
        <v>7016</v>
      </c>
      <c r="E1824" s="751">
        <v>10000</v>
      </c>
      <c r="F1824" s="638" t="s">
        <v>7165</v>
      </c>
      <c r="G1824" s="644" t="s">
        <v>7166</v>
      </c>
      <c r="H1824" s="636" t="s">
        <v>6765</v>
      </c>
      <c r="I1824" s="636" t="s">
        <v>6685</v>
      </c>
      <c r="J1824" s="644" t="s">
        <v>6686</v>
      </c>
      <c r="K1824" s="739"/>
      <c r="L1824" s="638">
        <v>1</v>
      </c>
      <c r="M1824" s="638">
        <v>10000</v>
      </c>
      <c r="N1824" s="752"/>
      <c r="O1824" s="638"/>
      <c r="P1824" s="638"/>
      <c r="Q1824" s="214"/>
    </row>
    <row r="1825" spans="1:17" ht="12" customHeight="1" x14ac:dyDescent="0.2">
      <c r="A1825" s="735" t="s">
        <v>6676</v>
      </c>
      <c r="B1825" s="735" t="s">
        <v>2170</v>
      </c>
      <c r="C1825" s="638" t="s">
        <v>451</v>
      </c>
      <c r="D1825" s="644" t="s">
        <v>7164</v>
      </c>
      <c r="E1825" s="751">
        <v>12000</v>
      </c>
      <c r="F1825" s="638" t="s">
        <v>7165</v>
      </c>
      <c r="G1825" s="644" t="s">
        <v>7166</v>
      </c>
      <c r="H1825" s="636" t="s">
        <v>6765</v>
      </c>
      <c r="I1825" s="636" t="s">
        <v>6685</v>
      </c>
      <c r="J1825" s="644" t="s">
        <v>6686</v>
      </c>
      <c r="K1825" s="739"/>
      <c r="L1825" s="638">
        <v>6</v>
      </c>
      <c r="M1825" s="638">
        <v>72000</v>
      </c>
      <c r="N1825" s="752"/>
      <c r="O1825" s="638">
        <v>6</v>
      </c>
      <c r="P1825" s="638">
        <v>72000</v>
      </c>
      <c r="Q1825" s="214"/>
    </row>
    <row r="1826" spans="1:17" ht="12" customHeight="1" x14ac:dyDescent="0.2">
      <c r="A1826" s="735" t="s">
        <v>6676</v>
      </c>
      <c r="B1826" s="735" t="s">
        <v>2170</v>
      </c>
      <c r="C1826" s="638" t="s">
        <v>451</v>
      </c>
      <c r="D1826" s="644" t="s">
        <v>6883</v>
      </c>
      <c r="E1826" s="751">
        <v>3000</v>
      </c>
      <c r="F1826" s="638" t="s">
        <v>7167</v>
      </c>
      <c r="G1826" s="636" t="s">
        <v>7168</v>
      </c>
      <c r="H1826" s="636" t="s">
        <v>6907</v>
      </c>
      <c r="I1826" s="636" t="s">
        <v>2253</v>
      </c>
      <c r="J1826" s="644" t="s">
        <v>2253</v>
      </c>
      <c r="K1826" s="739"/>
      <c r="L1826" s="638">
        <v>12</v>
      </c>
      <c r="M1826" s="638">
        <v>36000</v>
      </c>
      <c r="N1826" s="752"/>
      <c r="O1826" s="638">
        <v>6</v>
      </c>
      <c r="P1826" s="638">
        <v>18000</v>
      </c>
      <c r="Q1826" s="214"/>
    </row>
    <row r="1827" spans="1:17" ht="12" customHeight="1" x14ac:dyDescent="0.2">
      <c r="A1827" s="735" t="s">
        <v>6676</v>
      </c>
      <c r="B1827" s="735" t="s">
        <v>2170</v>
      </c>
      <c r="C1827" s="638" t="s">
        <v>451</v>
      </c>
      <c r="D1827" s="644" t="s">
        <v>6735</v>
      </c>
      <c r="E1827" s="751">
        <v>3500</v>
      </c>
      <c r="F1827" s="638" t="s">
        <v>7169</v>
      </c>
      <c r="G1827" s="636" t="s">
        <v>7170</v>
      </c>
      <c r="H1827" s="636" t="s">
        <v>6684</v>
      </c>
      <c r="I1827" s="636" t="s">
        <v>6685</v>
      </c>
      <c r="J1827" s="644" t="s">
        <v>6686</v>
      </c>
      <c r="K1827" s="739"/>
      <c r="L1827" s="638">
        <v>12</v>
      </c>
      <c r="M1827" s="638">
        <v>42000</v>
      </c>
      <c r="N1827" s="752"/>
      <c r="O1827" s="638">
        <v>6</v>
      </c>
      <c r="P1827" s="638">
        <v>21000</v>
      </c>
      <c r="Q1827" s="214"/>
    </row>
    <row r="1828" spans="1:17" ht="12" customHeight="1" x14ac:dyDescent="0.2">
      <c r="A1828" s="735" t="s">
        <v>6676</v>
      </c>
      <c r="B1828" s="735" t="s">
        <v>2170</v>
      </c>
      <c r="C1828" s="638" t="s">
        <v>451</v>
      </c>
      <c r="D1828" s="644" t="s">
        <v>6690</v>
      </c>
      <c r="E1828" s="751">
        <v>8500</v>
      </c>
      <c r="F1828" s="638" t="s">
        <v>7171</v>
      </c>
      <c r="G1828" s="636" t="s">
        <v>7172</v>
      </c>
      <c r="H1828" s="636" t="s">
        <v>7173</v>
      </c>
      <c r="I1828" s="636" t="s">
        <v>6685</v>
      </c>
      <c r="J1828" s="644" t="s">
        <v>6686</v>
      </c>
      <c r="K1828" s="739"/>
      <c r="L1828" s="638">
        <v>12</v>
      </c>
      <c r="M1828" s="638">
        <v>102000</v>
      </c>
      <c r="N1828" s="752"/>
      <c r="O1828" s="638">
        <v>6</v>
      </c>
      <c r="P1828" s="638">
        <v>51000</v>
      </c>
      <c r="Q1828" s="214"/>
    </row>
    <row r="1829" spans="1:17" ht="12" customHeight="1" x14ac:dyDescent="0.2">
      <c r="A1829" s="735" t="s">
        <v>6676</v>
      </c>
      <c r="B1829" s="735" t="s">
        <v>2170</v>
      </c>
      <c r="C1829" s="638" t="s">
        <v>451</v>
      </c>
      <c r="D1829" s="644" t="s">
        <v>7174</v>
      </c>
      <c r="E1829" s="751">
        <v>7000</v>
      </c>
      <c r="F1829" s="638" t="s">
        <v>7175</v>
      </c>
      <c r="G1829" s="636" t="s">
        <v>7176</v>
      </c>
      <c r="H1829" s="636" t="s">
        <v>6684</v>
      </c>
      <c r="I1829" s="636" t="s">
        <v>6685</v>
      </c>
      <c r="J1829" s="644" t="s">
        <v>6686</v>
      </c>
      <c r="K1829" s="739"/>
      <c r="L1829" s="638">
        <v>12</v>
      </c>
      <c r="M1829" s="638">
        <v>84000</v>
      </c>
      <c r="N1829" s="752"/>
      <c r="O1829" s="638">
        <v>6</v>
      </c>
      <c r="P1829" s="638">
        <v>42000</v>
      </c>
      <c r="Q1829" s="214"/>
    </row>
    <row r="1830" spans="1:17" ht="12" customHeight="1" x14ac:dyDescent="0.2">
      <c r="A1830" s="735" t="s">
        <v>6676</v>
      </c>
      <c r="B1830" s="735" t="s">
        <v>2170</v>
      </c>
      <c r="C1830" s="638" t="s">
        <v>451</v>
      </c>
      <c r="D1830" s="644" t="s">
        <v>5880</v>
      </c>
      <c r="E1830" s="751">
        <v>8500</v>
      </c>
      <c r="F1830" s="638" t="s">
        <v>7177</v>
      </c>
      <c r="G1830" s="636" t="s">
        <v>7178</v>
      </c>
      <c r="H1830" s="636" t="s">
        <v>6707</v>
      </c>
      <c r="I1830" s="636" t="s">
        <v>6685</v>
      </c>
      <c r="J1830" s="644" t="s">
        <v>6686</v>
      </c>
      <c r="K1830" s="739"/>
      <c r="L1830" s="638">
        <v>12</v>
      </c>
      <c r="M1830" s="638">
        <v>102000</v>
      </c>
      <c r="N1830" s="752"/>
      <c r="O1830" s="638">
        <v>6</v>
      </c>
      <c r="P1830" s="638">
        <v>51000</v>
      </c>
      <c r="Q1830" s="214"/>
    </row>
    <row r="1831" spans="1:17" ht="12" customHeight="1" x14ac:dyDescent="0.2">
      <c r="A1831" s="735" t="s">
        <v>6676</v>
      </c>
      <c r="B1831" s="735" t="s">
        <v>2170</v>
      </c>
      <c r="C1831" s="638" t="s">
        <v>451</v>
      </c>
      <c r="D1831" s="644" t="s">
        <v>6883</v>
      </c>
      <c r="E1831" s="751">
        <v>2500</v>
      </c>
      <c r="F1831" s="638" t="s">
        <v>7179</v>
      </c>
      <c r="G1831" s="636" t="s">
        <v>7180</v>
      </c>
      <c r="H1831" s="636" t="s">
        <v>6907</v>
      </c>
      <c r="I1831" s="636" t="s">
        <v>2253</v>
      </c>
      <c r="J1831" s="644" t="s">
        <v>2253</v>
      </c>
      <c r="K1831" s="739"/>
      <c r="L1831" s="638">
        <v>12</v>
      </c>
      <c r="M1831" s="638">
        <v>30000</v>
      </c>
      <c r="N1831" s="752"/>
      <c r="O1831" s="638">
        <v>6</v>
      </c>
      <c r="P1831" s="638">
        <v>15000</v>
      </c>
      <c r="Q1831" s="214"/>
    </row>
    <row r="1832" spans="1:17" ht="12" customHeight="1" x14ac:dyDescent="0.2">
      <c r="A1832" s="735" t="s">
        <v>6676</v>
      </c>
      <c r="B1832" s="735" t="s">
        <v>2170</v>
      </c>
      <c r="C1832" s="638" t="s">
        <v>451</v>
      </c>
      <c r="D1832" s="644" t="s">
        <v>6889</v>
      </c>
      <c r="E1832" s="751">
        <v>10000</v>
      </c>
      <c r="F1832" s="638" t="s">
        <v>7181</v>
      </c>
      <c r="G1832" s="636" t="s">
        <v>7182</v>
      </c>
      <c r="H1832" s="636" t="s">
        <v>2317</v>
      </c>
      <c r="I1832" s="636" t="s">
        <v>6685</v>
      </c>
      <c r="J1832" s="644" t="s">
        <v>6686</v>
      </c>
      <c r="K1832" s="739"/>
      <c r="L1832" s="638">
        <v>12</v>
      </c>
      <c r="M1832" s="638">
        <v>120000</v>
      </c>
      <c r="N1832" s="752"/>
      <c r="O1832" s="638">
        <v>6</v>
      </c>
      <c r="P1832" s="638">
        <v>60000</v>
      </c>
      <c r="Q1832" s="214"/>
    </row>
    <row r="1833" spans="1:17" ht="12" customHeight="1" x14ac:dyDescent="0.2">
      <c r="A1833" s="735" t="s">
        <v>6676</v>
      </c>
      <c r="B1833" s="735" t="s">
        <v>2170</v>
      </c>
      <c r="C1833" s="638" t="s">
        <v>451</v>
      </c>
      <c r="D1833" s="644" t="s">
        <v>6693</v>
      </c>
      <c r="E1833" s="751">
        <v>5000</v>
      </c>
      <c r="F1833" s="638" t="s">
        <v>7183</v>
      </c>
      <c r="G1833" s="636" t="s">
        <v>7184</v>
      </c>
      <c r="H1833" s="636" t="s">
        <v>6580</v>
      </c>
      <c r="I1833" s="636" t="s">
        <v>6685</v>
      </c>
      <c r="J1833" s="644" t="s">
        <v>6686</v>
      </c>
      <c r="K1833" s="739"/>
      <c r="L1833" s="638">
        <v>12</v>
      </c>
      <c r="M1833" s="638">
        <v>60000</v>
      </c>
      <c r="N1833" s="752"/>
      <c r="O1833" s="638">
        <v>6</v>
      </c>
      <c r="P1833" s="638">
        <v>30000</v>
      </c>
      <c r="Q1833" s="214"/>
    </row>
    <row r="1834" spans="1:17" ht="12" customHeight="1" x14ac:dyDescent="0.2">
      <c r="A1834" s="735" t="s">
        <v>6676</v>
      </c>
      <c r="B1834" s="735" t="s">
        <v>2170</v>
      </c>
      <c r="C1834" s="638" t="s">
        <v>451</v>
      </c>
      <c r="D1834" s="644" t="s">
        <v>7185</v>
      </c>
      <c r="E1834" s="751">
        <v>10000</v>
      </c>
      <c r="F1834" s="638" t="s">
        <v>7186</v>
      </c>
      <c r="G1834" s="636" t="s">
        <v>7187</v>
      </c>
      <c r="H1834" s="636" t="s">
        <v>7188</v>
      </c>
      <c r="I1834" s="636" t="s">
        <v>6685</v>
      </c>
      <c r="J1834" s="644" t="s">
        <v>6686</v>
      </c>
      <c r="K1834" s="739"/>
      <c r="L1834" s="638">
        <v>10</v>
      </c>
      <c r="M1834" s="638">
        <v>100000</v>
      </c>
      <c r="N1834" s="752"/>
      <c r="O1834" s="638"/>
      <c r="P1834" s="638"/>
      <c r="Q1834" s="214"/>
    </row>
    <row r="1835" spans="1:17" ht="12" customHeight="1" x14ac:dyDescent="0.2">
      <c r="A1835" s="735" t="s">
        <v>6676</v>
      </c>
      <c r="B1835" s="735" t="s">
        <v>2170</v>
      </c>
      <c r="C1835" s="638" t="s">
        <v>451</v>
      </c>
      <c r="D1835" s="644" t="s">
        <v>7112</v>
      </c>
      <c r="E1835" s="751">
        <v>12000</v>
      </c>
      <c r="F1835" s="638" t="s">
        <v>7186</v>
      </c>
      <c r="G1835" s="644" t="s">
        <v>7187</v>
      </c>
      <c r="H1835" s="636" t="s">
        <v>7188</v>
      </c>
      <c r="I1835" s="636" t="s">
        <v>6685</v>
      </c>
      <c r="J1835" s="644" t="s">
        <v>6686</v>
      </c>
      <c r="K1835" s="739"/>
      <c r="L1835" s="638">
        <v>2</v>
      </c>
      <c r="M1835" s="638">
        <v>20000</v>
      </c>
      <c r="N1835" s="752"/>
      <c r="O1835" s="638">
        <v>6</v>
      </c>
      <c r="P1835" s="638">
        <v>72000</v>
      </c>
      <c r="Q1835" s="214"/>
    </row>
    <row r="1836" spans="1:17" ht="12" customHeight="1" x14ac:dyDescent="0.2">
      <c r="A1836" s="735" t="s">
        <v>6676</v>
      </c>
      <c r="B1836" s="735" t="s">
        <v>2170</v>
      </c>
      <c r="C1836" s="638" t="s">
        <v>451</v>
      </c>
      <c r="D1836" s="644" t="s">
        <v>7189</v>
      </c>
      <c r="E1836" s="751">
        <v>12000</v>
      </c>
      <c r="F1836" s="638" t="s">
        <v>7190</v>
      </c>
      <c r="G1836" s="636" t="s">
        <v>7191</v>
      </c>
      <c r="H1836" s="636" t="s">
        <v>7192</v>
      </c>
      <c r="I1836" s="636" t="s">
        <v>6685</v>
      </c>
      <c r="J1836" s="644" t="s">
        <v>6686</v>
      </c>
      <c r="K1836" s="739"/>
      <c r="L1836" s="638">
        <v>12</v>
      </c>
      <c r="M1836" s="638">
        <v>144000</v>
      </c>
      <c r="N1836" s="752"/>
      <c r="O1836" s="638">
        <v>6</v>
      </c>
      <c r="P1836" s="638">
        <v>72000</v>
      </c>
      <c r="Q1836" s="214"/>
    </row>
    <row r="1837" spans="1:17" ht="12" customHeight="1" x14ac:dyDescent="0.2">
      <c r="A1837" s="735" t="s">
        <v>6676</v>
      </c>
      <c r="B1837" s="735" t="s">
        <v>2170</v>
      </c>
      <c r="C1837" s="638" t="s">
        <v>451</v>
      </c>
      <c r="D1837" s="644" t="s">
        <v>2258</v>
      </c>
      <c r="E1837" s="751">
        <v>5000</v>
      </c>
      <c r="F1837" s="638" t="s">
        <v>7193</v>
      </c>
      <c r="G1837" s="644" t="s">
        <v>7194</v>
      </c>
      <c r="H1837" s="636" t="s">
        <v>6536</v>
      </c>
      <c r="I1837" s="636" t="s">
        <v>6548</v>
      </c>
      <c r="J1837" s="644" t="s">
        <v>6686</v>
      </c>
      <c r="K1837" s="739"/>
      <c r="L1837" s="638"/>
      <c r="M1837" s="638"/>
      <c r="N1837" s="752"/>
      <c r="O1837" s="638">
        <v>6</v>
      </c>
      <c r="P1837" s="638">
        <v>30000</v>
      </c>
      <c r="Q1837" s="214"/>
    </row>
    <row r="1838" spans="1:17" ht="12" customHeight="1" x14ac:dyDescent="0.2">
      <c r="A1838" s="735" t="s">
        <v>6676</v>
      </c>
      <c r="B1838" s="735" t="s">
        <v>2170</v>
      </c>
      <c r="C1838" s="638" t="s">
        <v>451</v>
      </c>
      <c r="D1838" s="644" t="s">
        <v>7195</v>
      </c>
      <c r="E1838" s="751">
        <v>3000</v>
      </c>
      <c r="F1838" s="638" t="s">
        <v>7196</v>
      </c>
      <c r="G1838" s="636" t="s">
        <v>7197</v>
      </c>
      <c r="H1838" s="636" t="s">
        <v>6907</v>
      </c>
      <c r="I1838" s="636" t="s">
        <v>2253</v>
      </c>
      <c r="J1838" s="644" t="s">
        <v>2253</v>
      </c>
      <c r="K1838" s="739"/>
      <c r="L1838" s="638">
        <v>12</v>
      </c>
      <c r="M1838" s="638">
        <v>36000</v>
      </c>
      <c r="N1838" s="752"/>
      <c r="O1838" s="638">
        <v>6</v>
      </c>
      <c r="P1838" s="638">
        <v>18000</v>
      </c>
      <c r="Q1838" s="214"/>
    </row>
    <row r="1839" spans="1:17" ht="12" customHeight="1" x14ac:dyDescent="0.2">
      <c r="A1839" s="735" t="s">
        <v>6676</v>
      </c>
      <c r="B1839" s="735" t="s">
        <v>2170</v>
      </c>
      <c r="C1839" s="638" t="s">
        <v>451</v>
      </c>
      <c r="D1839" s="644" t="s">
        <v>5503</v>
      </c>
      <c r="E1839" s="751">
        <v>9000</v>
      </c>
      <c r="F1839" s="638" t="s">
        <v>7198</v>
      </c>
      <c r="G1839" s="636" t="s">
        <v>7199</v>
      </c>
      <c r="H1839" s="636" t="s">
        <v>6699</v>
      </c>
      <c r="I1839" s="636" t="s">
        <v>6685</v>
      </c>
      <c r="J1839" s="644" t="s">
        <v>6686</v>
      </c>
      <c r="K1839" s="739"/>
      <c r="L1839" s="638">
        <v>12</v>
      </c>
      <c r="M1839" s="638">
        <v>108000</v>
      </c>
      <c r="N1839" s="752"/>
      <c r="O1839" s="638">
        <v>6</v>
      </c>
      <c r="P1839" s="638">
        <v>54000</v>
      </c>
      <c r="Q1839" s="214"/>
    </row>
    <row r="1840" spans="1:17" ht="12" customHeight="1" x14ac:dyDescent="0.2">
      <c r="A1840" s="735" t="s">
        <v>6676</v>
      </c>
      <c r="B1840" s="735" t="s">
        <v>2170</v>
      </c>
      <c r="C1840" s="638" t="s">
        <v>451</v>
      </c>
      <c r="D1840" s="644" t="s">
        <v>3444</v>
      </c>
      <c r="E1840" s="751">
        <v>3500</v>
      </c>
      <c r="F1840" s="638" t="s">
        <v>7200</v>
      </c>
      <c r="G1840" s="644" t="s">
        <v>7201</v>
      </c>
      <c r="H1840" s="636" t="s">
        <v>6536</v>
      </c>
      <c r="I1840" s="636" t="s">
        <v>6548</v>
      </c>
      <c r="J1840" s="644" t="s">
        <v>6686</v>
      </c>
      <c r="K1840" s="739"/>
      <c r="L1840" s="638"/>
      <c r="M1840" s="638"/>
      <c r="N1840" s="752"/>
      <c r="O1840" s="638">
        <v>6</v>
      </c>
      <c r="P1840" s="638">
        <v>21000</v>
      </c>
      <c r="Q1840" s="214"/>
    </row>
    <row r="1841" spans="1:17" ht="12" customHeight="1" x14ac:dyDescent="0.2">
      <c r="A1841" s="735" t="s">
        <v>6676</v>
      </c>
      <c r="B1841" s="735" t="s">
        <v>2170</v>
      </c>
      <c r="C1841" s="638" t="s">
        <v>451</v>
      </c>
      <c r="D1841" s="644" t="s">
        <v>6757</v>
      </c>
      <c r="E1841" s="751">
        <v>8500</v>
      </c>
      <c r="F1841" s="638" t="s">
        <v>7202</v>
      </c>
      <c r="G1841" s="644" t="s">
        <v>7203</v>
      </c>
      <c r="H1841" s="636" t="s">
        <v>6536</v>
      </c>
      <c r="I1841" s="636" t="s">
        <v>6548</v>
      </c>
      <c r="J1841" s="644" t="s">
        <v>6686</v>
      </c>
      <c r="K1841" s="739"/>
      <c r="L1841" s="638"/>
      <c r="M1841" s="638"/>
      <c r="N1841" s="752"/>
      <c r="O1841" s="638">
        <v>6</v>
      </c>
      <c r="P1841" s="638">
        <v>51000</v>
      </c>
      <c r="Q1841" s="214"/>
    </row>
    <row r="1842" spans="1:17" ht="12" customHeight="1" x14ac:dyDescent="0.2">
      <c r="A1842" s="735" t="s">
        <v>6676</v>
      </c>
      <c r="B1842" s="735" t="s">
        <v>2170</v>
      </c>
      <c r="C1842" s="638" t="s">
        <v>451</v>
      </c>
      <c r="D1842" s="644" t="s">
        <v>6734</v>
      </c>
      <c r="E1842" s="751">
        <v>10000</v>
      </c>
      <c r="F1842" s="638" t="s">
        <v>7204</v>
      </c>
      <c r="G1842" s="636" t="s">
        <v>7205</v>
      </c>
      <c r="H1842" s="636" t="s">
        <v>6684</v>
      </c>
      <c r="I1842" s="636" t="s">
        <v>6685</v>
      </c>
      <c r="J1842" s="644" t="s">
        <v>6686</v>
      </c>
      <c r="K1842" s="739"/>
      <c r="L1842" s="638">
        <v>1</v>
      </c>
      <c r="M1842" s="638">
        <v>10000</v>
      </c>
      <c r="N1842" s="752"/>
      <c r="O1842" s="638"/>
      <c r="P1842" s="638"/>
      <c r="Q1842" s="214"/>
    </row>
    <row r="1843" spans="1:17" ht="12" customHeight="1" x14ac:dyDescent="0.2">
      <c r="A1843" s="735" t="s">
        <v>6676</v>
      </c>
      <c r="B1843" s="735" t="s">
        <v>2170</v>
      </c>
      <c r="C1843" s="638" t="s">
        <v>451</v>
      </c>
      <c r="D1843" s="644" t="s">
        <v>5743</v>
      </c>
      <c r="E1843" s="751">
        <v>9000</v>
      </c>
      <c r="F1843" s="638" t="s">
        <v>7206</v>
      </c>
      <c r="G1843" s="644" t="s">
        <v>7207</v>
      </c>
      <c r="H1843" s="636" t="s">
        <v>6536</v>
      </c>
      <c r="I1843" s="636" t="s">
        <v>6548</v>
      </c>
      <c r="J1843" s="644" t="s">
        <v>6686</v>
      </c>
      <c r="K1843" s="739"/>
      <c r="L1843" s="638"/>
      <c r="M1843" s="638"/>
      <c r="N1843" s="752"/>
      <c r="O1843" s="638">
        <v>6</v>
      </c>
      <c r="P1843" s="638">
        <v>54000</v>
      </c>
      <c r="Q1843" s="214"/>
    </row>
    <row r="1844" spans="1:17" ht="12" customHeight="1" x14ac:dyDescent="0.2">
      <c r="A1844" s="735" t="s">
        <v>6676</v>
      </c>
      <c r="B1844" s="735" t="s">
        <v>2170</v>
      </c>
      <c r="C1844" s="638" t="s">
        <v>451</v>
      </c>
      <c r="D1844" s="644" t="s">
        <v>7153</v>
      </c>
      <c r="E1844" s="751">
        <v>9000</v>
      </c>
      <c r="F1844" s="638" t="s">
        <v>7208</v>
      </c>
      <c r="G1844" s="636" t="s">
        <v>7209</v>
      </c>
      <c r="H1844" s="636" t="s">
        <v>6684</v>
      </c>
      <c r="I1844" s="636" t="s">
        <v>6685</v>
      </c>
      <c r="J1844" s="644" t="s">
        <v>6686</v>
      </c>
      <c r="K1844" s="739"/>
      <c r="L1844" s="638">
        <v>12</v>
      </c>
      <c r="M1844" s="638">
        <v>108000</v>
      </c>
      <c r="N1844" s="752"/>
      <c r="O1844" s="638">
        <v>6</v>
      </c>
      <c r="P1844" s="638">
        <v>54000</v>
      </c>
      <c r="Q1844" s="214"/>
    </row>
    <row r="1845" spans="1:17" ht="12" customHeight="1" x14ac:dyDescent="0.2">
      <c r="A1845" s="735" t="s">
        <v>6676</v>
      </c>
      <c r="B1845" s="735" t="s">
        <v>2170</v>
      </c>
      <c r="C1845" s="638" t="s">
        <v>451</v>
      </c>
      <c r="D1845" s="644" t="s">
        <v>6883</v>
      </c>
      <c r="E1845" s="751">
        <v>3000</v>
      </c>
      <c r="F1845" s="638" t="s">
        <v>7210</v>
      </c>
      <c r="G1845" s="644" t="s">
        <v>7211</v>
      </c>
      <c r="H1845" s="636" t="s">
        <v>2253</v>
      </c>
      <c r="I1845" s="636" t="s">
        <v>2253</v>
      </c>
      <c r="J1845" s="644" t="s">
        <v>2253</v>
      </c>
      <c r="K1845" s="739"/>
      <c r="L1845" s="638"/>
      <c r="M1845" s="638"/>
      <c r="N1845" s="752"/>
      <c r="O1845" s="638">
        <v>6</v>
      </c>
      <c r="P1845" s="638">
        <v>18000</v>
      </c>
      <c r="Q1845" s="214"/>
    </row>
    <row r="1846" spans="1:17" ht="12" customHeight="1" x14ac:dyDescent="0.2">
      <c r="A1846" s="735" t="s">
        <v>6676</v>
      </c>
      <c r="B1846" s="735" t="s">
        <v>2170</v>
      </c>
      <c r="C1846" s="638" t="s">
        <v>451</v>
      </c>
      <c r="D1846" s="644" t="s">
        <v>6700</v>
      </c>
      <c r="E1846" s="751">
        <v>3500</v>
      </c>
      <c r="F1846" s="638" t="s">
        <v>7212</v>
      </c>
      <c r="G1846" s="644" t="s">
        <v>7213</v>
      </c>
      <c r="H1846" s="636" t="s">
        <v>6699</v>
      </c>
      <c r="I1846" s="636" t="s">
        <v>6685</v>
      </c>
      <c r="J1846" s="644" t="s">
        <v>6686</v>
      </c>
      <c r="K1846" s="739"/>
      <c r="L1846" s="638"/>
      <c r="M1846" s="638"/>
      <c r="N1846" s="752"/>
      <c r="O1846" s="638">
        <v>6</v>
      </c>
      <c r="P1846" s="638">
        <v>21000</v>
      </c>
      <c r="Q1846" s="214"/>
    </row>
    <row r="1847" spans="1:17" ht="12" customHeight="1" x14ac:dyDescent="0.2">
      <c r="A1847" s="735" t="s">
        <v>6676</v>
      </c>
      <c r="B1847" s="735" t="s">
        <v>2170</v>
      </c>
      <c r="C1847" s="638" t="s">
        <v>451</v>
      </c>
      <c r="D1847" s="644" t="s">
        <v>7214</v>
      </c>
      <c r="E1847" s="751">
        <v>3600</v>
      </c>
      <c r="F1847" s="638" t="s">
        <v>7215</v>
      </c>
      <c r="G1847" s="636" t="s">
        <v>7216</v>
      </c>
      <c r="H1847" s="636" t="s">
        <v>6896</v>
      </c>
      <c r="I1847" s="636" t="s">
        <v>6685</v>
      </c>
      <c r="J1847" s="644" t="s">
        <v>6686</v>
      </c>
      <c r="K1847" s="739"/>
      <c r="L1847" s="638">
        <v>1</v>
      </c>
      <c r="M1847" s="638">
        <v>3600</v>
      </c>
      <c r="N1847" s="752"/>
      <c r="O1847" s="638"/>
      <c r="P1847" s="638"/>
      <c r="Q1847" s="214"/>
    </row>
    <row r="1848" spans="1:17" ht="12" customHeight="1" x14ac:dyDescent="0.2">
      <c r="A1848" s="735" t="s">
        <v>6676</v>
      </c>
      <c r="B1848" s="735" t="s">
        <v>2170</v>
      </c>
      <c r="C1848" s="638" t="s">
        <v>451</v>
      </c>
      <c r="D1848" s="644" t="s">
        <v>6693</v>
      </c>
      <c r="E1848" s="751">
        <v>5000</v>
      </c>
      <c r="F1848" s="638" t="s">
        <v>7217</v>
      </c>
      <c r="G1848" s="636" t="s">
        <v>7218</v>
      </c>
      <c r="H1848" s="636" t="s">
        <v>7021</v>
      </c>
      <c r="I1848" s="636" t="s">
        <v>6685</v>
      </c>
      <c r="J1848" s="644" t="s">
        <v>6686</v>
      </c>
      <c r="K1848" s="739"/>
      <c r="L1848" s="638">
        <v>12</v>
      </c>
      <c r="M1848" s="638">
        <v>60000</v>
      </c>
      <c r="N1848" s="752"/>
      <c r="O1848" s="638">
        <v>6</v>
      </c>
      <c r="P1848" s="638">
        <v>30000</v>
      </c>
      <c r="Q1848" s="214"/>
    </row>
    <row r="1849" spans="1:17" ht="12" customHeight="1" x14ac:dyDescent="0.2">
      <c r="A1849" s="735" t="s">
        <v>6676</v>
      </c>
      <c r="B1849" s="735" t="s">
        <v>2170</v>
      </c>
      <c r="C1849" s="638" t="s">
        <v>451</v>
      </c>
      <c r="D1849" s="644" t="s">
        <v>7219</v>
      </c>
      <c r="E1849" s="751">
        <v>7000</v>
      </c>
      <c r="F1849" s="638" t="s">
        <v>7220</v>
      </c>
      <c r="G1849" s="636" t="s">
        <v>7221</v>
      </c>
      <c r="H1849" s="636" t="s">
        <v>6834</v>
      </c>
      <c r="I1849" s="636" t="s">
        <v>6685</v>
      </c>
      <c r="J1849" s="644" t="s">
        <v>6686</v>
      </c>
      <c r="K1849" s="739"/>
      <c r="L1849" s="638">
        <v>12</v>
      </c>
      <c r="M1849" s="638">
        <v>84000</v>
      </c>
      <c r="N1849" s="752"/>
      <c r="O1849" s="638">
        <v>6</v>
      </c>
      <c r="P1849" s="638">
        <v>42000</v>
      </c>
      <c r="Q1849" s="214"/>
    </row>
    <row r="1850" spans="1:17" ht="12" customHeight="1" x14ac:dyDescent="0.2">
      <c r="A1850" s="735" t="s">
        <v>6676</v>
      </c>
      <c r="B1850" s="735" t="s">
        <v>2170</v>
      </c>
      <c r="C1850" s="638" t="s">
        <v>451</v>
      </c>
      <c r="D1850" s="644" t="s">
        <v>7222</v>
      </c>
      <c r="E1850" s="751">
        <v>8700</v>
      </c>
      <c r="F1850" s="638" t="s">
        <v>7223</v>
      </c>
      <c r="G1850" s="636" t="s">
        <v>7224</v>
      </c>
      <c r="H1850" s="636" t="s">
        <v>6834</v>
      </c>
      <c r="I1850" s="636" t="s">
        <v>2180</v>
      </c>
      <c r="J1850" s="644" t="s">
        <v>6686</v>
      </c>
      <c r="K1850" s="739"/>
      <c r="L1850" s="638">
        <v>3</v>
      </c>
      <c r="M1850" s="638">
        <v>26100</v>
      </c>
      <c r="N1850" s="752"/>
      <c r="O1850" s="638"/>
      <c r="P1850" s="638"/>
      <c r="Q1850" s="214"/>
    </row>
    <row r="1851" spans="1:17" ht="12" customHeight="1" x14ac:dyDescent="0.2">
      <c r="A1851" s="735" t="s">
        <v>6676</v>
      </c>
      <c r="B1851" s="735" t="s">
        <v>2170</v>
      </c>
      <c r="C1851" s="638" t="s">
        <v>451</v>
      </c>
      <c r="D1851" s="644" t="s">
        <v>6681</v>
      </c>
      <c r="E1851" s="751">
        <v>9000</v>
      </c>
      <c r="F1851" s="638" t="s">
        <v>7225</v>
      </c>
      <c r="G1851" s="636" t="s">
        <v>7226</v>
      </c>
      <c r="H1851" s="636" t="s">
        <v>6684</v>
      </c>
      <c r="I1851" s="636" t="s">
        <v>6685</v>
      </c>
      <c r="J1851" s="644" t="s">
        <v>6686</v>
      </c>
      <c r="K1851" s="739"/>
      <c r="L1851" s="638">
        <v>5</v>
      </c>
      <c r="M1851" s="638">
        <v>45000</v>
      </c>
      <c r="N1851" s="752"/>
      <c r="O1851" s="638"/>
      <c r="P1851" s="638"/>
      <c r="Q1851" s="214"/>
    </row>
    <row r="1852" spans="1:17" ht="12" customHeight="1" x14ac:dyDescent="0.2">
      <c r="A1852" s="735" t="s">
        <v>6676</v>
      </c>
      <c r="B1852" s="735" t="s">
        <v>2170</v>
      </c>
      <c r="C1852" s="638" t="s">
        <v>451</v>
      </c>
      <c r="D1852" s="644" t="s">
        <v>7227</v>
      </c>
      <c r="E1852" s="751">
        <v>10000</v>
      </c>
      <c r="F1852" s="638" t="s">
        <v>7225</v>
      </c>
      <c r="G1852" s="644" t="s">
        <v>7226</v>
      </c>
      <c r="H1852" s="636" t="s">
        <v>6684</v>
      </c>
      <c r="I1852" s="636" t="s">
        <v>6685</v>
      </c>
      <c r="J1852" s="644" t="s">
        <v>6686</v>
      </c>
      <c r="K1852" s="739"/>
      <c r="L1852" s="638">
        <v>7</v>
      </c>
      <c r="M1852" s="638">
        <v>70000</v>
      </c>
      <c r="N1852" s="752"/>
      <c r="O1852" s="638">
        <v>6</v>
      </c>
      <c r="P1852" s="638">
        <v>60000</v>
      </c>
      <c r="Q1852" s="214"/>
    </row>
    <row r="1853" spans="1:17" ht="12" customHeight="1" x14ac:dyDescent="0.2">
      <c r="A1853" s="735" t="s">
        <v>6676</v>
      </c>
      <c r="B1853" s="735" t="s">
        <v>2170</v>
      </c>
      <c r="C1853" s="638" t="s">
        <v>451</v>
      </c>
      <c r="D1853" s="644" t="s">
        <v>6797</v>
      </c>
      <c r="E1853" s="751">
        <v>9000</v>
      </c>
      <c r="F1853" s="638" t="s">
        <v>7228</v>
      </c>
      <c r="G1853" s="636" t="s">
        <v>7229</v>
      </c>
      <c r="H1853" s="636" t="s">
        <v>6684</v>
      </c>
      <c r="I1853" s="636" t="s">
        <v>6685</v>
      </c>
      <c r="J1853" s="644" t="s">
        <v>6686</v>
      </c>
      <c r="K1853" s="739"/>
      <c r="L1853" s="638">
        <v>1</v>
      </c>
      <c r="M1853" s="638">
        <v>9000</v>
      </c>
      <c r="N1853" s="752"/>
      <c r="O1853" s="638"/>
      <c r="P1853" s="638"/>
      <c r="Q1853" s="214"/>
    </row>
    <row r="1854" spans="1:17" ht="12" customHeight="1" x14ac:dyDescent="0.2">
      <c r="A1854" s="735" t="s">
        <v>6676</v>
      </c>
      <c r="B1854" s="735" t="s">
        <v>2170</v>
      </c>
      <c r="C1854" s="638" t="s">
        <v>451</v>
      </c>
      <c r="D1854" s="644" t="s">
        <v>7016</v>
      </c>
      <c r="E1854" s="751">
        <v>10000</v>
      </c>
      <c r="F1854" s="638" t="s">
        <v>7230</v>
      </c>
      <c r="G1854" s="636" t="s">
        <v>7231</v>
      </c>
      <c r="H1854" s="636" t="s">
        <v>6699</v>
      </c>
      <c r="I1854" s="636" t="s">
        <v>6685</v>
      </c>
      <c r="J1854" s="644" t="s">
        <v>6686</v>
      </c>
      <c r="K1854" s="739"/>
      <c r="L1854" s="638">
        <v>12</v>
      </c>
      <c r="M1854" s="638">
        <v>70000</v>
      </c>
      <c r="N1854" s="752"/>
      <c r="O1854" s="638"/>
      <c r="P1854" s="638"/>
      <c r="Q1854" s="214"/>
    </row>
    <row r="1855" spans="1:17" ht="12" customHeight="1" x14ac:dyDescent="0.2">
      <c r="A1855" s="735" t="s">
        <v>6676</v>
      </c>
      <c r="B1855" s="735" t="s">
        <v>2170</v>
      </c>
      <c r="C1855" s="638" t="s">
        <v>451</v>
      </c>
      <c r="D1855" s="644" t="s">
        <v>7232</v>
      </c>
      <c r="E1855" s="751">
        <v>12000</v>
      </c>
      <c r="F1855" s="638" t="s">
        <v>7233</v>
      </c>
      <c r="G1855" s="644" t="s">
        <v>7234</v>
      </c>
      <c r="H1855" s="636" t="s">
        <v>6707</v>
      </c>
      <c r="I1855" s="636" t="s">
        <v>6685</v>
      </c>
      <c r="J1855" s="644" t="s">
        <v>6686</v>
      </c>
      <c r="K1855" s="739"/>
      <c r="L1855" s="638"/>
      <c r="M1855" s="638"/>
      <c r="N1855" s="752"/>
      <c r="O1855" s="638">
        <v>6</v>
      </c>
      <c r="P1855" s="638">
        <v>72000</v>
      </c>
      <c r="Q1855" s="214"/>
    </row>
    <row r="1856" spans="1:17" ht="12" customHeight="1" x14ac:dyDescent="0.2">
      <c r="A1856" s="735" t="s">
        <v>6676</v>
      </c>
      <c r="B1856" s="735" t="s">
        <v>2170</v>
      </c>
      <c r="C1856" s="638" t="s">
        <v>451</v>
      </c>
      <c r="D1856" s="644" t="s">
        <v>7235</v>
      </c>
      <c r="E1856" s="751">
        <v>8500</v>
      </c>
      <c r="F1856" s="638" t="s">
        <v>7236</v>
      </c>
      <c r="G1856" s="636" t="s">
        <v>7237</v>
      </c>
      <c r="H1856" s="636" t="s">
        <v>7238</v>
      </c>
      <c r="I1856" s="636" t="s">
        <v>6685</v>
      </c>
      <c r="J1856" s="644" t="s">
        <v>6686</v>
      </c>
      <c r="K1856" s="739"/>
      <c r="L1856" s="638">
        <v>12</v>
      </c>
      <c r="M1856" s="638">
        <v>102000</v>
      </c>
      <c r="N1856" s="752"/>
      <c r="O1856" s="638">
        <v>6</v>
      </c>
      <c r="P1856" s="638">
        <v>51000</v>
      </c>
      <c r="Q1856" s="214"/>
    </row>
    <row r="1857" spans="1:17" ht="12" customHeight="1" x14ac:dyDescent="0.2">
      <c r="A1857" s="735" t="s">
        <v>6676</v>
      </c>
      <c r="B1857" s="735" t="s">
        <v>2170</v>
      </c>
      <c r="C1857" s="638" t="s">
        <v>451</v>
      </c>
      <c r="D1857" s="644" t="s">
        <v>2247</v>
      </c>
      <c r="E1857" s="751">
        <v>6800</v>
      </c>
      <c r="F1857" s="638" t="s">
        <v>7239</v>
      </c>
      <c r="G1857" s="636" t="s">
        <v>7240</v>
      </c>
      <c r="H1857" s="636" t="s">
        <v>7241</v>
      </c>
      <c r="I1857" s="636" t="s">
        <v>6685</v>
      </c>
      <c r="J1857" s="644" t="s">
        <v>6686</v>
      </c>
      <c r="K1857" s="739"/>
      <c r="L1857" s="638">
        <v>1</v>
      </c>
      <c r="M1857" s="638">
        <v>6800</v>
      </c>
      <c r="N1857" s="752"/>
      <c r="O1857" s="638"/>
      <c r="P1857" s="638"/>
      <c r="Q1857" s="214"/>
    </row>
    <row r="1858" spans="1:17" ht="12" customHeight="1" x14ac:dyDescent="0.2">
      <c r="A1858" s="735" t="s">
        <v>6676</v>
      </c>
      <c r="B1858" s="735" t="s">
        <v>2170</v>
      </c>
      <c r="C1858" s="638" t="s">
        <v>451</v>
      </c>
      <c r="D1858" s="644" t="s">
        <v>7242</v>
      </c>
      <c r="E1858" s="751">
        <v>8000</v>
      </c>
      <c r="F1858" s="638" t="s">
        <v>7243</v>
      </c>
      <c r="G1858" s="644" t="s">
        <v>7244</v>
      </c>
      <c r="H1858" s="636" t="s">
        <v>7245</v>
      </c>
      <c r="I1858" s="636" t="s">
        <v>6548</v>
      </c>
      <c r="J1858" s="644" t="s">
        <v>6686</v>
      </c>
      <c r="K1858" s="739"/>
      <c r="L1858" s="638"/>
      <c r="M1858" s="638"/>
      <c r="N1858" s="752"/>
      <c r="O1858" s="638">
        <v>6</v>
      </c>
      <c r="P1858" s="638">
        <v>48000</v>
      </c>
      <c r="Q1858" s="214"/>
    </row>
    <row r="1859" spans="1:17" ht="12" customHeight="1" x14ac:dyDescent="0.2">
      <c r="A1859" s="735" t="s">
        <v>6676</v>
      </c>
      <c r="B1859" s="735" t="s">
        <v>2170</v>
      </c>
      <c r="C1859" s="638" t="s">
        <v>451</v>
      </c>
      <c r="D1859" s="644" t="s">
        <v>6734</v>
      </c>
      <c r="E1859" s="751">
        <v>10000</v>
      </c>
      <c r="F1859" s="638" t="s">
        <v>7246</v>
      </c>
      <c r="G1859" s="636" t="s">
        <v>7247</v>
      </c>
      <c r="H1859" s="636" t="s">
        <v>6684</v>
      </c>
      <c r="I1859" s="636" t="s">
        <v>6685</v>
      </c>
      <c r="J1859" s="644" t="s">
        <v>6686</v>
      </c>
      <c r="K1859" s="739"/>
      <c r="L1859" s="638">
        <v>10</v>
      </c>
      <c r="M1859" s="638">
        <v>100000</v>
      </c>
      <c r="N1859" s="752"/>
      <c r="O1859" s="638"/>
      <c r="P1859" s="638"/>
      <c r="Q1859" s="214"/>
    </row>
    <row r="1860" spans="1:17" ht="12" customHeight="1" x14ac:dyDescent="0.2">
      <c r="A1860" s="735" t="s">
        <v>6676</v>
      </c>
      <c r="B1860" s="735" t="s">
        <v>2170</v>
      </c>
      <c r="C1860" s="638" t="s">
        <v>451</v>
      </c>
      <c r="D1860" s="644" t="s">
        <v>7248</v>
      </c>
      <c r="E1860" s="751">
        <v>9000</v>
      </c>
      <c r="F1860" s="638" t="s">
        <v>7249</v>
      </c>
      <c r="G1860" s="636" t="s">
        <v>7250</v>
      </c>
      <c r="H1860" s="636" t="s">
        <v>7251</v>
      </c>
      <c r="I1860" s="636" t="s">
        <v>6685</v>
      </c>
      <c r="J1860" s="644" t="s">
        <v>6686</v>
      </c>
      <c r="K1860" s="739"/>
      <c r="L1860" s="638">
        <v>12</v>
      </c>
      <c r="M1860" s="638">
        <v>108000</v>
      </c>
      <c r="N1860" s="752"/>
      <c r="O1860" s="638">
        <v>6</v>
      </c>
      <c r="P1860" s="638">
        <v>54000</v>
      </c>
      <c r="Q1860" s="214"/>
    </row>
    <row r="1861" spans="1:17" ht="12" customHeight="1" x14ac:dyDescent="0.2">
      <c r="A1861" s="735" t="s">
        <v>6676</v>
      </c>
      <c r="B1861" s="735" t="s">
        <v>2170</v>
      </c>
      <c r="C1861" s="638" t="s">
        <v>451</v>
      </c>
      <c r="D1861" s="644" t="s">
        <v>7252</v>
      </c>
      <c r="E1861" s="751">
        <v>3500</v>
      </c>
      <c r="F1861" s="638" t="s">
        <v>7253</v>
      </c>
      <c r="G1861" s="636" t="s">
        <v>7254</v>
      </c>
      <c r="H1861" s="636" t="s">
        <v>6834</v>
      </c>
      <c r="I1861" s="636" t="s">
        <v>2180</v>
      </c>
      <c r="J1861" s="644" t="s">
        <v>6686</v>
      </c>
      <c r="K1861" s="739"/>
      <c r="L1861" s="638">
        <v>8</v>
      </c>
      <c r="M1861" s="638">
        <v>28000</v>
      </c>
      <c r="N1861" s="752"/>
      <c r="O1861" s="638"/>
      <c r="P1861" s="638"/>
      <c r="Q1861" s="214"/>
    </row>
    <row r="1862" spans="1:17" ht="12" customHeight="1" x14ac:dyDescent="0.2">
      <c r="A1862" s="735" t="s">
        <v>6676</v>
      </c>
      <c r="B1862" s="735" t="s">
        <v>2170</v>
      </c>
      <c r="C1862" s="638" t="s">
        <v>451</v>
      </c>
      <c r="D1862" s="644" t="s">
        <v>6229</v>
      </c>
      <c r="E1862" s="751">
        <v>9000</v>
      </c>
      <c r="F1862" s="638" t="s">
        <v>7255</v>
      </c>
      <c r="G1862" s="636" t="s">
        <v>7256</v>
      </c>
      <c r="H1862" s="636" t="s">
        <v>6571</v>
      </c>
      <c r="I1862" s="636" t="s">
        <v>6685</v>
      </c>
      <c r="J1862" s="644" t="s">
        <v>6686</v>
      </c>
      <c r="K1862" s="739"/>
      <c r="L1862" s="638">
        <v>12</v>
      </c>
      <c r="M1862" s="638">
        <v>108000</v>
      </c>
      <c r="N1862" s="752"/>
      <c r="O1862" s="638">
        <v>2</v>
      </c>
      <c r="P1862" s="638">
        <v>18000</v>
      </c>
      <c r="Q1862" s="214"/>
    </row>
    <row r="1863" spans="1:17" ht="12" customHeight="1" x14ac:dyDescent="0.2">
      <c r="A1863" s="735" t="s">
        <v>6676</v>
      </c>
      <c r="B1863" s="735" t="s">
        <v>2170</v>
      </c>
      <c r="C1863" s="638" t="s">
        <v>451</v>
      </c>
      <c r="D1863" s="644" t="s">
        <v>7257</v>
      </c>
      <c r="E1863" s="751">
        <v>4000</v>
      </c>
      <c r="F1863" s="638" t="s">
        <v>7258</v>
      </c>
      <c r="G1863" s="636" t="s">
        <v>7259</v>
      </c>
      <c r="H1863" s="636" t="s">
        <v>7260</v>
      </c>
      <c r="I1863" s="636" t="s">
        <v>6685</v>
      </c>
      <c r="J1863" s="644" t="s">
        <v>6686</v>
      </c>
      <c r="K1863" s="739"/>
      <c r="L1863" s="638">
        <v>12</v>
      </c>
      <c r="M1863" s="638">
        <v>48000</v>
      </c>
      <c r="N1863" s="752"/>
      <c r="O1863" s="638">
        <v>6</v>
      </c>
      <c r="P1863" s="638">
        <v>24000</v>
      </c>
      <c r="Q1863" s="214"/>
    </row>
    <row r="1864" spans="1:17" ht="12" customHeight="1" x14ac:dyDescent="0.2">
      <c r="A1864" s="735" t="s">
        <v>6676</v>
      </c>
      <c r="B1864" s="735" t="s">
        <v>2170</v>
      </c>
      <c r="C1864" s="638" t="s">
        <v>451</v>
      </c>
      <c r="D1864" s="644" t="s">
        <v>7261</v>
      </c>
      <c r="E1864" s="751">
        <v>12000</v>
      </c>
      <c r="F1864" s="638" t="s">
        <v>7262</v>
      </c>
      <c r="G1864" s="636" t="s">
        <v>7263</v>
      </c>
      <c r="H1864" s="636" t="s">
        <v>2179</v>
      </c>
      <c r="I1864" s="636" t="s">
        <v>6685</v>
      </c>
      <c r="J1864" s="644" t="s">
        <v>6686</v>
      </c>
      <c r="K1864" s="739"/>
      <c r="L1864" s="638">
        <v>12</v>
      </c>
      <c r="M1864" s="638">
        <v>144000</v>
      </c>
      <c r="N1864" s="752"/>
      <c r="O1864" s="638">
        <v>6</v>
      </c>
      <c r="P1864" s="638">
        <v>72000</v>
      </c>
      <c r="Q1864" s="214"/>
    </row>
    <row r="1865" spans="1:17" ht="12" customHeight="1" x14ac:dyDescent="0.2">
      <c r="A1865" s="735" t="s">
        <v>6676</v>
      </c>
      <c r="B1865" s="735" t="s">
        <v>2170</v>
      </c>
      <c r="C1865" s="638" t="s">
        <v>451</v>
      </c>
      <c r="D1865" s="644" t="s">
        <v>7264</v>
      </c>
      <c r="E1865" s="751">
        <v>5000</v>
      </c>
      <c r="F1865" s="638" t="s">
        <v>7265</v>
      </c>
      <c r="G1865" s="636" t="s">
        <v>7266</v>
      </c>
      <c r="H1865" s="636" t="s">
        <v>7267</v>
      </c>
      <c r="I1865" s="636" t="s">
        <v>2766</v>
      </c>
      <c r="J1865" s="644" t="s">
        <v>2766</v>
      </c>
      <c r="K1865" s="739"/>
      <c r="L1865" s="638">
        <v>12</v>
      </c>
      <c r="M1865" s="638">
        <v>60000</v>
      </c>
      <c r="N1865" s="752"/>
      <c r="O1865" s="638">
        <v>6</v>
      </c>
      <c r="P1865" s="638">
        <v>30000</v>
      </c>
      <c r="Q1865" s="214"/>
    </row>
    <row r="1866" spans="1:17" ht="12" customHeight="1" x14ac:dyDescent="0.2">
      <c r="A1866" s="735" t="s">
        <v>6676</v>
      </c>
      <c r="B1866" s="735" t="s">
        <v>2170</v>
      </c>
      <c r="C1866" s="638" t="s">
        <v>451</v>
      </c>
      <c r="D1866" s="644" t="s">
        <v>6797</v>
      </c>
      <c r="E1866" s="751">
        <v>9000</v>
      </c>
      <c r="F1866" s="638" t="s">
        <v>7268</v>
      </c>
      <c r="G1866" s="636" t="s">
        <v>7269</v>
      </c>
      <c r="H1866" s="636" t="s">
        <v>6684</v>
      </c>
      <c r="I1866" s="636" t="s">
        <v>6685</v>
      </c>
      <c r="J1866" s="644" t="s">
        <v>6686</v>
      </c>
      <c r="K1866" s="739"/>
      <c r="L1866" s="638">
        <v>12</v>
      </c>
      <c r="M1866" s="638">
        <v>108000</v>
      </c>
      <c r="N1866" s="752"/>
      <c r="O1866" s="638">
        <v>6</v>
      </c>
      <c r="P1866" s="638">
        <v>54000</v>
      </c>
      <c r="Q1866" s="214"/>
    </row>
    <row r="1867" spans="1:17" ht="12" customHeight="1" x14ac:dyDescent="0.2">
      <c r="A1867" s="735" t="s">
        <v>6676</v>
      </c>
      <c r="B1867" s="735" t="s">
        <v>2170</v>
      </c>
      <c r="C1867" s="638" t="s">
        <v>451</v>
      </c>
      <c r="D1867" s="644" t="s">
        <v>7270</v>
      </c>
      <c r="E1867" s="751">
        <v>8500</v>
      </c>
      <c r="F1867" s="638" t="s">
        <v>7271</v>
      </c>
      <c r="G1867" s="636" t="s">
        <v>7272</v>
      </c>
      <c r="H1867" s="636" t="s">
        <v>6962</v>
      </c>
      <c r="I1867" s="636" t="s">
        <v>6685</v>
      </c>
      <c r="J1867" s="644" t="s">
        <v>6686</v>
      </c>
      <c r="K1867" s="739"/>
      <c r="L1867" s="638">
        <v>12</v>
      </c>
      <c r="M1867" s="638">
        <v>102000</v>
      </c>
      <c r="N1867" s="752"/>
      <c r="O1867" s="638">
        <v>6</v>
      </c>
      <c r="P1867" s="638">
        <v>51000</v>
      </c>
      <c r="Q1867" s="214"/>
    </row>
    <row r="1868" spans="1:17" ht="12" customHeight="1" x14ac:dyDescent="0.2">
      <c r="A1868" s="735" t="s">
        <v>6676</v>
      </c>
      <c r="B1868" s="735" t="s">
        <v>2170</v>
      </c>
      <c r="C1868" s="638" t="s">
        <v>451</v>
      </c>
      <c r="D1868" s="644" t="s">
        <v>6734</v>
      </c>
      <c r="E1868" s="751">
        <v>10000</v>
      </c>
      <c r="F1868" s="638" t="s">
        <v>7273</v>
      </c>
      <c r="G1868" s="644" t="s">
        <v>7274</v>
      </c>
      <c r="H1868" s="636" t="s">
        <v>6536</v>
      </c>
      <c r="I1868" s="636" t="s">
        <v>6548</v>
      </c>
      <c r="J1868" s="644" t="s">
        <v>6686</v>
      </c>
      <c r="K1868" s="739"/>
      <c r="L1868" s="638"/>
      <c r="M1868" s="638"/>
      <c r="N1868" s="752"/>
      <c r="O1868" s="638">
        <v>6</v>
      </c>
      <c r="P1868" s="638">
        <v>60000</v>
      </c>
      <c r="Q1868" s="214"/>
    </row>
    <row r="1869" spans="1:17" ht="12" customHeight="1" x14ac:dyDescent="0.2">
      <c r="A1869" s="735" t="s">
        <v>6676</v>
      </c>
      <c r="B1869" s="735" t="s">
        <v>2170</v>
      </c>
      <c r="C1869" s="638" t="s">
        <v>451</v>
      </c>
      <c r="D1869" s="644" t="s">
        <v>7275</v>
      </c>
      <c r="E1869" s="751">
        <v>10000</v>
      </c>
      <c r="F1869" s="638" t="s">
        <v>4067</v>
      </c>
      <c r="G1869" s="636" t="s">
        <v>7276</v>
      </c>
      <c r="H1869" s="636" t="s">
        <v>6684</v>
      </c>
      <c r="I1869" s="636" t="s">
        <v>6685</v>
      </c>
      <c r="J1869" s="644" t="s">
        <v>6686</v>
      </c>
      <c r="K1869" s="739"/>
      <c r="L1869" s="638">
        <v>7</v>
      </c>
      <c r="M1869" s="638">
        <v>70000</v>
      </c>
      <c r="N1869" s="752"/>
      <c r="O1869" s="638"/>
      <c r="P1869" s="638"/>
      <c r="Q1869" s="214"/>
    </row>
    <row r="1870" spans="1:17" ht="12" customHeight="1" x14ac:dyDescent="0.2">
      <c r="A1870" s="735" t="s">
        <v>6676</v>
      </c>
      <c r="B1870" s="735" t="s">
        <v>2170</v>
      </c>
      <c r="C1870" s="638" t="s">
        <v>451</v>
      </c>
      <c r="D1870" s="644" t="s">
        <v>7277</v>
      </c>
      <c r="E1870" s="751">
        <v>6500</v>
      </c>
      <c r="F1870" s="638" t="s">
        <v>7278</v>
      </c>
      <c r="G1870" s="644" t="s">
        <v>7279</v>
      </c>
      <c r="H1870" s="636" t="s">
        <v>7280</v>
      </c>
      <c r="I1870" s="636" t="s">
        <v>643</v>
      </c>
      <c r="J1870" s="644" t="s">
        <v>643</v>
      </c>
      <c r="K1870" s="739"/>
      <c r="L1870" s="638"/>
      <c r="M1870" s="638"/>
      <c r="N1870" s="752"/>
      <c r="O1870" s="638">
        <v>6</v>
      </c>
      <c r="P1870" s="638">
        <v>39000</v>
      </c>
      <c r="Q1870" s="214"/>
    </row>
    <row r="1871" spans="1:17" ht="12" customHeight="1" x14ac:dyDescent="0.2">
      <c r="A1871" s="735" t="s">
        <v>6676</v>
      </c>
      <c r="B1871" s="735" t="s">
        <v>2170</v>
      </c>
      <c r="C1871" s="638" t="s">
        <v>451</v>
      </c>
      <c r="D1871" s="644" t="s">
        <v>7281</v>
      </c>
      <c r="E1871" s="751">
        <v>12000</v>
      </c>
      <c r="F1871" s="638" t="s">
        <v>7282</v>
      </c>
      <c r="G1871" s="636" t="s">
        <v>7283</v>
      </c>
      <c r="H1871" s="636" t="s">
        <v>7188</v>
      </c>
      <c r="I1871" s="636" t="s">
        <v>6685</v>
      </c>
      <c r="J1871" s="644" t="s">
        <v>6686</v>
      </c>
      <c r="K1871" s="739"/>
      <c r="L1871" s="638">
        <v>7</v>
      </c>
      <c r="M1871" s="638">
        <v>84000</v>
      </c>
      <c r="N1871" s="752"/>
      <c r="O1871" s="638"/>
      <c r="P1871" s="638"/>
      <c r="Q1871" s="214"/>
    </row>
    <row r="1872" spans="1:17" ht="12" customHeight="1" x14ac:dyDescent="0.2">
      <c r="A1872" s="735" t="s">
        <v>6676</v>
      </c>
      <c r="B1872" s="735" t="s">
        <v>2170</v>
      </c>
      <c r="C1872" s="638" t="s">
        <v>451</v>
      </c>
      <c r="D1872" s="644" t="s">
        <v>6883</v>
      </c>
      <c r="E1872" s="751">
        <v>3000</v>
      </c>
      <c r="F1872" s="638" t="s">
        <v>7284</v>
      </c>
      <c r="G1872" s="636" t="s">
        <v>7285</v>
      </c>
      <c r="H1872" s="636" t="s">
        <v>7286</v>
      </c>
      <c r="I1872" s="636" t="s">
        <v>2253</v>
      </c>
      <c r="J1872" s="644" t="s">
        <v>2253</v>
      </c>
      <c r="K1872" s="739"/>
      <c r="L1872" s="638">
        <v>12</v>
      </c>
      <c r="M1872" s="638">
        <v>36000</v>
      </c>
      <c r="N1872" s="752"/>
      <c r="O1872" s="638">
        <v>1</v>
      </c>
      <c r="P1872" s="638">
        <v>3000</v>
      </c>
      <c r="Q1872" s="214"/>
    </row>
    <row r="1873" spans="1:17" ht="12" customHeight="1" x14ac:dyDescent="0.2">
      <c r="A1873" s="735" t="s">
        <v>6676</v>
      </c>
      <c r="B1873" s="735" t="s">
        <v>2170</v>
      </c>
      <c r="C1873" s="638" t="s">
        <v>451</v>
      </c>
      <c r="D1873" s="644" t="s">
        <v>6797</v>
      </c>
      <c r="E1873" s="751">
        <v>9000</v>
      </c>
      <c r="F1873" s="638" t="s">
        <v>7287</v>
      </c>
      <c r="G1873" s="636" t="s">
        <v>7288</v>
      </c>
      <c r="H1873" s="636" t="s">
        <v>6684</v>
      </c>
      <c r="I1873" s="636" t="s">
        <v>6685</v>
      </c>
      <c r="J1873" s="644" t="s">
        <v>6686</v>
      </c>
      <c r="K1873" s="739"/>
      <c r="L1873" s="638">
        <v>12</v>
      </c>
      <c r="M1873" s="638">
        <v>108000</v>
      </c>
      <c r="N1873" s="752"/>
      <c r="O1873" s="638">
        <v>6</v>
      </c>
      <c r="P1873" s="638">
        <v>54000</v>
      </c>
      <c r="Q1873" s="214"/>
    </row>
    <row r="1874" spans="1:17" ht="12" customHeight="1" x14ac:dyDescent="0.2">
      <c r="A1874" s="735" t="s">
        <v>6676</v>
      </c>
      <c r="B1874" s="735" t="s">
        <v>2170</v>
      </c>
      <c r="C1874" s="638" t="s">
        <v>451</v>
      </c>
      <c r="D1874" s="644" t="s">
        <v>6693</v>
      </c>
      <c r="E1874" s="751">
        <v>5000</v>
      </c>
      <c r="F1874" s="638" t="s">
        <v>7289</v>
      </c>
      <c r="G1874" s="636" t="s">
        <v>7290</v>
      </c>
      <c r="H1874" s="636" t="s">
        <v>6625</v>
      </c>
      <c r="I1874" s="636" t="s">
        <v>6685</v>
      </c>
      <c r="J1874" s="644" t="s">
        <v>6686</v>
      </c>
      <c r="K1874" s="739"/>
      <c r="L1874" s="638">
        <v>12</v>
      </c>
      <c r="M1874" s="638">
        <v>60000</v>
      </c>
      <c r="N1874" s="752"/>
      <c r="O1874" s="638">
        <v>6</v>
      </c>
      <c r="P1874" s="638">
        <v>30000</v>
      </c>
      <c r="Q1874" s="214"/>
    </row>
    <row r="1875" spans="1:17" ht="12" customHeight="1" x14ac:dyDescent="0.2">
      <c r="A1875" s="735" t="s">
        <v>6676</v>
      </c>
      <c r="B1875" s="735" t="s">
        <v>2170</v>
      </c>
      <c r="C1875" s="638" t="s">
        <v>451</v>
      </c>
      <c r="D1875" s="644" t="s">
        <v>6734</v>
      </c>
      <c r="E1875" s="751">
        <v>10000</v>
      </c>
      <c r="F1875" s="638" t="s">
        <v>7291</v>
      </c>
      <c r="G1875" s="636" t="s">
        <v>7292</v>
      </c>
      <c r="H1875" s="636" t="s">
        <v>6684</v>
      </c>
      <c r="I1875" s="636" t="s">
        <v>6685</v>
      </c>
      <c r="J1875" s="644" t="s">
        <v>6686</v>
      </c>
      <c r="K1875" s="739"/>
      <c r="L1875" s="638">
        <v>12</v>
      </c>
      <c r="M1875" s="638">
        <v>120000</v>
      </c>
      <c r="N1875" s="752"/>
      <c r="O1875" s="638">
        <v>1</v>
      </c>
      <c r="P1875" s="638">
        <v>10000</v>
      </c>
      <c r="Q1875" s="214"/>
    </row>
    <row r="1876" spans="1:17" ht="12" customHeight="1" x14ac:dyDescent="0.2">
      <c r="A1876" s="735" t="s">
        <v>6676</v>
      </c>
      <c r="B1876" s="735" t="s">
        <v>2170</v>
      </c>
      <c r="C1876" s="638" t="s">
        <v>451</v>
      </c>
      <c r="D1876" s="644" t="s">
        <v>6693</v>
      </c>
      <c r="E1876" s="751">
        <v>5000</v>
      </c>
      <c r="F1876" s="638" t="s">
        <v>7293</v>
      </c>
      <c r="G1876" s="636" t="s">
        <v>7294</v>
      </c>
      <c r="H1876" s="636" t="s">
        <v>7295</v>
      </c>
      <c r="I1876" s="636" t="s">
        <v>6685</v>
      </c>
      <c r="J1876" s="644" t="s">
        <v>6686</v>
      </c>
      <c r="K1876" s="739"/>
      <c r="L1876" s="638">
        <v>12</v>
      </c>
      <c r="M1876" s="638">
        <v>60000</v>
      </c>
      <c r="N1876" s="752"/>
      <c r="O1876" s="638">
        <v>6</v>
      </c>
      <c r="P1876" s="638">
        <v>30000</v>
      </c>
      <c r="Q1876" s="214"/>
    </row>
    <row r="1877" spans="1:17" ht="12" customHeight="1" x14ac:dyDescent="0.2">
      <c r="A1877" s="735" t="s">
        <v>6676</v>
      </c>
      <c r="B1877" s="735" t="s">
        <v>2170</v>
      </c>
      <c r="C1877" s="638" t="s">
        <v>451</v>
      </c>
      <c r="D1877" s="644" t="s">
        <v>6700</v>
      </c>
      <c r="E1877" s="751">
        <v>3500</v>
      </c>
      <c r="F1877" s="638" t="s">
        <v>7296</v>
      </c>
      <c r="G1877" s="636" t="s">
        <v>7297</v>
      </c>
      <c r="H1877" s="636" t="s">
        <v>6703</v>
      </c>
      <c r="I1877" s="636" t="s">
        <v>6685</v>
      </c>
      <c r="J1877" s="644" t="s">
        <v>6686</v>
      </c>
      <c r="K1877" s="739"/>
      <c r="L1877" s="638">
        <v>12</v>
      </c>
      <c r="M1877" s="638">
        <v>42000</v>
      </c>
      <c r="N1877" s="752"/>
      <c r="O1877" s="638">
        <v>6</v>
      </c>
      <c r="P1877" s="638">
        <v>21000</v>
      </c>
      <c r="Q1877" s="214"/>
    </row>
    <row r="1878" spans="1:17" ht="12" customHeight="1" x14ac:dyDescent="0.2">
      <c r="A1878" s="735" t="s">
        <v>6676</v>
      </c>
      <c r="B1878" s="735" t="s">
        <v>2170</v>
      </c>
      <c r="C1878" s="638" t="s">
        <v>451</v>
      </c>
      <c r="D1878" s="644" t="s">
        <v>5560</v>
      </c>
      <c r="E1878" s="751">
        <v>9000</v>
      </c>
      <c r="F1878" s="638" t="s">
        <v>6094</v>
      </c>
      <c r="G1878" s="644" t="s">
        <v>7298</v>
      </c>
      <c r="H1878" s="636" t="s">
        <v>6536</v>
      </c>
      <c r="I1878" s="636" t="s">
        <v>6548</v>
      </c>
      <c r="J1878" s="644" t="s">
        <v>6686</v>
      </c>
      <c r="K1878" s="739"/>
      <c r="L1878" s="638"/>
      <c r="M1878" s="638"/>
      <c r="N1878" s="752"/>
      <c r="O1878" s="638">
        <v>6</v>
      </c>
      <c r="P1878" s="638">
        <v>54000</v>
      </c>
      <c r="Q1878" s="214"/>
    </row>
    <row r="1879" spans="1:17" ht="12" customHeight="1" x14ac:dyDescent="0.2">
      <c r="A1879" s="735" t="s">
        <v>6676</v>
      </c>
      <c r="B1879" s="735" t="s">
        <v>2170</v>
      </c>
      <c r="C1879" s="638" t="s">
        <v>451</v>
      </c>
      <c r="D1879" s="644" t="s">
        <v>2918</v>
      </c>
      <c r="E1879" s="751">
        <v>8500</v>
      </c>
      <c r="F1879" s="638" t="s">
        <v>7299</v>
      </c>
      <c r="G1879" s="636" t="s">
        <v>7300</v>
      </c>
      <c r="H1879" s="636" t="s">
        <v>6707</v>
      </c>
      <c r="I1879" s="636" t="s">
        <v>2180</v>
      </c>
      <c r="J1879" s="644" t="s">
        <v>6686</v>
      </c>
      <c r="K1879" s="739"/>
      <c r="L1879" s="638">
        <v>1</v>
      </c>
      <c r="M1879" s="638">
        <v>8500</v>
      </c>
      <c r="N1879" s="752"/>
      <c r="O1879" s="638"/>
      <c r="P1879" s="638"/>
      <c r="Q1879" s="214"/>
    </row>
    <row r="1880" spans="1:17" ht="12" customHeight="1" x14ac:dyDescent="0.2">
      <c r="A1880" s="735" t="s">
        <v>6676</v>
      </c>
      <c r="B1880" s="735" t="s">
        <v>2170</v>
      </c>
      <c r="C1880" s="638" t="s">
        <v>451</v>
      </c>
      <c r="D1880" s="644" t="s">
        <v>2687</v>
      </c>
      <c r="E1880" s="751">
        <v>3500</v>
      </c>
      <c r="F1880" s="638" t="s">
        <v>7301</v>
      </c>
      <c r="G1880" s="636" t="s">
        <v>7302</v>
      </c>
      <c r="H1880" s="636" t="s">
        <v>7032</v>
      </c>
      <c r="I1880" s="636" t="s">
        <v>2180</v>
      </c>
      <c r="J1880" s="644" t="s">
        <v>6686</v>
      </c>
      <c r="K1880" s="739"/>
      <c r="L1880" s="638">
        <v>7</v>
      </c>
      <c r="M1880" s="638">
        <v>24500</v>
      </c>
      <c r="N1880" s="752"/>
      <c r="O1880" s="638"/>
      <c r="P1880" s="638"/>
      <c r="Q1880" s="214"/>
    </row>
    <row r="1881" spans="1:17" ht="12" customHeight="1" x14ac:dyDescent="0.2">
      <c r="A1881" s="735" t="s">
        <v>6676</v>
      </c>
      <c r="B1881" s="735" t="s">
        <v>2170</v>
      </c>
      <c r="C1881" s="638" t="s">
        <v>451</v>
      </c>
      <c r="D1881" s="644" t="s">
        <v>6797</v>
      </c>
      <c r="E1881" s="751">
        <v>9000</v>
      </c>
      <c r="F1881" s="638" t="s">
        <v>7303</v>
      </c>
      <c r="G1881" s="636" t="s">
        <v>7304</v>
      </c>
      <c r="H1881" s="636" t="s">
        <v>6684</v>
      </c>
      <c r="I1881" s="636" t="s">
        <v>6685</v>
      </c>
      <c r="J1881" s="644" t="s">
        <v>6686</v>
      </c>
      <c r="K1881" s="739"/>
      <c r="L1881" s="638">
        <v>12</v>
      </c>
      <c r="M1881" s="638">
        <v>108000</v>
      </c>
      <c r="N1881" s="752"/>
      <c r="O1881" s="638">
        <v>6</v>
      </c>
      <c r="P1881" s="638">
        <v>54000</v>
      </c>
      <c r="Q1881" s="214"/>
    </row>
    <row r="1882" spans="1:17" ht="12" customHeight="1" x14ac:dyDescent="0.2">
      <c r="A1882" s="735" t="s">
        <v>6676</v>
      </c>
      <c r="B1882" s="735" t="s">
        <v>2170</v>
      </c>
      <c r="C1882" s="638" t="s">
        <v>451</v>
      </c>
      <c r="D1882" s="644" t="s">
        <v>6681</v>
      </c>
      <c r="E1882" s="751">
        <v>9000</v>
      </c>
      <c r="F1882" s="638" t="s">
        <v>7305</v>
      </c>
      <c r="G1882" s="636" t="s">
        <v>7306</v>
      </c>
      <c r="H1882" s="636" t="s">
        <v>6794</v>
      </c>
      <c r="I1882" s="636" t="s">
        <v>6685</v>
      </c>
      <c r="J1882" s="644" t="s">
        <v>6686</v>
      </c>
      <c r="K1882" s="739"/>
      <c r="L1882" s="638">
        <v>12</v>
      </c>
      <c r="M1882" s="638">
        <v>108000</v>
      </c>
      <c r="N1882" s="752"/>
      <c r="O1882" s="638">
        <v>6</v>
      </c>
      <c r="P1882" s="638">
        <v>54000</v>
      </c>
      <c r="Q1882" s="214"/>
    </row>
    <row r="1883" spans="1:17" ht="12" customHeight="1" x14ac:dyDescent="0.2">
      <c r="A1883" s="735" t="s">
        <v>6676</v>
      </c>
      <c r="B1883" s="735" t="s">
        <v>2170</v>
      </c>
      <c r="C1883" s="638" t="s">
        <v>451</v>
      </c>
      <c r="D1883" s="644" t="s">
        <v>2918</v>
      </c>
      <c r="E1883" s="751">
        <v>8500</v>
      </c>
      <c r="F1883" s="638" t="s">
        <v>7307</v>
      </c>
      <c r="G1883" s="636" t="s">
        <v>7308</v>
      </c>
      <c r="H1883" s="636" t="s">
        <v>6834</v>
      </c>
      <c r="I1883" s="636" t="s">
        <v>6685</v>
      </c>
      <c r="J1883" s="644" t="s">
        <v>6686</v>
      </c>
      <c r="K1883" s="739"/>
      <c r="L1883" s="638">
        <v>12</v>
      </c>
      <c r="M1883" s="638">
        <v>102000</v>
      </c>
      <c r="N1883" s="752"/>
      <c r="O1883" s="638">
        <v>6</v>
      </c>
      <c r="P1883" s="638">
        <v>51000</v>
      </c>
      <c r="Q1883" s="214"/>
    </row>
    <row r="1884" spans="1:17" ht="12" customHeight="1" x14ac:dyDescent="0.2">
      <c r="A1884" s="735" t="s">
        <v>6676</v>
      </c>
      <c r="B1884" s="735" t="s">
        <v>2170</v>
      </c>
      <c r="C1884" s="638" t="s">
        <v>451</v>
      </c>
      <c r="D1884" s="644" t="s">
        <v>6717</v>
      </c>
      <c r="E1884" s="751">
        <v>9000</v>
      </c>
      <c r="F1884" s="638" t="s">
        <v>7309</v>
      </c>
      <c r="G1884" s="636" t="s">
        <v>7310</v>
      </c>
      <c r="H1884" s="636" t="s">
        <v>6765</v>
      </c>
      <c r="I1884" s="636" t="s">
        <v>6685</v>
      </c>
      <c r="J1884" s="644" t="s">
        <v>6686</v>
      </c>
      <c r="K1884" s="739"/>
      <c r="L1884" s="638">
        <v>12</v>
      </c>
      <c r="M1884" s="638">
        <v>108000</v>
      </c>
      <c r="N1884" s="752"/>
      <c r="O1884" s="638">
        <v>6</v>
      </c>
      <c r="P1884" s="638">
        <v>54000</v>
      </c>
      <c r="Q1884" s="214"/>
    </row>
    <row r="1885" spans="1:17" ht="12" customHeight="1" x14ac:dyDescent="0.2">
      <c r="A1885" s="735" t="s">
        <v>6676</v>
      </c>
      <c r="B1885" s="735" t="s">
        <v>2170</v>
      </c>
      <c r="C1885" s="638" t="s">
        <v>451</v>
      </c>
      <c r="D1885" s="644" t="s">
        <v>2261</v>
      </c>
      <c r="E1885" s="751">
        <v>4500</v>
      </c>
      <c r="F1885" s="638" t="s">
        <v>7311</v>
      </c>
      <c r="G1885" s="636" t="s">
        <v>7312</v>
      </c>
      <c r="H1885" s="636" t="s">
        <v>2346</v>
      </c>
      <c r="I1885" s="636" t="s">
        <v>6679</v>
      </c>
      <c r="J1885" s="644" t="s">
        <v>6680</v>
      </c>
      <c r="K1885" s="739"/>
      <c r="L1885" s="638">
        <v>12</v>
      </c>
      <c r="M1885" s="638">
        <v>54000</v>
      </c>
      <c r="N1885" s="752"/>
      <c r="O1885" s="638">
        <v>6</v>
      </c>
      <c r="P1885" s="638">
        <v>27000</v>
      </c>
      <c r="Q1885" s="214"/>
    </row>
    <row r="1886" spans="1:17" ht="12" customHeight="1" x14ac:dyDescent="0.2">
      <c r="A1886" s="735" t="s">
        <v>6676</v>
      </c>
      <c r="B1886" s="735" t="s">
        <v>2170</v>
      </c>
      <c r="C1886" s="638" t="s">
        <v>451</v>
      </c>
      <c r="D1886" s="644" t="s">
        <v>7313</v>
      </c>
      <c r="E1886" s="751">
        <v>7000</v>
      </c>
      <c r="F1886" s="638" t="s">
        <v>7314</v>
      </c>
      <c r="G1886" s="636" t="s">
        <v>7315</v>
      </c>
      <c r="H1886" s="636" t="s">
        <v>6668</v>
      </c>
      <c r="I1886" s="636" t="s">
        <v>6685</v>
      </c>
      <c r="J1886" s="644" t="s">
        <v>6686</v>
      </c>
      <c r="K1886" s="739"/>
      <c r="L1886" s="638">
        <v>12</v>
      </c>
      <c r="M1886" s="638">
        <v>84000</v>
      </c>
      <c r="N1886" s="752"/>
      <c r="O1886" s="638">
        <v>6</v>
      </c>
      <c r="P1886" s="638">
        <v>42000</v>
      </c>
      <c r="Q1886" s="214"/>
    </row>
    <row r="1887" spans="1:17" ht="12" customHeight="1" x14ac:dyDescent="0.2">
      <c r="A1887" s="735" t="s">
        <v>6676</v>
      </c>
      <c r="B1887" s="735" t="s">
        <v>2170</v>
      </c>
      <c r="C1887" s="638" t="s">
        <v>451</v>
      </c>
      <c r="D1887" s="644" t="s">
        <v>6735</v>
      </c>
      <c r="E1887" s="751">
        <v>3500</v>
      </c>
      <c r="F1887" s="638" t="s">
        <v>7316</v>
      </c>
      <c r="G1887" s="636" t="s">
        <v>7317</v>
      </c>
      <c r="H1887" s="636" t="s">
        <v>6684</v>
      </c>
      <c r="I1887" s="636" t="s">
        <v>6685</v>
      </c>
      <c r="J1887" s="644" t="s">
        <v>6686</v>
      </c>
      <c r="K1887" s="739"/>
      <c r="L1887" s="638">
        <v>1</v>
      </c>
      <c r="M1887" s="638">
        <v>3500</v>
      </c>
      <c r="N1887" s="752"/>
      <c r="O1887" s="638"/>
      <c r="P1887" s="638"/>
      <c r="Q1887" s="214"/>
    </row>
    <row r="1888" spans="1:17" ht="12" customHeight="1" x14ac:dyDescent="0.2">
      <c r="A1888" s="735" t="s">
        <v>6676</v>
      </c>
      <c r="B1888" s="735" t="s">
        <v>2170</v>
      </c>
      <c r="C1888" s="638" t="s">
        <v>451</v>
      </c>
      <c r="D1888" s="644" t="s">
        <v>6865</v>
      </c>
      <c r="E1888" s="751">
        <v>12000</v>
      </c>
      <c r="F1888" s="638" t="s">
        <v>6111</v>
      </c>
      <c r="G1888" s="644" t="s">
        <v>7318</v>
      </c>
      <c r="H1888" s="636" t="s">
        <v>6536</v>
      </c>
      <c r="I1888" s="636" t="s">
        <v>6685</v>
      </c>
      <c r="J1888" s="644" t="s">
        <v>6686</v>
      </c>
      <c r="K1888" s="739"/>
      <c r="L1888" s="638">
        <v>2</v>
      </c>
      <c r="M1888" s="638">
        <v>24000</v>
      </c>
      <c r="N1888" s="752"/>
      <c r="O1888" s="638"/>
      <c r="P1888" s="638"/>
      <c r="Q1888" s="214"/>
    </row>
    <row r="1889" spans="1:17" ht="12" customHeight="1" x14ac:dyDescent="0.2">
      <c r="A1889" s="735" t="s">
        <v>6676</v>
      </c>
      <c r="B1889" s="735" t="s">
        <v>2170</v>
      </c>
      <c r="C1889" s="638" t="s">
        <v>451</v>
      </c>
      <c r="D1889" s="644" t="s">
        <v>6690</v>
      </c>
      <c r="E1889" s="751">
        <v>8500</v>
      </c>
      <c r="F1889" s="638" t="s">
        <v>7319</v>
      </c>
      <c r="G1889" s="636" t="s">
        <v>7320</v>
      </c>
      <c r="H1889" s="636" t="s">
        <v>6668</v>
      </c>
      <c r="I1889" s="636" t="s">
        <v>6685</v>
      </c>
      <c r="J1889" s="644" t="s">
        <v>6686</v>
      </c>
      <c r="K1889" s="739"/>
      <c r="L1889" s="638">
        <v>8</v>
      </c>
      <c r="M1889" s="638">
        <v>68000</v>
      </c>
      <c r="N1889" s="752"/>
      <c r="O1889" s="638"/>
      <c r="P1889" s="638"/>
      <c r="Q1889" s="214"/>
    </row>
    <row r="1890" spans="1:17" ht="12" customHeight="1" x14ac:dyDescent="0.2">
      <c r="A1890" s="735" t="s">
        <v>6676</v>
      </c>
      <c r="B1890" s="735" t="s">
        <v>2170</v>
      </c>
      <c r="C1890" s="638" t="s">
        <v>451</v>
      </c>
      <c r="D1890" s="644" t="s">
        <v>6808</v>
      </c>
      <c r="E1890" s="751">
        <v>12000</v>
      </c>
      <c r="F1890" s="638" t="s">
        <v>7321</v>
      </c>
      <c r="G1890" s="644" t="s">
        <v>7322</v>
      </c>
      <c r="H1890" s="636" t="s">
        <v>7152</v>
      </c>
      <c r="I1890" s="636" t="s">
        <v>6548</v>
      </c>
      <c r="J1890" s="644" t="s">
        <v>6686</v>
      </c>
      <c r="K1890" s="739"/>
      <c r="L1890" s="638"/>
      <c r="M1890" s="638"/>
      <c r="N1890" s="752"/>
      <c r="O1890" s="638">
        <v>6</v>
      </c>
      <c r="P1890" s="638">
        <v>72000</v>
      </c>
      <c r="Q1890" s="214"/>
    </row>
    <row r="1891" spans="1:17" ht="12" customHeight="1" x14ac:dyDescent="0.2">
      <c r="A1891" s="735" t="s">
        <v>6676</v>
      </c>
      <c r="B1891" s="735" t="s">
        <v>2170</v>
      </c>
      <c r="C1891" s="638" t="s">
        <v>451</v>
      </c>
      <c r="D1891" s="644" t="s">
        <v>6725</v>
      </c>
      <c r="E1891" s="751">
        <v>8500</v>
      </c>
      <c r="F1891" s="638" t="s">
        <v>7323</v>
      </c>
      <c r="G1891" s="636" t="s">
        <v>7324</v>
      </c>
      <c r="H1891" s="636" t="s">
        <v>6765</v>
      </c>
      <c r="I1891" s="636" t="s">
        <v>6685</v>
      </c>
      <c r="J1891" s="644" t="s">
        <v>6686</v>
      </c>
      <c r="K1891" s="739"/>
      <c r="L1891" s="638">
        <v>5</v>
      </c>
      <c r="M1891" s="638">
        <v>42500</v>
      </c>
      <c r="N1891" s="752"/>
      <c r="O1891" s="638"/>
      <c r="P1891" s="638"/>
      <c r="Q1891" s="214"/>
    </row>
    <row r="1892" spans="1:17" ht="12" customHeight="1" x14ac:dyDescent="0.2">
      <c r="A1892" s="735" t="s">
        <v>6676</v>
      </c>
      <c r="B1892" s="735" t="s">
        <v>2170</v>
      </c>
      <c r="C1892" s="638" t="s">
        <v>451</v>
      </c>
      <c r="D1892" s="644" t="s">
        <v>7016</v>
      </c>
      <c r="E1892" s="751">
        <v>10000</v>
      </c>
      <c r="F1892" s="638" t="s">
        <v>7323</v>
      </c>
      <c r="G1892" s="644" t="s">
        <v>7324</v>
      </c>
      <c r="H1892" s="636" t="s">
        <v>6765</v>
      </c>
      <c r="I1892" s="636" t="s">
        <v>6685</v>
      </c>
      <c r="J1892" s="644" t="s">
        <v>6686</v>
      </c>
      <c r="K1892" s="739"/>
      <c r="L1892" s="638">
        <v>7</v>
      </c>
      <c r="M1892" s="638">
        <v>70000</v>
      </c>
      <c r="N1892" s="752"/>
      <c r="O1892" s="638">
        <v>6</v>
      </c>
      <c r="P1892" s="638">
        <v>60000</v>
      </c>
      <c r="Q1892" s="214"/>
    </row>
    <row r="1893" spans="1:17" ht="12" customHeight="1" x14ac:dyDescent="0.2">
      <c r="A1893" s="735" t="s">
        <v>6676</v>
      </c>
      <c r="B1893" s="735" t="s">
        <v>2170</v>
      </c>
      <c r="C1893" s="638" t="s">
        <v>451</v>
      </c>
      <c r="D1893" s="644" t="s">
        <v>7325</v>
      </c>
      <c r="E1893" s="751">
        <v>11000</v>
      </c>
      <c r="F1893" s="638" t="s">
        <v>7326</v>
      </c>
      <c r="G1893" s="636" t="s">
        <v>7327</v>
      </c>
      <c r="H1893" s="636" t="s">
        <v>6684</v>
      </c>
      <c r="I1893" s="636" t="s">
        <v>6685</v>
      </c>
      <c r="J1893" s="644" t="s">
        <v>6686</v>
      </c>
      <c r="K1893" s="739"/>
      <c r="L1893" s="638">
        <v>7</v>
      </c>
      <c r="M1893" s="638">
        <v>77000</v>
      </c>
      <c r="N1893" s="752"/>
      <c r="O1893" s="638"/>
      <c r="P1893" s="638"/>
      <c r="Q1893" s="214"/>
    </row>
    <row r="1894" spans="1:17" ht="12" customHeight="1" x14ac:dyDescent="0.2">
      <c r="A1894" s="735" t="s">
        <v>6676</v>
      </c>
      <c r="B1894" s="735" t="s">
        <v>2170</v>
      </c>
      <c r="C1894" s="638" t="s">
        <v>451</v>
      </c>
      <c r="D1894" s="644" t="s">
        <v>6883</v>
      </c>
      <c r="E1894" s="751">
        <v>3000</v>
      </c>
      <c r="F1894" s="638" t="s">
        <v>7328</v>
      </c>
      <c r="G1894" s="636" t="s">
        <v>7329</v>
      </c>
      <c r="H1894" s="636" t="s">
        <v>7286</v>
      </c>
      <c r="I1894" s="636" t="s">
        <v>2253</v>
      </c>
      <c r="J1894" s="644" t="s">
        <v>2253</v>
      </c>
      <c r="K1894" s="739"/>
      <c r="L1894" s="638">
        <v>12</v>
      </c>
      <c r="M1894" s="638">
        <v>36000</v>
      </c>
      <c r="N1894" s="752"/>
      <c r="O1894" s="638">
        <v>6</v>
      </c>
      <c r="P1894" s="638">
        <v>18000</v>
      </c>
      <c r="Q1894" s="214"/>
    </row>
    <row r="1895" spans="1:17" ht="12" customHeight="1" x14ac:dyDescent="0.2">
      <c r="A1895" s="735" t="s">
        <v>6676</v>
      </c>
      <c r="B1895" s="735" t="s">
        <v>2170</v>
      </c>
      <c r="C1895" s="638" t="s">
        <v>451</v>
      </c>
      <c r="D1895" s="644" t="s">
        <v>5743</v>
      </c>
      <c r="E1895" s="751">
        <v>9000</v>
      </c>
      <c r="F1895" s="638" t="s">
        <v>7330</v>
      </c>
      <c r="G1895" s="644" t="s">
        <v>7331</v>
      </c>
      <c r="H1895" s="636" t="s">
        <v>6536</v>
      </c>
      <c r="I1895" s="636" t="s">
        <v>6548</v>
      </c>
      <c r="J1895" s="644" t="s">
        <v>6686</v>
      </c>
      <c r="K1895" s="739"/>
      <c r="L1895" s="638"/>
      <c r="M1895" s="638"/>
      <c r="N1895" s="752"/>
      <c r="O1895" s="638">
        <v>6</v>
      </c>
      <c r="P1895" s="638">
        <v>54000</v>
      </c>
      <c r="Q1895" s="214"/>
    </row>
    <row r="1896" spans="1:17" ht="12" customHeight="1" x14ac:dyDescent="0.2">
      <c r="A1896" s="735" t="s">
        <v>6676</v>
      </c>
      <c r="B1896" s="735" t="s">
        <v>2170</v>
      </c>
      <c r="C1896" s="638" t="s">
        <v>451</v>
      </c>
      <c r="D1896" s="644" t="s">
        <v>7332</v>
      </c>
      <c r="E1896" s="751">
        <v>8000</v>
      </c>
      <c r="F1896" s="638" t="s">
        <v>7333</v>
      </c>
      <c r="G1896" s="636" t="s">
        <v>7334</v>
      </c>
      <c r="H1896" s="636" t="s">
        <v>6684</v>
      </c>
      <c r="I1896" s="636" t="s">
        <v>6685</v>
      </c>
      <c r="J1896" s="644" t="s">
        <v>6686</v>
      </c>
      <c r="K1896" s="739"/>
      <c r="L1896" s="638">
        <v>10</v>
      </c>
      <c r="M1896" s="638">
        <v>80000</v>
      </c>
      <c r="N1896" s="752"/>
      <c r="O1896" s="638"/>
      <c r="P1896" s="638"/>
      <c r="Q1896" s="214"/>
    </row>
    <row r="1897" spans="1:17" ht="12" customHeight="1" x14ac:dyDescent="0.2">
      <c r="A1897" s="735" t="s">
        <v>6676</v>
      </c>
      <c r="B1897" s="735" t="s">
        <v>2170</v>
      </c>
      <c r="C1897" s="638" t="s">
        <v>451</v>
      </c>
      <c r="D1897" s="644" t="s">
        <v>7335</v>
      </c>
      <c r="E1897" s="751">
        <v>10000</v>
      </c>
      <c r="F1897" s="638" t="s">
        <v>7333</v>
      </c>
      <c r="G1897" s="644" t="s">
        <v>7334</v>
      </c>
      <c r="H1897" s="636" t="s">
        <v>6684</v>
      </c>
      <c r="I1897" s="636" t="s">
        <v>6685</v>
      </c>
      <c r="J1897" s="644" t="s">
        <v>6686</v>
      </c>
      <c r="K1897" s="739"/>
      <c r="L1897" s="638">
        <v>2</v>
      </c>
      <c r="M1897" s="638">
        <v>20000</v>
      </c>
      <c r="N1897" s="752"/>
      <c r="O1897" s="638">
        <v>6</v>
      </c>
      <c r="P1897" s="638">
        <v>60000</v>
      </c>
      <c r="Q1897" s="214"/>
    </row>
    <row r="1898" spans="1:17" ht="12" customHeight="1" x14ac:dyDescent="0.2">
      <c r="A1898" s="735" t="s">
        <v>6676</v>
      </c>
      <c r="B1898" s="735" t="s">
        <v>2170</v>
      </c>
      <c r="C1898" s="638" t="s">
        <v>451</v>
      </c>
      <c r="D1898" s="644" t="s">
        <v>3305</v>
      </c>
      <c r="E1898" s="751">
        <v>14000</v>
      </c>
      <c r="F1898" s="638" t="s">
        <v>7336</v>
      </c>
      <c r="G1898" s="644" t="s">
        <v>7337</v>
      </c>
      <c r="H1898" s="636" t="s">
        <v>6536</v>
      </c>
      <c r="I1898" s="636" t="s">
        <v>6548</v>
      </c>
      <c r="J1898" s="644" t="s">
        <v>6686</v>
      </c>
      <c r="K1898" s="739"/>
      <c r="L1898" s="638">
        <v>3</v>
      </c>
      <c r="M1898" s="638">
        <v>42000</v>
      </c>
      <c r="N1898" s="752"/>
      <c r="O1898" s="638"/>
      <c r="P1898" s="638"/>
      <c r="Q1898" s="214"/>
    </row>
    <row r="1899" spans="1:17" ht="12" customHeight="1" x14ac:dyDescent="0.2">
      <c r="A1899" s="735" t="s">
        <v>6676</v>
      </c>
      <c r="B1899" s="735" t="s">
        <v>2170</v>
      </c>
      <c r="C1899" s="638" t="s">
        <v>451</v>
      </c>
      <c r="D1899" s="644" t="s">
        <v>2636</v>
      </c>
      <c r="E1899" s="751">
        <v>6000</v>
      </c>
      <c r="F1899" s="638" t="s">
        <v>7338</v>
      </c>
      <c r="G1899" s="636" t="s">
        <v>7339</v>
      </c>
      <c r="H1899" s="636" t="s">
        <v>2384</v>
      </c>
      <c r="I1899" s="636" t="s">
        <v>3760</v>
      </c>
      <c r="J1899" s="644" t="s">
        <v>6680</v>
      </c>
      <c r="K1899" s="739"/>
      <c r="L1899" s="638">
        <v>12</v>
      </c>
      <c r="M1899" s="638">
        <v>72000</v>
      </c>
      <c r="N1899" s="752"/>
      <c r="O1899" s="638">
        <v>6</v>
      </c>
      <c r="P1899" s="638">
        <v>36000</v>
      </c>
      <c r="Q1899" s="214"/>
    </row>
    <row r="1900" spans="1:17" ht="12" customHeight="1" x14ac:dyDescent="0.2">
      <c r="A1900" s="735" t="s">
        <v>6676</v>
      </c>
      <c r="B1900" s="735" t="s">
        <v>2170</v>
      </c>
      <c r="C1900" s="638" t="s">
        <v>451</v>
      </c>
      <c r="D1900" s="644" t="s">
        <v>5503</v>
      </c>
      <c r="E1900" s="751">
        <v>8700</v>
      </c>
      <c r="F1900" s="638" t="s">
        <v>7340</v>
      </c>
      <c r="G1900" s="636" t="s">
        <v>7341</v>
      </c>
      <c r="H1900" s="636" t="s">
        <v>6684</v>
      </c>
      <c r="I1900" s="636" t="s">
        <v>6685</v>
      </c>
      <c r="J1900" s="644" t="s">
        <v>6686</v>
      </c>
      <c r="K1900" s="739"/>
      <c r="L1900" s="638">
        <v>12</v>
      </c>
      <c r="M1900" s="638">
        <v>104400</v>
      </c>
      <c r="N1900" s="752"/>
      <c r="O1900" s="638">
        <v>6</v>
      </c>
      <c r="P1900" s="638">
        <v>52200</v>
      </c>
      <c r="Q1900" s="214"/>
    </row>
    <row r="1901" spans="1:17" ht="12" customHeight="1" x14ac:dyDescent="0.2">
      <c r="A1901" s="735" t="s">
        <v>6676</v>
      </c>
      <c r="B1901" s="735" t="s">
        <v>2170</v>
      </c>
      <c r="C1901" s="638" t="s">
        <v>451</v>
      </c>
      <c r="D1901" s="644" t="s">
        <v>6681</v>
      </c>
      <c r="E1901" s="751">
        <v>9000</v>
      </c>
      <c r="F1901" s="638" t="s">
        <v>7342</v>
      </c>
      <c r="G1901" s="636" t="s">
        <v>7343</v>
      </c>
      <c r="H1901" s="636" t="s">
        <v>6684</v>
      </c>
      <c r="I1901" s="636" t="s">
        <v>6685</v>
      </c>
      <c r="J1901" s="644" t="s">
        <v>6686</v>
      </c>
      <c r="K1901" s="739"/>
      <c r="L1901" s="638">
        <v>12</v>
      </c>
      <c r="M1901" s="638">
        <v>108000</v>
      </c>
      <c r="N1901" s="752"/>
      <c r="O1901" s="638">
        <v>6</v>
      </c>
      <c r="P1901" s="638">
        <v>54000</v>
      </c>
      <c r="Q1901" s="214"/>
    </row>
    <row r="1902" spans="1:17" ht="12" customHeight="1" x14ac:dyDescent="0.2">
      <c r="A1902" s="735" t="s">
        <v>6676</v>
      </c>
      <c r="B1902" s="735" t="s">
        <v>2170</v>
      </c>
      <c r="C1902" s="638" t="s">
        <v>451</v>
      </c>
      <c r="D1902" s="644" t="s">
        <v>7344</v>
      </c>
      <c r="E1902" s="751">
        <v>3000</v>
      </c>
      <c r="F1902" s="638" t="s">
        <v>7345</v>
      </c>
      <c r="G1902" s="644" t="s">
        <v>7346</v>
      </c>
      <c r="H1902" s="636" t="s">
        <v>2253</v>
      </c>
      <c r="I1902" s="636" t="s">
        <v>2253</v>
      </c>
      <c r="J1902" s="644" t="s">
        <v>2253</v>
      </c>
      <c r="K1902" s="739"/>
      <c r="L1902" s="638"/>
      <c r="M1902" s="638"/>
      <c r="N1902" s="752"/>
      <c r="O1902" s="638">
        <v>6</v>
      </c>
      <c r="P1902" s="638">
        <v>18000</v>
      </c>
      <c r="Q1902" s="214"/>
    </row>
    <row r="1903" spans="1:17" ht="12" customHeight="1" x14ac:dyDescent="0.2">
      <c r="A1903" s="735" t="s">
        <v>6676</v>
      </c>
      <c r="B1903" s="735" t="s">
        <v>2170</v>
      </c>
      <c r="C1903" s="638" t="s">
        <v>451</v>
      </c>
      <c r="D1903" s="644" t="s">
        <v>6757</v>
      </c>
      <c r="E1903" s="751">
        <v>9000</v>
      </c>
      <c r="F1903" s="638" t="s">
        <v>7347</v>
      </c>
      <c r="G1903" s="636" t="s">
        <v>7348</v>
      </c>
      <c r="H1903" s="636" t="s">
        <v>6699</v>
      </c>
      <c r="I1903" s="636" t="s">
        <v>6685</v>
      </c>
      <c r="J1903" s="644" t="s">
        <v>6686</v>
      </c>
      <c r="K1903" s="739"/>
      <c r="L1903" s="638">
        <v>12</v>
      </c>
      <c r="M1903" s="638">
        <v>108000</v>
      </c>
      <c r="N1903" s="752"/>
      <c r="O1903" s="638">
        <v>6</v>
      </c>
      <c r="P1903" s="638">
        <v>54000</v>
      </c>
      <c r="Q1903" s="214"/>
    </row>
    <row r="1904" spans="1:17" ht="12" customHeight="1" x14ac:dyDescent="0.2">
      <c r="A1904" s="735" t="s">
        <v>6676</v>
      </c>
      <c r="B1904" s="735" t="s">
        <v>2170</v>
      </c>
      <c r="C1904" s="638" t="s">
        <v>451</v>
      </c>
      <c r="D1904" s="644" t="s">
        <v>5624</v>
      </c>
      <c r="E1904" s="751">
        <v>9000</v>
      </c>
      <c r="F1904" s="638" t="s">
        <v>7349</v>
      </c>
      <c r="G1904" s="636" t="s">
        <v>7350</v>
      </c>
      <c r="H1904" s="636" t="s">
        <v>6699</v>
      </c>
      <c r="I1904" s="636" t="s">
        <v>6685</v>
      </c>
      <c r="J1904" s="644" t="s">
        <v>6686</v>
      </c>
      <c r="K1904" s="739"/>
      <c r="L1904" s="638">
        <v>12</v>
      </c>
      <c r="M1904" s="638">
        <v>108000</v>
      </c>
      <c r="N1904" s="752"/>
      <c r="O1904" s="638">
        <v>6</v>
      </c>
      <c r="P1904" s="638">
        <v>54000</v>
      </c>
      <c r="Q1904" s="214"/>
    </row>
    <row r="1905" spans="1:17" ht="12" customHeight="1" x14ac:dyDescent="0.2">
      <c r="A1905" s="735" t="s">
        <v>6676</v>
      </c>
      <c r="B1905" s="735" t="s">
        <v>2170</v>
      </c>
      <c r="C1905" s="638" t="s">
        <v>451</v>
      </c>
      <c r="D1905" s="644" t="s">
        <v>5804</v>
      </c>
      <c r="E1905" s="751">
        <v>9500</v>
      </c>
      <c r="F1905" s="638" t="s">
        <v>7351</v>
      </c>
      <c r="G1905" s="636" t="s">
        <v>7352</v>
      </c>
      <c r="H1905" s="636" t="s">
        <v>6834</v>
      </c>
      <c r="I1905" s="636" t="s">
        <v>6685</v>
      </c>
      <c r="J1905" s="644" t="s">
        <v>6686</v>
      </c>
      <c r="K1905" s="739"/>
      <c r="L1905" s="638">
        <v>1</v>
      </c>
      <c r="M1905" s="638">
        <v>9500</v>
      </c>
      <c r="N1905" s="752"/>
      <c r="O1905" s="638"/>
      <c r="P1905" s="638"/>
      <c r="Q1905" s="214"/>
    </row>
    <row r="1906" spans="1:17" ht="12" customHeight="1" x14ac:dyDescent="0.2">
      <c r="A1906" s="735" t="s">
        <v>6676</v>
      </c>
      <c r="B1906" s="735" t="s">
        <v>2170</v>
      </c>
      <c r="C1906" s="638" t="s">
        <v>451</v>
      </c>
      <c r="D1906" s="644" t="s">
        <v>6318</v>
      </c>
      <c r="E1906" s="751">
        <v>11000</v>
      </c>
      <c r="F1906" s="638" t="s">
        <v>7351</v>
      </c>
      <c r="G1906" s="644" t="s">
        <v>7352</v>
      </c>
      <c r="H1906" s="636" t="s">
        <v>6834</v>
      </c>
      <c r="I1906" s="636" t="s">
        <v>6685</v>
      </c>
      <c r="J1906" s="644" t="s">
        <v>6686</v>
      </c>
      <c r="K1906" s="739"/>
      <c r="L1906" s="638">
        <v>11</v>
      </c>
      <c r="M1906" s="638">
        <v>121000</v>
      </c>
      <c r="N1906" s="752"/>
      <c r="O1906" s="638">
        <v>6</v>
      </c>
      <c r="P1906" s="638">
        <v>66000</v>
      </c>
      <c r="Q1906" s="214"/>
    </row>
    <row r="1907" spans="1:17" ht="12" customHeight="1" x14ac:dyDescent="0.2">
      <c r="A1907" s="735" t="s">
        <v>6676</v>
      </c>
      <c r="B1907" s="735" t="s">
        <v>2170</v>
      </c>
      <c r="C1907" s="638" t="s">
        <v>451</v>
      </c>
      <c r="D1907" s="644" t="s">
        <v>6229</v>
      </c>
      <c r="E1907" s="751">
        <v>8000</v>
      </c>
      <c r="F1907" s="638" t="s">
        <v>7353</v>
      </c>
      <c r="G1907" s="636" t="s">
        <v>7354</v>
      </c>
      <c r="H1907" s="636" t="s">
        <v>6571</v>
      </c>
      <c r="I1907" s="636" t="s">
        <v>6685</v>
      </c>
      <c r="J1907" s="644" t="s">
        <v>6686</v>
      </c>
      <c r="K1907" s="739"/>
      <c r="L1907" s="638">
        <v>12</v>
      </c>
      <c r="M1907" s="638">
        <v>96000</v>
      </c>
      <c r="N1907" s="752"/>
      <c r="O1907" s="638">
        <v>6</v>
      </c>
      <c r="P1907" s="638">
        <v>48000</v>
      </c>
      <c r="Q1907" s="214"/>
    </row>
    <row r="1908" spans="1:17" ht="12" customHeight="1" x14ac:dyDescent="0.2">
      <c r="A1908" s="735" t="s">
        <v>6676</v>
      </c>
      <c r="B1908" s="735" t="s">
        <v>2170</v>
      </c>
      <c r="C1908" s="638" t="s">
        <v>451</v>
      </c>
      <c r="D1908" s="644" t="s">
        <v>7016</v>
      </c>
      <c r="E1908" s="751">
        <v>10000</v>
      </c>
      <c r="F1908" s="638" t="s">
        <v>7355</v>
      </c>
      <c r="G1908" s="644" t="s">
        <v>7356</v>
      </c>
      <c r="H1908" s="636" t="s">
        <v>6699</v>
      </c>
      <c r="I1908" s="636" t="s">
        <v>6685</v>
      </c>
      <c r="J1908" s="644" t="s">
        <v>6686</v>
      </c>
      <c r="K1908" s="739"/>
      <c r="L1908" s="638"/>
      <c r="M1908" s="638"/>
      <c r="N1908" s="752"/>
      <c r="O1908" s="638">
        <v>1</v>
      </c>
      <c r="P1908" s="638">
        <v>10000</v>
      </c>
      <c r="Q1908" s="214"/>
    </row>
    <row r="1909" spans="1:17" ht="12" customHeight="1" x14ac:dyDescent="0.2">
      <c r="A1909" s="735" t="s">
        <v>6676</v>
      </c>
      <c r="B1909" s="735" t="s">
        <v>2170</v>
      </c>
      <c r="C1909" s="638" t="s">
        <v>451</v>
      </c>
      <c r="D1909" s="644" t="s">
        <v>7281</v>
      </c>
      <c r="E1909" s="751">
        <v>12000</v>
      </c>
      <c r="F1909" s="638" t="s">
        <v>7357</v>
      </c>
      <c r="G1909" s="644" t="s">
        <v>7358</v>
      </c>
      <c r="H1909" s="636" t="s">
        <v>2179</v>
      </c>
      <c r="I1909" s="636" t="s">
        <v>6685</v>
      </c>
      <c r="J1909" s="644" t="s">
        <v>6686</v>
      </c>
      <c r="K1909" s="739"/>
      <c r="L1909" s="638">
        <v>3</v>
      </c>
      <c r="M1909" s="638">
        <v>36000</v>
      </c>
      <c r="N1909" s="752"/>
      <c r="O1909" s="638"/>
      <c r="P1909" s="638"/>
      <c r="Q1909" s="214"/>
    </row>
    <row r="1910" spans="1:17" ht="12" customHeight="1" x14ac:dyDescent="0.2">
      <c r="A1910" s="735" t="s">
        <v>6676</v>
      </c>
      <c r="B1910" s="735" t="s">
        <v>2170</v>
      </c>
      <c r="C1910" s="638" t="s">
        <v>451</v>
      </c>
      <c r="D1910" s="644" t="s">
        <v>6779</v>
      </c>
      <c r="E1910" s="751">
        <v>14000</v>
      </c>
      <c r="F1910" s="638" t="s">
        <v>7359</v>
      </c>
      <c r="G1910" s="644" t="s">
        <v>7360</v>
      </c>
      <c r="H1910" s="636" t="s">
        <v>6537</v>
      </c>
      <c r="I1910" s="636" t="s">
        <v>6548</v>
      </c>
      <c r="J1910" s="644" t="s">
        <v>6686</v>
      </c>
      <c r="K1910" s="739"/>
      <c r="L1910" s="638"/>
      <c r="M1910" s="638"/>
      <c r="N1910" s="752"/>
      <c r="O1910" s="638">
        <v>6</v>
      </c>
      <c r="P1910" s="638">
        <v>84000</v>
      </c>
      <c r="Q1910" s="214"/>
    </row>
    <row r="1911" spans="1:17" ht="12" customHeight="1" x14ac:dyDescent="0.2">
      <c r="A1911" s="735" t="s">
        <v>6676</v>
      </c>
      <c r="B1911" s="735" t="s">
        <v>2170</v>
      </c>
      <c r="C1911" s="638" t="s">
        <v>451</v>
      </c>
      <c r="D1911" s="644" t="s">
        <v>2918</v>
      </c>
      <c r="E1911" s="751">
        <v>8500</v>
      </c>
      <c r="F1911" s="638" t="s">
        <v>7361</v>
      </c>
      <c r="G1911" s="644" t="s">
        <v>7362</v>
      </c>
      <c r="H1911" s="636" t="s">
        <v>7363</v>
      </c>
      <c r="I1911" s="636" t="s">
        <v>6685</v>
      </c>
      <c r="J1911" s="644" t="s">
        <v>6686</v>
      </c>
      <c r="K1911" s="739"/>
      <c r="L1911" s="638"/>
      <c r="M1911" s="638"/>
      <c r="N1911" s="752"/>
      <c r="O1911" s="638">
        <v>6</v>
      </c>
      <c r="P1911" s="638">
        <v>51000</v>
      </c>
      <c r="Q1911" s="214"/>
    </row>
    <row r="1912" spans="1:17" ht="12" customHeight="1" x14ac:dyDescent="0.2">
      <c r="A1912" s="735" t="s">
        <v>6676</v>
      </c>
      <c r="B1912" s="735" t="s">
        <v>2170</v>
      </c>
      <c r="C1912" s="638" t="s">
        <v>451</v>
      </c>
      <c r="D1912" s="644" t="s">
        <v>6735</v>
      </c>
      <c r="E1912" s="751">
        <v>3500</v>
      </c>
      <c r="F1912" s="638" t="s">
        <v>7364</v>
      </c>
      <c r="G1912" s="636" t="s">
        <v>7365</v>
      </c>
      <c r="H1912" s="636" t="s">
        <v>6684</v>
      </c>
      <c r="I1912" s="636" t="s">
        <v>6685</v>
      </c>
      <c r="J1912" s="644" t="s">
        <v>6686</v>
      </c>
      <c r="K1912" s="739"/>
      <c r="L1912" s="638">
        <v>12</v>
      </c>
      <c r="M1912" s="638">
        <v>42000</v>
      </c>
      <c r="N1912" s="752"/>
      <c r="O1912" s="638">
        <v>6</v>
      </c>
      <c r="P1912" s="638">
        <v>21000</v>
      </c>
      <c r="Q1912" s="214"/>
    </row>
    <row r="1913" spans="1:17" ht="12" customHeight="1" x14ac:dyDescent="0.2">
      <c r="A1913" s="735" t="s">
        <v>6676</v>
      </c>
      <c r="B1913" s="735" t="s">
        <v>2170</v>
      </c>
      <c r="C1913" s="638" t="s">
        <v>451</v>
      </c>
      <c r="D1913" s="644" t="s">
        <v>6229</v>
      </c>
      <c r="E1913" s="751">
        <v>9000</v>
      </c>
      <c r="F1913" s="638" t="s">
        <v>7366</v>
      </c>
      <c r="G1913" s="636" t="s">
        <v>7367</v>
      </c>
      <c r="H1913" s="636" t="s">
        <v>2236</v>
      </c>
      <c r="I1913" s="636" t="s">
        <v>6685</v>
      </c>
      <c r="J1913" s="644" t="s">
        <v>6686</v>
      </c>
      <c r="K1913" s="739"/>
      <c r="L1913" s="638">
        <v>9</v>
      </c>
      <c r="M1913" s="638">
        <v>81000</v>
      </c>
      <c r="N1913" s="752"/>
      <c r="O1913" s="638"/>
      <c r="P1913" s="638"/>
      <c r="Q1913" s="214"/>
    </row>
    <row r="1914" spans="1:17" ht="12" customHeight="1" x14ac:dyDescent="0.2">
      <c r="A1914" s="735" t="s">
        <v>6676</v>
      </c>
      <c r="B1914" s="735" t="s">
        <v>2170</v>
      </c>
      <c r="C1914" s="638" t="s">
        <v>451</v>
      </c>
      <c r="D1914" s="644" t="s">
        <v>6797</v>
      </c>
      <c r="E1914" s="751">
        <v>9000</v>
      </c>
      <c r="F1914" s="638" t="s">
        <v>7368</v>
      </c>
      <c r="G1914" s="636" t="s">
        <v>7369</v>
      </c>
      <c r="H1914" s="636" t="s">
        <v>6684</v>
      </c>
      <c r="I1914" s="636" t="s">
        <v>6685</v>
      </c>
      <c r="J1914" s="644" t="s">
        <v>6686</v>
      </c>
      <c r="K1914" s="739"/>
      <c r="L1914" s="638">
        <v>12</v>
      </c>
      <c r="M1914" s="638">
        <v>108000</v>
      </c>
      <c r="N1914" s="752"/>
      <c r="O1914" s="638">
        <v>6</v>
      </c>
      <c r="P1914" s="638">
        <v>54000</v>
      </c>
      <c r="Q1914" s="214"/>
    </row>
    <row r="1915" spans="1:17" ht="12" customHeight="1" x14ac:dyDescent="0.2">
      <c r="A1915" s="735" t="s">
        <v>6676</v>
      </c>
      <c r="B1915" s="735" t="s">
        <v>2170</v>
      </c>
      <c r="C1915" s="638" t="s">
        <v>451</v>
      </c>
      <c r="D1915" s="644" t="s">
        <v>6693</v>
      </c>
      <c r="E1915" s="751">
        <v>5000</v>
      </c>
      <c r="F1915" s="638" t="s">
        <v>7370</v>
      </c>
      <c r="G1915" s="636" t="s">
        <v>7371</v>
      </c>
      <c r="H1915" s="636" t="s">
        <v>7372</v>
      </c>
      <c r="I1915" s="636" t="s">
        <v>6685</v>
      </c>
      <c r="J1915" s="644" t="s">
        <v>6686</v>
      </c>
      <c r="K1915" s="739"/>
      <c r="L1915" s="638">
        <v>12</v>
      </c>
      <c r="M1915" s="638">
        <v>60000</v>
      </c>
      <c r="N1915" s="752"/>
      <c r="O1915" s="638">
        <v>6</v>
      </c>
      <c r="P1915" s="638">
        <v>30000</v>
      </c>
      <c r="Q1915" s="214"/>
    </row>
    <row r="1916" spans="1:17" ht="12" customHeight="1" x14ac:dyDescent="0.2">
      <c r="A1916" s="735" t="s">
        <v>6676</v>
      </c>
      <c r="B1916" s="735" t="s">
        <v>2170</v>
      </c>
      <c r="C1916" s="638" t="s">
        <v>451</v>
      </c>
      <c r="D1916" s="644" t="s">
        <v>6725</v>
      </c>
      <c r="E1916" s="751">
        <v>8500</v>
      </c>
      <c r="F1916" s="638" t="s">
        <v>7373</v>
      </c>
      <c r="G1916" s="636" t="s">
        <v>7374</v>
      </c>
      <c r="H1916" s="636" t="s">
        <v>2317</v>
      </c>
      <c r="I1916" s="636" t="s">
        <v>6685</v>
      </c>
      <c r="J1916" s="644" t="s">
        <v>6686</v>
      </c>
      <c r="K1916" s="739"/>
      <c r="L1916" s="638">
        <v>1</v>
      </c>
      <c r="M1916" s="638">
        <v>8500</v>
      </c>
      <c r="N1916" s="752"/>
      <c r="O1916" s="638"/>
      <c r="P1916" s="638"/>
      <c r="Q1916" s="214"/>
    </row>
    <row r="1917" spans="1:17" ht="12" customHeight="1" x14ac:dyDescent="0.2">
      <c r="A1917" s="735" t="s">
        <v>6676</v>
      </c>
      <c r="B1917" s="735" t="s">
        <v>2170</v>
      </c>
      <c r="C1917" s="638" t="s">
        <v>451</v>
      </c>
      <c r="D1917" s="644" t="s">
        <v>6875</v>
      </c>
      <c r="E1917" s="751">
        <v>8000</v>
      </c>
      <c r="F1917" s="638" t="s">
        <v>7375</v>
      </c>
      <c r="G1917" s="636" t="s">
        <v>7376</v>
      </c>
      <c r="H1917" s="636" t="s">
        <v>6668</v>
      </c>
      <c r="I1917" s="636" t="s">
        <v>6685</v>
      </c>
      <c r="J1917" s="644" t="s">
        <v>6686</v>
      </c>
      <c r="K1917" s="739"/>
      <c r="L1917" s="638">
        <v>12</v>
      </c>
      <c r="M1917" s="638">
        <v>96000</v>
      </c>
      <c r="N1917" s="752"/>
      <c r="O1917" s="638"/>
      <c r="P1917" s="638"/>
      <c r="Q1917" s="214"/>
    </row>
    <row r="1918" spans="1:17" ht="12" customHeight="1" x14ac:dyDescent="0.2">
      <c r="A1918" s="735" t="s">
        <v>6676</v>
      </c>
      <c r="B1918" s="735" t="s">
        <v>2170</v>
      </c>
      <c r="C1918" s="638" t="s">
        <v>451</v>
      </c>
      <c r="D1918" s="644" t="s">
        <v>7222</v>
      </c>
      <c r="E1918" s="751">
        <v>9000</v>
      </c>
      <c r="F1918" s="638" t="s">
        <v>7375</v>
      </c>
      <c r="G1918" s="644" t="s">
        <v>7376</v>
      </c>
      <c r="H1918" s="636" t="s">
        <v>6668</v>
      </c>
      <c r="I1918" s="636" t="s">
        <v>6685</v>
      </c>
      <c r="J1918" s="644" t="s">
        <v>6686</v>
      </c>
      <c r="K1918" s="739"/>
      <c r="L1918" s="638"/>
      <c r="M1918" s="638"/>
      <c r="N1918" s="752"/>
      <c r="O1918" s="638">
        <v>6</v>
      </c>
      <c r="P1918" s="638">
        <v>54000</v>
      </c>
      <c r="Q1918" s="214"/>
    </row>
    <row r="1919" spans="1:17" ht="12" customHeight="1" x14ac:dyDescent="0.2">
      <c r="A1919" s="735" t="s">
        <v>6676</v>
      </c>
      <c r="B1919" s="735" t="s">
        <v>2170</v>
      </c>
      <c r="C1919" s="638" t="s">
        <v>451</v>
      </c>
      <c r="D1919" s="644" t="s">
        <v>6875</v>
      </c>
      <c r="E1919" s="751">
        <v>10000</v>
      </c>
      <c r="F1919" s="638" t="s">
        <v>7377</v>
      </c>
      <c r="G1919" s="636" t="s">
        <v>7378</v>
      </c>
      <c r="H1919" s="636" t="s">
        <v>6684</v>
      </c>
      <c r="I1919" s="636" t="s">
        <v>6685</v>
      </c>
      <c r="J1919" s="644" t="s">
        <v>6686</v>
      </c>
      <c r="K1919" s="739"/>
      <c r="L1919" s="638">
        <v>7</v>
      </c>
      <c r="M1919" s="638">
        <v>70000</v>
      </c>
      <c r="N1919" s="752"/>
      <c r="O1919" s="638"/>
      <c r="P1919" s="638"/>
      <c r="Q1919" s="214"/>
    </row>
    <row r="1920" spans="1:17" ht="12" customHeight="1" x14ac:dyDescent="0.2">
      <c r="A1920" s="735" t="s">
        <v>6676</v>
      </c>
      <c r="B1920" s="735" t="s">
        <v>2170</v>
      </c>
      <c r="C1920" s="638" t="s">
        <v>451</v>
      </c>
      <c r="D1920" s="644" t="s">
        <v>6889</v>
      </c>
      <c r="E1920" s="751">
        <v>10000</v>
      </c>
      <c r="F1920" s="638" t="s">
        <v>7377</v>
      </c>
      <c r="G1920" s="644" t="s">
        <v>7378</v>
      </c>
      <c r="H1920" s="636" t="s">
        <v>6684</v>
      </c>
      <c r="I1920" s="636" t="s">
        <v>6685</v>
      </c>
      <c r="J1920" s="644" t="s">
        <v>6686</v>
      </c>
      <c r="K1920" s="739"/>
      <c r="L1920" s="638"/>
      <c r="M1920" s="638"/>
      <c r="N1920" s="752"/>
      <c r="O1920" s="638">
        <v>6</v>
      </c>
      <c r="P1920" s="638">
        <v>60000</v>
      </c>
      <c r="Q1920" s="214"/>
    </row>
    <row r="1921" spans="1:17" ht="12" customHeight="1" x14ac:dyDescent="0.2">
      <c r="A1921" s="735" t="s">
        <v>6676</v>
      </c>
      <c r="B1921" s="735" t="s">
        <v>2170</v>
      </c>
      <c r="C1921" s="638" t="s">
        <v>451</v>
      </c>
      <c r="D1921" s="644" t="s">
        <v>7379</v>
      </c>
      <c r="E1921" s="751">
        <v>7000</v>
      </c>
      <c r="F1921" s="638" t="s">
        <v>7380</v>
      </c>
      <c r="G1921" s="636" t="s">
        <v>7381</v>
      </c>
      <c r="H1921" s="636" t="s">
        <v>2189</v>
      </c>
      <c r="I1921" s="636" t="s">
        <v>6685</v>
      </c>
      <c r="J1921" s="644" t="s">
        <v>6686</v>
      </c>
      <c r="K1921" s="739"/>
      <c r="L1921" s="638">
        <v>12</v>
      </c>
      <c r="M1921" s="638">
        <v>84000</v>
      </c>
      <c r="N1921" s="752"/>
      <c r="O1921" s="638">
        <v>6</v>
      </c>
      <c r="P1921" s="638">
        <v>42000</v>
      </c>
      <c r="Q1921" s="214"/>
    </row>
    <row r="1922" spans="1:17" ht="12" customHeight="1" x14ac:dyDescent="0.2">
      <c r="A1922" s="735" t="s">
        <v>6676</v>
      </c>
      <c r="B1922" s="735" t="s">
        <v>2170</v>
      </c>
      <c r="C1922" s="638" t="s">
        <v>451</v>
      </c>
      <c r="D1922" s="644" t="s">
        <v>2591</v>
      </c>
      <c r="E1922" s="751">
        <v>15600</v>
      </c>
      <c r="F1922" s="638" t="s">
        <v>4309</v>
      </c>
      <c r="G1922" s="644" t="s">
        <v>7382</v>
      </c>
      <c r="H1922" s="636" t="s">
        <v>3915</v>
      </c>
      <c r="I1922" s="636" t="s">
        <v>6548</v>
      </c>
      <c r="J1922" s="644" t="s">
        <v>6686</v>
      </c>
      <c r="K1922" s="739"/>
      <c r="L1922" s="638">
        <v>2</v>
      </c>
      <c r="M1922" s="638">
        <v>31200</v>
      </c>
      <c r="N1922" s="752"/>
      <c r="O1922" s="638"/>
      <c r="P1922" s="638"/>
      <c r="Q1922" s="214"/>
    </row>
    <row r="1923" spans="1:17" ht="12" customHeight="1" x14ac:dyDescent="0.2">
      <c r="A1923" s="735" t="s">
        <v>6676</v>
      </c>
      <c r="B1923" s="735" t="s">
        <v>2170</v>
      </c>
      <c r="C1923" s="638" t="s">
        <v>451</v>
      </c>
      <c r="D1923" s="644" t="s">
        <v>2258</v>
      </c>
      <c r="E1923" s="751">
        <v>5000</v>
      </c>
      <c r="F1923" s="638" t="s">
        <v>7383</v>
      </c>
      <c r="G1923" s="636" t="s">
        <v>7384</v>
      </c>
      <c r="H1923" s="636" t="s">
        <v>6608</v>
      </c>
      <c r="I1923" s="636" t="s">
        <v>6685</v>
      </c>
      <c r="J1923" s="644" t="s">
        <v>6686</v>
      </c>
      <c r="K1923" s="739"/>
      <c r="L1923" s="638">
        <v>12</v>
      </c>
      <c r="M1923" s="638">
        <v>60000</v>
      </c>
      <c r="N1923" s="752"/>
      <c r="O1923" s="638">
        <v>6</v>
      </c>
      <c r="P1923" s="638">
        <v>30000</v>
      </c>
      <c r="Q1923" s="214"/>
    </row>
    <row r="1924" spans="1:17" ht="12" customHeight="1" x14ac:dyDescent="0.2">
      <c r="A1924" s="735" t="s">
        <v>6676</v>
      </c>
      <c r="B1924" s="735" t="s">
        <v>2170</v>
      </c>
      <c r="C1924" s="638" t="s">
        <v>451</v>
      </c>
      <c r="D1924" s="644" t="s">
        <v>6717</v>
      </c>
      <c r="E1924" s="751">
        <v>9000</v>
      </c>
      <c r="F1924" s="638" t="s">
        <v>7385</v>
      </c>
      <c r="G1924" s="636" t="s">
        <v>7386</v>
      </c>
      <c r="H1924" s="636" t="s">
        <v>6684</v>
      </c>
      <c r="I1924" s="636" t="s">
        <v>6685</v>
      </c>
      <c r="J1924" s="644" t="s">
        <v>6686</v>
      </c>
      <c r="K1924" s="739"/>
      <c r="L1924" s="638">
        <v>12</v>
      </c>
      <c r="M1924" s="638">
        <v>108000</v>
      </c>
      <c r="N1924" s="752"/>
      <c r="O1924" s="638">
        <v>6</v>
      </c>
      <c r="P1924" s="638">
        <v>54000</v>
      </c>
      <c r="Q1924" s="214"/>
    </row>
    <row r="1925" spans="1:17" ht="12" customHeight="1" x14ac:dyDescent="0.2">
      <c r="A1925" s="735" t="s">
        <v>6676</v>
      </c>
      <c r="B1925" s="735" t="s">
        <v>2170</v>
      </c>
      <c r="C1925" s="638" t="s">
        <v>451</v>
      </c>
      <c r="D1925" s="644" t="s">
        <v>6700</v>
      </c>
      <c r="E1925" s="751">
        <v>3500</v>
      </c>
      <c r="F1925" s="638" t="s">
        <v>7387</v>
      </c>
      <c r="G1925" s="644" t="s">
        <v>7388</v>
      </c>
      <c r="H1925" s="636" t="s">
        <v>6536</v>
      </c>
      <c r="I1925" s="636" t="s">
        <v>6548</v>
      </c>
      <c r="J1925" s="644" t="s">
        <v>6686</v>
      </c>
      <c r="K1925" s="739"/>
      <c r="L1925" s="638">
        <v>4</v>
      </c>
      <c r="M1925" s="638">
        <v>14000</v>
      </c>
      <c r="N1925" s="752"/>
      <c r="O1925" s="638"/>
      <c r="P1925" s="638"/>
      <c r="Q1925" s="214"/>
    </row>
    <row r="1926" spans="1:17" ht="12" customHeight="1" x14ac:dyDescent="0.2">
      <c r="A1926" s="735" t="s">
        <v>6676</v>
      </c>
      <c r="B1926" s="735" t="s">
        <v>2170</v>
      </c>
      <c r="C1926" s="638" t="s">
        <v>451</v>
      </c>
      <c r="D1926" s="644" t="s">
        <v>3444</v>
      </c>
      <c r="E1926" s="751">
        <v>3500</v>
      </c>
      <c r="F1926" s="638" t="s">
        <v>7389</v>
      </c>
      <c r="G1926" s="644" t="s">
        <v>7390</v>
      </c>
      <c r="H1926" s="636" t="s">
        <v>6536</v>
      </c>
      <c r="I1926" s="636" t="s">
        <v>6548</v>
      </c>
      <c r="J1926" s="644" t="s">
        <v>6686</v>
      </c>
      <c r="K1926" s="739"/>
      <c r="L1926" s="638"/>
      <c r="M1926" s="638"/>
      <c r="N1926" s="752"/>
      <c r="O1926" s="638">
        <v>6</v>
      </c>
      <c r="P1926" s="638">
        <v>21000</v>
      </c>
      <c r="Q1926" s="214"/>
    </row>
    <row r="1927" spans="1:17" ht="12" customHeight="1" x14ac:dyDescent="0.2">
      <c r="A1927" s="735" t="s">
        <v>6676</v>
      </c>
      <c r="B1927" s="735" t="s">
        <v>2170</v>
      </c>
      <c r="C1927" s="638" t="s">
        <v>451</v>
      </c>
      <c r="D1927" s="644" t="s">
        <v>7391</v>
      </c>
      <c r="E1927" s="751">
        <v>8000</v>
      </c>
      <c r="F1927" s="638" t="s">
        <v>7392</v>
      </c>
      <c r="G1927" s="636" t="s">
        <v>7393</v>
      </c>
      <c r="H1927" s="636" t="s">
        <v>2384</v>
      </c>
      <c r="I1927" s="636" t="s">
        <v>3760</v>
      </c>
      <c r="J1927" s="644" t="s">
        <v>6680</v>
      </c>
      <c r="K1927" s="739"/>
      <c r="L1927" s="638">
        <v>4</v>
      </c>
      <c r="M1927" s="638">
        <v>32000</v>
      </c>
      <c r="N1927" s="752"/>
      <c r="O1927" s="638"/>
      <c r="P1927" s="638"/>
      <c r="Q1927" s="214"/>
    </row>
    <row r="1928" spans="1:17" ht="12" customHeight="1" x14ac:dyDescent="0.2">
      <c r="A1928" s="735" t="s">
        <v>6676</v>
      </c>
      <c r="B1928" s="735" t="s">
        <v>2170</v>
      </c>
      <c r="C1928" s="638" t="s">
        <v>451</v>
      </c>
      <c r="D1928" s="644" t="s">
        <v>2258</v>
      </c>
      <c r="E1928" s="751">
        <v>5000</v>
      </c>
      <c r="F1928" s="638" t="s">
        <v>7394</v>
      </c>
      <c r="G1928" s="636" t="s">
        <v>7395</v>
      </c>
      <c r="H1928" s="636" t="s">
        <v>7082</v>
      </c>
      <c r="I1928" s="636" t="s">
        <v>6685</v>
      </c>
      <c r="J1928" s="644" t="s">
        <v>6686</v>
      </c>
      <c r="K1928" s="739"/>
      <c r="L1928" s="638">
        <v>12</v>
      </c>
      <c r="M1928" s="638">
        <v>60000</v>
      </c>
      <c r="N1928" s="752"/>
      <c r="O1928" s="638">
        <v>6</v>
      </c>
      <c r="P1928" s="638">
        <v>30000</v>
      </c>
      <c r="Q1928" s="214"/>
    </row>
    <row r="1929" spans="1:17" ht="12" customHeight="1" x14ac:dyDescent="0.2">
      <c r="A1929" s="735" t="s">
        <v>6676</v>
      </c>
      <c r="B1929" s="735" t="s">
        <v>2170</v>
      </c>
      <c r="C1929" s="638" t="s">
        <v>451</v>
      </c>
      <c r="D1929" s="644" t="s">
        <v>6818</v>
      </c>
      <c r="E1929" s="751">
        <v>3500</v>
      </c>
      <c r="F1929" s="638" t="s">
        <v>7396</v>
      </c>
      <c r="G1929" s="644" t="s">
        <v>7397</v>
      </c>
      <c r="H1929" s="636" t="s">
        <v>6707</v>
      </c>
      <c r="I1929" s="636" t="s">
        <v>6685</v>
      </c>
      <c r="J1929" s="644" t="s">
        <v>6686</v>
      </c>
      <c r="K1929" s="739"/>
      <c r="L1929" s="638"/>
      <c r="M1929" s="638"/>
      <c r="N1929" s="752"/>
      <c r="O1929" s="638">
        <v>6</v>
      </c>
      <c r="P1929" s="638">
        <v>21000</v>
      </c>
      <c r="Q1929" s="214"/>
    </row>
    <row r="1930" spans="1:17" ht="12" customHeight="1" x14ac:dyDescent="0.2">
      <c r="A1930" s="735" t="s">
        <v>6676</v>
      </c>
      <c r="B1930" s="735" t="s">
        <v>2170</v>
      </c>
      <c r="C1930" s="638" t="s">
        <v>451</v>
      </c>
      <c r="D1930" s="644" t="s">
        <v>6681</v>
      </c>
      <c r="E1930" s="751">
        <v>9000</v>
      </c>
      <c r="F1930" s="638" t="s">
        <v>7398</v>
      </c>
      <c r="G1930" s="636" t="s">
        <v>7399</v>
      </c>
      <c r="H1930" s="636" t="s">
        <v>6684</v>
      </c>
      <c r="I1930" s="636" t="s">
        <v>6685</v>
      </c>
      <c r="J1930" s="644" t="s">
        <v>6686</v>
      </c>
      <c r="K1930" s="739"/>
      <c r="L1930" s="638">
        <v>2</v>
      </c>
      <c r="M1930" s="638">
        <v>18000</v>
      </c>
      <c r="N1930" s="752"/>
      <c r="O1930" s="638"/>
      <c r="P1930" s="638"/>
      <c r="Q1930" s="214"/>
    </row>
    <row r="1931" spans="1:17" ht="12" customHeight="1" x14ac:dyDescent="0.2">
      <c r="A1931" s="735" t="s">
        <v>6676</v>
      </c>
      <c r="B1931" s="735" t="s">
        <v>2170</v>
      </c>
      <c r="C1931" s="638" t="s">
        <v>451</v>
      </c>
      <c r="D1931" s="644" t="s">
        <v>7400</v>
      </c>
      <c r="E1931" s="751">
        <v>11000</v>
      </c>
      <c r="F1931" s="638" t="s">
        <v>7401</v>
      </c>
      <c r="G1931" s="636" t="s">
        <v>7402</v>
      </c>
      <c r="H1931" s="636" t="s">
        <v>6765</v>
      </c>
      <c r="I1931" s="636" t="s">
        <v>6685</v>
      </c>
      <c r="J1931" s="644" t="s">
        <v>6686</v>
      </c>
      <c r="K1931" s="739"/>
      <c r="L1931" s="638">
        <v>12</v>
      </c>
      <c r="M1931" s="638">
        <v>132000</v>
      </c>
      <c r="N1931" s="752"/>
      <c r="O1931" s="638">
        <v>6</v>
      </c>
      <c r="P1931" s="638">
        <v>66000</v>
      </c>
      <c r="Q1931" s="214"/>
    </row>
    <row r="1932" spans="1:17" ht="12" customHeight="1" x14ac:dyDescent="0.2">
      <c r="A1932" s="735" t="s">
        <v>6676</v>
      </c>
      <c r="B1932" s="735" t="s">
        <v>2170</v>
      </c>
      <c r="C1932" s="638" t="s">
        <v>451</v>
      </c>
      <c r="D1932" s="644" t="s">
        <v>7403</v>
      </c>
      <c r="E1932" s="751">
        <v>14000</v>
      </c>
      <c r="F1932" s="638" t="s">
        <v>7404</v>
      </c>
      <c r="G1932" s="636" t="s">
        <v>7405</v>
      </c>
      <c r="H1932" s="636" t="s">
        <v>2236</v>
      </c>
      <c r="I1932" s="636" t="s">
        <v>6685</v>
      </c>
      <c r="J1932" s="644" t="s">
        <v>6686</v>
      </c>
      <c r="K1932" s="739"/>
      <c r="L1932" s="638">
        <v>12</v>
      </c>
      <c r="M1932" s="638">
        <v>168000</v>
      </c>
      <c r="N1932" s="752"/>
      <c r="O1932" s="638">
        <v>6</v>
      </c>
      <c r="P1932" s="638">
        <v>84000</v>
      </c>
      <c r="Q1932" s="214"/>
    </row>
    <row r="1933" spans="1:17" ht="12" customHeight="1" x14ac:dyDescent="0.2">
      <c r="A1933" s="735" t="s">
        <v>6676</v>
      </c>
      <c r="B1933" s="735" t="s">
        <v>2170</v>
      </c>
      <c r="C1933" s="638" t="s">
        <v>451</v>
      </c>
      <c r="D1933" s="644" t="s">
        <v>6690</v>
      </c>
      <c r="E1933" s="751">
        <v>8500</v>
      </c>
      <c r="F1933" s="638" t="s">
        <v>7406</v>
      </c>
      <c r="G1933" s="636" t="s">
        <v>7407</v>
      </c>
      <c r="H1933" s="636" t="s">
        <v>7408</v>
      </c>
      <c r="I1933" s="636" t="s">
        <v>6685</v>
      </c>
      <c r="J1933" s="644" t="s">
        <v>6686</v>
      </c>
      <c r="K1933" s="739"/>
      <c r="L1933" s="638">
        <v>12</v>
      </c>
      <c r="M1933" s="638">
        <v>102000</v>
      </c>
      <c r="N1933" s="752"/>
      <c r="O1933" s="638">
        <v>6</v>
      </c>
      <c r="P1933" s="638">
        <v>51000</v>
      </c>
      <c r="Q1933" s="214"/>
    </row>
    <row r="1934" spans="1:17" ht="12" customHeight="1" x14ac:dyDescent="0.2">
      <c r="A1934" s="735" t="s">
        <v>6676</v>
      </c>
      <c r="B1934" s="735" t="s">
        <v>2170</v>
      </c>
      <c r="C1934" s="638" t="s">
        <v>451</v>
      </c>
      <c r="D1934" s="644" t="s">
        <v>6725</v>
      </c>
      <c r="E1934" s="751">
        <v>8500</v>
      </c>
      <c r="F1934" s="638" t="s">
        <v>7409</v>
      </c>
      <c r="G1934" s="636" t="s">
        <v>7410</v>
      </c>
      <c r="H1934" s="636" t="s">
        <v>6765</v>
      </c>
      <c r="I1934" s="636" t="s">
        <v>6685</v>
      </c>
      <c r="J1934" s="644" t="s">
        <v>6686</v>
      </c>
      <c r="K1934" s="739"/>
      <c r="L1934" s="638">
        <v>12</v>
      </c>
      <c r="M1934" s="638">
        <v>102000</v>
      </c>
      <c r="N1934" s="752"/>
      <c r="O1934" s="638">
        <v>6</v>
      </c>
      <c r="P1934" s="638">
        <v>51000</v>
      </c>
      <c r="Q1934" s="214"/>
    </row>
    <row r="1935" spans="1:17" ht="12" customHeight="1" x14ac:dyDescent="0.2">
      <c r="A1935" s="735" t="s">
        <v>6676</v>
      </c>
      <c r="B1935" s="735" t="s">
        <v>2170</v>
      </c>
      <c r="C1935" s="638" t="s">
        <v>451</v>
      </c>
      <c r="D1935" s="644" t="s">
        <v>6734</v>
      </c>
      <c r="E1935" s="751">
        <v>10000</v>
      </c>
      <c r="F1935" s="638" t="s">
        <v>7411</v>
      </c>
      <c r="G1935" s="644" t="s">
        <v>7412</v>
      </c>
      <c r="H1935" s="636" t="s">
        <v>6536</v>
      </c>
      <c r="I1935" s="636" t="s">
        <v>6548</v>
      </c>
      <c r="J1935" s="644" t="s">
        <v>6686</v>
      </c>
      <c r="K1935" s="739"/>
      <c r="L1935" s="638"/>
      <c r="M1935" s="638"/>
      <c r="N1935" s="752"/>
      <c r="O1935" s="638">
        <v>6</v>
      </c>
      <c r="P1935" s="638">
        <v>60000</v>
      </c>
      <c r="Q1935" s="214"/>
    </row>
    <row r="1936" spans="1:17" ht="12" customHeight="1" x14ac:dyDescent="0.2">
      <c r="A1936" s="735" t="s">
        <v>6676</v>
      </c>
      <c r="B1936" s="735" t="s">
        <v>2170</v>
      </c>
      <c r="C1936" s="638" t="s">
        <v>451</v>
      </c>
      <c r="D1936" s="644" t="s">
        <v>7413</v>
      </c>
      <c r="E1936" s="751">
        <v>10000</v>
      </c>
      <c r="F1936" s="638" t="s">
        <v>7414</v>
      </c>
      <c r="G1936" s="636" t="s">
        <v>7415</v>
      </c>
      <c r="H1936" s="636" t="s">
        <v>2317</v>
      </c>
      <c r="I1936" s="636" t="s">
        <v>6685</v>
      </c>
      <c r="J1936" s="644" t="s">
        <v>6686</v>
      </c>
      <c r="K1936" s="739"/>
      <c r="L1936" s="638">
        <v>12</v>
      </c>
      <c r="M1936" s="638">
        <v>120000</v>
      </c>
      <c r="N1936" s="752"/>
      <c r="O1936" s="638">
        <v>6</v>
      </c>
      <c r="P1936" s="638">
        <v>60000</v>
      </c>
      <c r="Q1936" s="214"/>
    </row>
    <row r="1937" spans="1:17" ht="12" customHeight="1" x14ac:dyDescent="0.2">
      <c r="A1937" s="735" t="s">
        <v>6676</v>
      </c>
      <c r="B1937" s="735" t="s">
        <v>2170</v>
      </c>
      <c r="C1937" s="638" t="s">
        <v>451</v>
      </c>
      <c r="D1937" s="644" t="s">
        <v>7416</v>
      </c>
      <c r="E1937" s="751">
        <v>5500</v>
      </c>
      <c r="F1937" s="638" t="s">
        <v>7417</v>
      </c>
      <c r="G1937" s="636" t="s">
        <v>7418</v>
      </c>
      <c r="H1937" s="636" t="s">
        <v>7419</v>
      </c>
      <c r="I1937" s="636" t="s">
        <v>3760</v>
      </c>
      <c r="J1937" s="644" t="s">
        <v>6680</v>
      </c>
      <c r="K1937" s="739"/>
      <c r="L1937" s="638">
        <v>12</v>
      </c>
      <c r="M1937" s="638">
        <v>66000</v>
      </c>
      <c r="N1937" s="752"/>
      <c r="O1937" s="638">
        <v>6</v>
      </c>
      <c r="P1937" s="638">
        <v>33000</v>
      </c>
      <c r="Q1937" s="214"/>
    </row>
    <row r="1938" spans="1:17" ht="12" customHeight="1" x14ac:dyDescent="0.2">
      <c r="A1938" s="735" t="s">
        <v>6676</v>
      </c>
      <c r="B1938" s="735" t="s">
        <v>2170</v>
      </c>
      <c r="C1938" s="638" t="s">
        <v>451</v>
      </c>
      <c r="D1938" s="644" t="s">
        <v>6229</v>
      </c>
      <c r="E1938" s="751">
        <v>9000</v>
      </c>
      <c r="F1938" s="638" t="s">
        <v>7420</v>
      </c>
      <c r="G1938" s="636" t="s">
        <v>7421</v>
      </c>
      <c r="H1938" s="636" t="s">
        <v>2179</v>
      </c>
      <c r="I1938" s="636" t="s">
        <v>6685</v>
      </c>
      <c r="J1938" s="644" t="s">
        <v>6686</v>
      </c>
      <c r="K1938" s="739"/>
      <c r="L1938" s="638">
        <v>12</v>
      </c>
      <c r="M1938" s="638">
        <v>108000</v>
      </c>
      <c r="N1938" s="752"/>
      <c r="O1938" s="638">
        <v>6</v>
      </c>
      <c r="P1938" s="638">
        <v>54000</v>
      </c>
      <c r="Q1938" s="214"/>
    </row>
    <row r="1939" spans="1:17" ht="12" customHeight="1" x14ac:dyDescent="0.2">
      <c r="A1939" s="735" t="s">
        <v>6676</v>
      </c>
      <c r="B1939" s="735" t="s">
        <v>2170</v>
      </c>
      <c r="C1939" s="638" t="s">
        <v>451</v>
      </c>
      <c r="D1939" s="644" t="s">
        <v>7422</v>
      </c>
      <c r="E1939" s="751">
        <v>9000</v>
      </c>
      <c r="F1939" s="638" t="s">
        <v>7423</v>
      </c>
      <c r="G1939" s="644" t="s">
        <v>7424</v>
      </c>
      <c r="H1939" s="636" t="s">
        <v>7363</v>
      </c>
      <c r="I1939" s="636" t="s">
        <v>6685</v>
      </c>
      <c r="J1939" s="644" t="s">
        <v>6686</v>
      </c>
      <c r="K1939" s="739"/>
      <c r="L1939" s="638"/>
      <c r="M1939" s="638"/>
      <c r="N1939" s="752"/>
      <c r="O1939" s="638">
        <v>6</v>
      </c>
      <c r="P1939" s="638">
        <v>54000</v>
      </c>
      <c r="Q1939" s="214"/>
    </row>
    <row r="1940" spans="1:17" ht="12" customHeight="1" x14ac:dyDescent="0.2">
      <c r="A1940" s="735" t="s">
        <v>6676</v>
      </c>
      <c r="B1940" s="735" t="s">
        <v>2170</v>
      </c>
      <c r="C1940" s="638" t="s">
        <v>451</v>
      </c>
      <c r="D1940" s="644" t="s">
        <v>7222</v>
      </c>
      <c r="E1940" s="751">
        <v>9000</v>
      </c>
      <c r="F1940" s="638" t="s">
        <v>7425</v>
      </c>
      <c r="G1940" s="644" t="s">
        <v>7426</v>
      </c>
      <c r="H1940" s="636" t="s">
        <v>7363</v>
      </c>
      <c r="I1940" s="636" t="s">
        <v>6685</v>
      </c>
      <c r="J1940" s="644" t="s">
        <v>6686</v>
      </c>
      <c r="K1940" s="739"/>
      <c r="L1940" s="638">
        <v>6</v>
      </c>
      <c r="M1940" s="638">
        <v>54000</v>
      </c>
      <c r="N1940" s="752"/>
      <c r="O1940" s="638"/>
      <c r="P1940" s="638"/>
      <c r="Q1940" s="214"/>
    </row>
    <row r="1941" spans="1:17" ht="12" customHeight="1" x14ac:dyDescent="0.2">
      <c r="A1941" s="735" t="s">
        <v>6676</v>
      </c>
      <c r="B1941" s="735" t="s">
        <v>2170</v>
      </c>
      <c r="C1941" s="638" t="s">
        <v>451</v>
      </c>
      <c r="D1941" s="644" t="s">
        <v>6690</v>
      </c>
      <c r="E1941" s="751">
        <v>8500</v>
      </c>
      <c r="F1941" s="638" t="s">
        <v>7427</v>
      </c>
      <c r="G1941" s="636" t="s">
        <v>7428</v>
      </c>
      <c r="H1941" s="636" t="s">
        <v>7429</v>
      </c>
      <c r="I1941" s="636" t="s">
        <v>6685</v>
      </c>
      <c r="J1941" s="644" t="s">
        <v>6686</v>
      </c>
      <c r="K1941" s="739"/>
      <c r="L1941" s="638">
        <v>3</v>
      </c>
      <c r="M1941" s="638">
        <v>25500</v>
      </c>
      <c r="N1941" s="752"/>
      <c r="O1941" s="638"/>
      <c r="P1941" s="638"/>
      <c r="Q1941" s="214"/>
    </row>
    <row r="1942" spans="1:17" ht="12" customHeight="1" x14ac:dyDescent="0.2">
      <c r="A1942" s="735" t="s">
        <v>6676</v>
      </c>
      <c r="B1942" s="735" t="s">
        <v>2170</v>
      </c>
      <c r="C1942" s="638" t="s">
        <v>451</v>
      </c>
      <c r="D1942" s="644" t="s">
        <v>6734</v>
      </c>
      <c r="E1942" s="751">
        <v>10000</v>
      </c>
      <c r="F1942" s="638" t="s">
        <v>6196</v>
      </c>
      <c r="G1942" s="644" t="s">
        <v>7430</v>
      </c>
      <c r="H1942" s="636" t="s">
        <v>6536</v>
      </c>
      <c r="I1942" s="636" t="s">
        <v>6548</v>
      </c>
      <c r="J1942" s="644" t="s">
        <v>6686</v>
      </c>
      <c r="K1942" s="739"/>
      <c r="L1942" s="638"/>
      <c r="M1942" s="638"/>
      <c r="N1942" s="752"/>
      <c r="O1942" s="638">
        <v>6</v>
      </c>
      <c r="P1942" s="638">
        <v>60000</v>
      </c>
      <c r="Q1942" s="214"/>
    </row>
    <row r="1943" spans="1:17" ht="12" customHeight="1" x14ac:dyDescent="0.2">
      <c r="A1943" s="735" t="s">
        <v>6676</v>
      </c>
      <c r="B1943" s="735" t="s">
        <v>2170</v>
      </c>
      <c r="C1943" s="638" t="s">
        <v>451</v>
      </c>
      <c r="D1943" s="644" t="s">
        <v>7431</v>
      </c>
      <c r="E1943" s="751">
        <v>10000</v>
      </c>
      <c r="F1943" s="638" t="s">
        <v>7432</v>
      </c>
      <c r="G1943" s="636" t="s">
        <v>7433</v>
      </c>
      <c r="H1943" s="636" t="s">
        <v>6571</v>
      </c>
      <c r="I1943" s="636" t="s">
        <v>2180</v>
      </c>
      <c r="J1943" s="644" t="s">
        <v>6686</v>
      </c>
      <c r="K1943" s="739"/>
      <c r="L1943" s="638">
        <v>1</v>
      </c>
      <c r="M1943" s="638">
        <v>10000</v>
      </c>
      <c r="N1943" s="752"/>
      <c r="O1943" s="638"/>
      <c r="P1943" s="638"/>
      <c r="Q1943" s="214"/>
    </row>
    <row r="1944" spans="1:17" ht="12" customHeight="1" x14ac:dyDescent="0.2">
      <c r="A1944" s="735" t="s">
        <v>6676</v>
      </c>
      <c r="B1944" s="735" t="s">
        <v>2170</v>
      </c>
      <c r="C1944" s="638" t="s">
        <v>451</v>
      </c>
      <c r="D1944" s="644" t="s">
        <v>6735</v>
      </c>
      <c r="E1944" s="751">
        <v>3500</v>
      </c>
      <c r="F1944" s="638" t="s">
        <v>4412</v>
      </c>
      <c r="G1944" s="636" t="s">
        <v>7434</v>
      </c>
      <c r="H1944" s="636" t="s">
        <v>6684</v>
      </c>
      <c r="I1944" s="636" t="s">
        <v>6685</v>
      </c>
      <c r="J1944" s="644" t="s">
        <v>6686</v>
      </c>
      <c r="K1944" s="739"/>
      <c r="L1944" s="638">
        <v>10</v>
      </c>
      <c r="M1944" s="638">
        <v>35000</v>
      </c>
      <c r="N1944" s="752"/>
      <c r="O1944" s="638"/>
      <c r="P1944" s="638"/>
      <c r="Q1944" s="214"/>
    </row>
    <row r="1945" spans="1:17" ht="12" customHeight="1" x14ac:dyDescent="0.2">
      <c r="A1945" s="735" t="s">
        <v>6676</v>
      </c>
      <c r="B1945" s="735" t="s">
        <v>2170</v>
      </c>
      <c r="C1945" s="638" t="s">
        <v>451</v>
      </c>
      <c r="D1945" s="644" t="s">
        <v>6700</v>
      </c>
      <c r="E1945" s="751">
        <v>3500</v>
      </c>
      <c r="F1945" s="638" t="s">
        <v>4412</v>
      </c>
      <c r="G1945" s="644" t="s">
        <v>7434</v>
      </c>
      <c r="H1945" s="636" t="s">
        <v>6684</v>
      </c>
      <c r="I1945" s="636" t="s">
        <v>6685</v>
      </c>
      <c r="J1945" s="644" t="s">
        <v>6686</v>
      </c>
      <c r="K1945" s="739"/>
      <c r="L1945" s="638">
        <v>5</v>
      </c>
      <c r="M1945" s="638">
        <v>17500</v>
      </c>
      <c r="N1945" s="752"/>
      <c r="O1945" s="638"/>
      <c r="P1945" s="638"/>
      <c r="Q1945" s="214"/>
    </row>
    <row r="1946" spans="1:17" ht="12" customHeight="1" x14ac:dyDescent="0.2">
      <c r="A1946" s="735" t="s">
        <v>6676</v>
      </c>
      <c r="B1946" s="735" t="s">
        <v>2170</v>
      </c>
      <c r="C1946" s="638" t="s">
        <v>451</v>
      </c>
      <c r="D1946" s="644" t="s">
        <v>6818</v>
      </c>
      <c r="E1946" s="751">
        <v>3500</v>
      </c>
      <c r="F1946" s="638" t="s">
        <v>7435</v>
      </c>
      <c r="G1946" s="636" t="s">
        <v>7436</v>
      </c>
      <c r="H1946" s="636" t="s">
        <v>6778</v>
      </c>
      <c r="I1946" s="636" t="s">
        <v>6685</v>
      </c>
      <c r="J1946" s="644" t="s">
        <v>6686</v>
      </c>
      <c r="K1946" s="739"/>
      <c r="L1946" s="638">
        <v>12</v>
      </c>
      <c r="M1946" s="638">
        <v>42000</v>
      </c>
      <c r="N1946" s="752"/>
      <c r="O1946" s="638">
        <v>6</v>
      </c>
      <c r="P1946" s="638">
        <v>21000</v>
      </c>
      <c r="Q1946" s="214"/>
    </row>
    <row r="1947" spans="1:17" ht="12" customHeight="1" x14ac:dyDescent="0.2">
      <c r="A1947" s="735" t="s">
        <v>6676</v>
      </c>
      <c r="B1947" s="735" t="s">
        <v>2170</v>
      </c>
      <c r="C1947" s="638" t="s">
        <v>451</v>
      </c>
      <c r="D1947" s="644" t="s">
        <v>7437</v>
      </c>
      <c r="E1947" s="751">
        <v>10000</v>
      </c>
      <c r="F1947" s="638" t="s">
        <v>7438</v>
      </c>
      <c r="G1947" s="636" t="s">
        <v>7439</v>
      </c>
      <c r="H1947" s="636" t="s">
        <v>7440</v>
      </c>
      <c r="I1947" s="636" t="s">
        <v>6685</v>
      </c>
      <c r="J1947" s="644" t="s">
        <v>6686</v>
      </c>
      <c r="K1947" s="739"/>
      <c r="L1947" s="638">
        <v>12</v>
      </c>
      <c r="M1947" s="638">
        <v>120000</v>
      </c>
      <c r="N1947" s="752"/>
      <c r="O1947" s="638">
        <v>6</v>
      </c>
      <c r="P1947" s="638">
        <v>60000</v>
      </c>
      <c r="Q1947" s="214"/>
    </row>
    <row r="1948" spans="1:17" ht="12" customHeight="1" x14ac:dyDescent="0.2">
      <c r="A1948" s="735" t="s">
        <v>6676</v>
      </c>
      <c r="B1948" s="735" t="s">
        <v>2170</v>
      </c>
      <c r="C1948" s="638" t="s">
        <v>451</v>
      </c>
      <c r="D1948" s="644" t="s">
        <v>7441</v>
      </c>
      <c r="E1948" s="751">
        <v>8500</v>
      </c>
      <c r="F1948" s="638" t="s">
        <v>7442</v>
      </c>
      <c r="G1948" s="636" t="s">
        <v>7443</v>
      </c>
      <c r="H1948" s="636" t="s">
        <v>6896</v>
      </c>
      <c r="I1948" s="636" t="s">
        <v>6685</v>
      </c>
      <c r="J1948" s="644" t="s">
        <v>6686</v>
      </c>
      <c r="K1948" s="739"/>
      <c r="L1948" s="638">
        <v>3</v>
      </c>
      <c r="M1948" s="638">
        <v>25500</v>
      </c>
      <c r="N1948" s="752"/>
      <c r="O1948" s="638"/>
      <c r="P1948" s="638"/>
      <c r="Q1948" s="214"/>
    </row>
    <row r="1949" spans="1:17" ht="12" customHeight="1" x14ac:dyDescent="0.2">
      <c r="A1949" s="735" t="s">
        <v>6676</v>
      </c>
      <c r="B1949" s="735" t="s">
        <v>2170</v>
      </c>
      <c r="C1949" s="638" t="s">
        <v>451</v>
      </c>
      <c r="D1949" s="644" t="s">
        <v>7444</v>
      </c>
      <c r="E1949" s="751">
        <v>12000</v>
      </c>
      <c r="F1949" s="638" t="s">
        <v>7442</v>
      </c>
      <c r="G1949" s="644" t="s">
        <v>7443</v>
      </c>
      <c r="H1949" s="636" t="s">
        <v>6896</v>
      </c>
      <c r="I1949" s="636" t="s">
        <v>6685</v>
      </c>
      <c r="J1949" s="644" t="s">
        <v>6686</v>
      </c>
      <c r="K1949" s="739"/>
      <c r="L1949" s="638">
        <v>9</v>
      </c>
      <c r="M1949" s="638">
        <v>108000</v>
      </c>
      <c r="N1949" s="752"/>
      <c r="O1949" s="638">
        <v>6</v>
      </c>
      <c r="P1949" s="638">
        <v>72000</v>
      </c>
      <c r="Q1949" s="214"/>
    </row>
    <row r="1950" spans="1:17" ht="12" customHeight="1" x14ac:dyDescent="0.2">
      <c r="A1950" s="735" t="s">
        <v>6676</v>
      </c>
      <c r="B1950" s="735" t="s">
        <v>2170</v>
      </c>
      <c r="C1950" s="638" t="s">
        <v>451</v>
      </c>
      <c r="D1950" s="644" t="s">
        <v>6883</v>
      </c>
      <c r="E1950" s="751">
        <v>3000</v>
      </c>
      <c r="F1950" s="638" t="s">
        <v>7445</v>
      </c>
      <c r="G1950" s="636" t="s">
        <v>7446</v>
      </c>
      <c r="H1950" s="636" t="s">
        <v>6907</v>
      </c>
      <c r="I1950" s="636" t="s">
        <v>2253</v>
      </c>
      <c r="J1950" s="644" t="s">
        <v>2253</v>
      </c>
      <c r="K1950" s="739"/>
      <c r="L1950" s="638">
        <v>12</v>
      </c>
      <c r="M1950" s="638">
        <v>36000</v>
      </c>
      <c r="N1950" s="752"/>
      <c r="O1950" s="638">
        <v>6</v>
      </c>
      <c r="P1950" s="638">
        <v>18000</v>
      </c>
      <c r="Q1950" s="214"/>
    </row>
    <row r="1951" spans="1:17" ht="12" customHeight="1" x14ac:dyDescent="0.2">
      <c r="A1951" s="735" t="s">
        <v>6676</v>
      </c>
      <c r="B1951" s="735" t="s">
        <v>2170</v>
      </c>
      <c r="C1951" s="638" t="s">
        <v>451</v>
      </c>
      <c r="D1951" s="644" t="s">
        <v>6831</v>
      </c>
      <c r="E1951" s="751">
        <v>7500</v>
      </c>
      <c r="F1951" s="638" t="s">
        <v>7447</v>
      </c>
      <c r="G1951" s="636" t="s">
        <v>7448</v>
      </c>
      <c r="H1951" s="636" t="s">
        <v>6684</v>
      </c>
      <c r="I1951" s="636" t="s">
        <v>6685</v>
      </c>
      <c r="J1951" s="644" t="s">
        <v>6686</v>
      </c>
      <c r="K1951" s="739"/>
      <c r="L1951" s="638">
        <v>5</v>
      </c>
      <c r="M1951" s="638">
        <v>37500</v>
      </c>
      <c r="N1951" s="752"/>
      <c r="O1951" s="638"/>
      <c r="P1951" s="638"/>
      <c r="Q1951" s="214"/>
    </row>
    <row r="1952" spans="1:17" ht="12" customHeight="1" x14ac:dyDescent="0.2">
      <c r="A1952" s="735" t="s">
        <v>6676</v>
      </c>
      <c r="B1952" s="735" t="s">
        <v>2170</v>
      </c>
      <c r="C1952" s="638" t="s">
        <v>451</v>
      </c>
      <c r="D1952" s="644" t="s">
        <v>7449</v>
      </c>
      <c r="E1952" s="751">
        <v>8500</v>
      </c>
      <c r="F1952" s="638" t="s">
        <v>7447</v>
      </c>
      <c r="G1952" s="644" t="s">
        <v>7448</v>
      </c>
      <c r="H1952" s="636" t="s">
        <v>6684</v>
      </c>
      <c r="I1952" s="636" t="s">
        <v>6685</v>
      </c>
      <c r="J1952" s="644" t="s">
        <v>6686</v>
      </c>
      <c r="K1952" s="739"/>
      <c r="L1952" s="638">
        <v>7</v>
      </c>
      <c r="M1952" s="638">
        <v>59500</v>
      </c>
      <c r="N1952" s="752"/>
      <c r="O1952" s="638">
        <v>6</v>
      </c>
      <c r="P1952" s="638">
        <v>51000</v>
      </c>
      <c r="Q1952" s="214"/>
    </row>
    <row r="1953" spans="1:17" ht="12" customHeight="1" x14ac:dyDescent="0.2">
      <c r="A1953" s="735" t="s">
        <v>6676</v>
      </c>
      <c r="B1953" s="735" t="s">
        <v>2170</v>
      </c>
      <c r="C1953" s="638" t="s">
        <v>451</v>
      </c>
      <c r="D1953" s="644" t="s">
        <v>6700</v>
      </c>
      <c r="E1953" s="751">
        <v>3500</v>
      </c>
      <c r="F1953" s="638" t="s">
        <v>7450</v>
      </c>
      <c r="G1953" s="636" t="s">
        <v>7451</v>
      </c>
      <c r="H1953" s="636" t="s">
        <v>6699</v>
      </c>
      <c r="I1953" s="636" t="s">
        <v>2766</v>
      </c>
      <c r="J1953" s="644" t="s">
        <v>2766</v>
      </c>
      <c r="K1953" s="739"/>
      <c r="L1953" s="638">
        <v>12</v>
      </c>
      <c r="M1953" s="638">
        <v>42000</v>
      </c>
      <c r="N1953" s="752"/>
      <c r="O1953" s="638">
        <v>6</v>
      </c>
      <c r="P1953" s="638">
        <v>21000</v>
      </c>
      <c r="Q1953" s="214"/>
    </row>
    <row r="1954" spans="1:17" ht="12" customHeight="1" x14ac:dyDescent="0.2">
      <c r="A1954" s="735" t="s">
        <v>6676</v>
      </c>
      <c r="B1954" s="735" t="s">
        <v>2170</v>
      </c>
      <c r="C1954" s="638" t="s">
        <v>451</v>
      </c>
      <c r="D1954" s="644" t="s">
        <v>6818</v>
      </c>
      <c r="E1954" s="751">
        <v>3500</v>
      </c>
      <c r="F1954" s="638" t="s">
        <v>7452</v>
      </c>
      <c r="G1954" s="644" t="s">
        <v>7453</v>
      </c>
      <c r="H1954" s="636" t="s">
        <v>6536</v>
      </c>
      <c r="I1954" s="636" t="s">
        <v>6548</v>
      </c>
      <c r="J1954" s="644" t="s">
        <v>6686</v>
      </c>
      <c r="K1954" s="739"/>
      <c r="L1954" s="638"/>
      <c r="M1954" s="638"/>
      <c r="N1954" s="752"/>
      <c r="O1954" s="638">
        <v>6</v>
      </c>
      <c r="P1954" s="638">
        <v>21000</v>
      </c>
      <c r="Q1954" s="214"/>
    </row>
    <row r="1955" spans="1:17" ht="12" customHeight="1" x14ac:dyDescent="0.2">
      <c r="A1955" s="735" t="s">
        <v>6676</v>
      </c>
      <c r="B1955" s="735" t="s">
        <v>2170</v>
      </c>
      <c r="C1955" s="638" t="s">
        <v>451</v>
      </c>
      <c r="D1955" s="644" t="s">
        <v>6717</v>
      </c>
      <c r="E1955" s="751">
        <v>9000</v>
      </c>
      <c r="F1955" s="638" t="s">
        <v>7454</v>
      </c>
      <c r="G1955" s="636" t="s">
        <v>7455</v>
      </c>
      <c r="H1955" s="636" t="s">
        <v>6765</v>
      </c>
      <c r="I1955" s="636" t="s">
        <v>6685</v>
      </c>
      <c r="J1955" s="644" t="s">
        <v>6686</v>
      </c>
      <c r="K1955" s="739"/>
      <c r="L1955" s="638">
        <v>12</v>
      </c>
      <c r="M1955" s="638">
        <v>108000</v>
      </c>
      <c r="N1955" s="752"/>
      <c r="O1955" s="638">
        <v>6</v>
      </c>
      <c r="P1955" s="638">
        <v>54000</v>
      </c>
      <c r="Q1955" s="214"/>
    </row>
    <row r="1956" spans="1:17" ht="12" customHeight="1" x14ac:dyDescent="0.2">
      <c r="A1956" s="735" t="s">
        <v>6676</v>
      </c>
      <c r="B1956" s="735" t="s">
        <v>2170</v>
      </c>
      <c r="C1956" s="638" t="s">
        <v>451</v>
      </c>
      <c r="D1956" s="644" t="s">
        <v>6735</v>
      </c>
      <c r="E1956" s="751">
        <v>3500</v>
      </c>
      <c r="F1956" s="638" t="s">
        <v>7456</v>
      </c>
      <c r="G1956" s="636" t="s">
        <v>7457</v>
      </c>
      <c r="H1956" s="636" t="s">
        <v>6684</v>
      </c>
      <c r="I1956" s="636" t="s">
        <v>6685</v>
      </c>
      <c r="J1956" s="644" t="s">
        <v>6686</v>
      </c>
      <c r="K1956" s="739"/>
      <c r="L1956" s="638">
        <v>12</v>
      </c>
      <c r="M1956" s="638">
        <v>42000</v>
      </c>
      <c r="N1956" s="752"/>
      <c r="O1956" s="638">
        <v>6</v>
      </c>
      <c r="P1956" s="638">
        <v>21000</v>
      </c>
      <c r="Q1956" s="214"/>
    </row>
    <row r="1957" spans="1:17" ht="12" customHeight="1" x14ac:dyDescent="0.2">
      <c r="A1957" s="735" t="s">
        <v>6676</v>
      </c>
      <c r="B1957" s="735" t="s">
        <v>2170</v>
      </c>
      <c r="C1957" s="638" t="s">
        <v>451</v>
      </c>
      <c r="D1957" s="644" t="s">
        <v>7458</v>
      </c>
      <c r="E1957" s="751">
        <v>4000</v>
      </c>
      <c r="F1957" s="638" t="s">
        <v>7459</v>
      </c>
      <c r="G1957" s="636" t="s">
        <v>7460</v>
      </c>
      <c r="H1957" s="636" t="s">
        <v>7461</v>
      </c>
      <c r="I1957" s="636" t="s">
        <v>3760</v>
      </c>
      <c r="J1957" s="644" t="s">
        <v>6680</v>
      </c>
      <c r="K1957" s="739"/>
      <c r="L1957" s="638">
        <v>12</v>
      </c>
      <c r="M1957" s="638">
        <v>48000</v>
      </c>
      <c r="N1957" s="752"/>
      <c r="O1957" s="638">
        <v>6</v>
      </c>
      <c r="P1957" s="638">
        <v>24000</v>
      </c>
      <c r="Q1957" s="214"/>
    </row>
    <row r="1958" spans="1:17" ht="12" customHeight="1" x14ac:dyDescent="0.2">
      <c r="A1958" s="735" t="s">
        <v>6676</v>
      </c>
      <c r="B1958" s="735" t="s">
        <v>2170</v>
      </c>
      <c r="C1958" s="638" t="s">
        <v>451</v>
      </c>
      <c r="D1958" s="644" t="s">
        <v>6959</v>
      </c>
      <c r="E1958" s="751">
        <v>8500</v>
      </c>
      <c r="F1958" s="638" t="s">
        <v>7462</v>
      </c>
      <c r="G1958" s="644" t="s">
        <v>7463</v>
      </c>
      <c r="H1958" s="636" t="s">
        <v>7073</v>
      </c>
      <c r="I1958" s="636" t="s">
        <v>6548</v>
      </c>
      <c r="J1958" s="644" t="s">
        <v>6686</v>
      </c>
      <c r="K1958" s="739"/>
      <c r="L1958" s="638"/>
      <c r="M1958" s="638"/>
      <c r="N1958" s="752"/>
      <c r="O1958" s="638">
        <v>1</v>
      </c>
      <c r="P1958" s="638">
        <v>8500</v>
      </c>
      <c r="Q1958" s="214"/>
    </row>
    <row r="1959" spans="1:17" ht="12" customHeight="1" x14ac:dyDescent="0.2">
      <c r="A1959" s="735" t="s">
        <v>6676</v>
      </c>
      <c r="B1959" s="735" t="s">
        <v>2170</v>
      </c>
      <c r="C1959" s="638" t="s">
        <v>451</v>
      </c>
      <c r="D1959" s="644" t="s">
        <v>7464</v>
      </c>
      <c r="E1959" s="751">
        <v>10000</v>
      </c>
      <c r="F1959" s="638" t="s">
        <v>7465</v>
      </c>
      <c r="G1959" s="636" t="s">
        <v>7466</v>
      </c>
      <c r="H1959" s="636" t="s">
        <v>2189</v>
      </c>
      <c r="I1959" s="636" t="s">
        <v>6685</v>
      </c>
      <c r="J1959" s="644" t="s">
        <v>6686</v>
      </c>
      <c r="K1959" s="739"/>
      <c r="L1959" s="638">
        <v>12</v>
      </c>
      <c r="M1959" s="638">
        <v>120000</v>
      </c>
      <c r="N1959" s="752"/>
      <c r="O1959" s="638">
        <v>6</v>
      </c>
      <c r="P1959" s="638">
        <v>60000</v>
      </c>
      <c r="Q1959" s="214"/>
    </row>
    <row r="1960" spans="1:17" ht="12" customHeight="1" x14ac:dyDescent="0.2">
      <c r="A1960" s="735" t="s">
        <v>6676</v>
      </c>
      <c r="B1960" s="735" t="s">
        <v>2170</v>
      </c>
      <c r="C1960" s="638" t="s">
        <v>451</v>
      </c>
      <c r="D1960" s="644" t="s">
        <v>6700</v>
      </c>
      <c r="E1960" s="751">
        <v>3500</v>
      </c>
      <c r="F1960" s="638" t="s">
        <v>7467</v>
      </c>
      <c r="G1960" s="636" t="s">
        <v>7468</v>
      </c>
      <c r="H1960" s="636" t="s">
        <v>6699</v>
      </c>
      <c r="I1960" s="636" t="s">
        <v>2766</v>
      </c>
      <c r="J1960" s="644" t="s">
        <v>2766</v>
      </c>
      <c r="K1960" s="739"/>
      <c r="L1960" s="638">
        <v>12</v>
      </c>
      <c r="M1960" s="638">
        <v>42000</v>
      </c>
      <c r="N1960" s="752"/>
      <c r="O1960" s="638">
        <v>6</v>
      </c>
      <c r="P1960" s="638">
        <v>21000</v>
      </c>
      <c r="Q1960" s="214"/>
    </row>
    <row r="1961" spans="1:17" ht="12" customHeight="1" x14ac:dyDescent="0.2">
      <c r="A1961" s="735" t="s">
        <v>6676</v>
      </c>
      <c r="B1961" s="735" t="s">
        <v>2170</v>
      </c>
      <c r="C1961" s="638" t="s">
        <v>451</v>
      </c>
      <c r="D1961" s="644" t="s">
        <v>2261</v>
      </c>
      <c r="E1961" s="751">
        <v>4500</v>
      </c>
      <c r="F1961" s="638" t="s">
        <v>7469</v>
      </c>
      <c r="G1961" s="636" t="s">
        <v>7470</v>
      </c>
      <c r="H1961" s="636" t="s">
        <v>2346</v>
      </c>
      <c r="I1961" s="636" t="s">
        <v>6685</v>
      </c>
      <c r="J1961" s="644" t="s">
        <v>6686</v>
      </c>
      <c r="K1961" s="739"/>
      <c r="L1961" s="638">
        <v>12</v>
      </c>
      <c r="M1961" s="638">
        <v>54000</v>
      </c>
      <c r="N1961" s="752"/>
      <c r="O1961" s="638">
        <v>6</v>
      </c>
      <c r="P1961" s="638">
        <v>27000</v>
      </c>
      <c r="Q1961" s="214"/>
    </row>
    <row r="1962" spans="1:17" ht="12" customHeight="1" x14ac:dyDescent="0.2">
      <c r="A1962" s="735" t="s">
        <v>6676</v>
      </c>
      <c r="B1962" s="735" t="s">
        <v>2170</v>
      </c>
      <c r="C1962" s="638" t="s">
        <v>451</v>
      </c>
      <c r="D1962" s="644" t="s">
        <v>7471</v>
      </c>
      <c r="E1962" s="751">
        <v>3000</v>
      </c>
      <c r="F1962" s="638" t="s">
        <v>7472</v>
      </c>
      <c r="G1962" s="636" t="s">
        <v>7473</v>
      </c>
      <c r="H1962" s="636" t="s">
        <v>6907</v>
      </c>
      <c r="I1962" s="636" t="s">
        <v>2253</v>
      </c>
      <c r="J1962" s="644" t="s">
        <v>2253</v>
      </c>
      <c r="K1962" s="739"/>
      <c r="L1962" s="638">
        <v>12</v>
      </c>
      <c r="M1962" s="638">
        <v>36000</v>
      </c>
      <c r="N1962" s="752"/>
      <c r="O1962" s="638">
        <v>6</v>
      </c>
      <c r="P1962" s="638">
        <v>18000</v>
      </c>
      <c r="Q1962" s="214"/>
    </row>
    <row r="1963" spans="1:17" ht="12" customHeight="1" x14ac:dyDescent="0.2">
      <c r="A1963" s="735" t="s">
        <v>6676</v>
      </c>
      <c r="B1963" s="735" t="s">
        <v>2170</v>
      </c>
      <c r="C1963" s="638" t="s">
        <v>451</v>
      </c>
      <c r="D1963" s="644" t="s">
        <v>7222</v>
      </c>
      <c r="E1963" s="751">
        <v>8500</v>
      </c>
      <c r="F1963" s="638" t="s">
        <v>7474</v>
      </c>
      <c r="G1963" s="644" t="s">
        <v>7475</v>
      </c>
      <c r="H1963" s="636" t="s">
        <v>6834</v>
      </c>
      <c r="I1963" s="636" t="s">
        <v>2180</v>
      </c>
      <c r="J1963" s="644" t="s">
        <v>6686</v>
      </c>
      <c r="K1963" s="739"/>
      <c r="L1963" s="638">
        <v>3</v>
      </c>
      <c r="M1963" s="638">
        <v>25500</v>
      </c>
      <c r="N1963" s="752"/>
      <c r="O1963" s="638"/>
      <c r="P1963" s="638"/>
      <c r="Q1963" s="214"/>
    </row>
    <row r="1964" spans="1:17" ht="12" customHeight="1" x14ac:dyDescent="0.2">
      <c r="A1964" s="735" t="s">
        <v>6676</v>
      </c>
      <c r="B1964" s="735" t="s">
        <v>2170</v>
      </c>
      <c r="C1964" s="638" t="s">
        <v>451</v>
      </c>
      <c r="D1964" s="644" t="s">
        <v>5503</v>
      </c>
      <c r="E1964" s="751">
        <v>9000</v>
      </c>
      <c r="F1964" s="638" t="s">
        <v>7476</v>
      </c>
      <c r="G1964" s="636" t="s">
        <v>7477</v>
      </c>
      <c r="H1964" s="636" t="s">
        <v>6684</v>
      </c>
      <c r="I1964" s="636" t="s">
        <v>6685</v>
      </c>
      <c r="J1964" s="644" t="s">
        <v>6686</v>
      </c>
      <c r="K1964" s="739"/>
      <c r="L1964" s="638">
        <v>12</v>
      </c>
      <c r="M1964" s="638">
        <v>108000</v>
      </c>
      <c r="N1964" s="752"/>
      <c r="O1964" s="638">
        <v>6</v>
      </c>
      <c r="P1964" s="638">
        <v>54000</v>
      </c>
      <c r="Q1964" s="214"/>
    </row>
    <row r="1965" spans="1:17" ht="12" customHeight="1" x14ac:dyDescent="0.2">
      <c r="A1965" s="735" t="s">
        <v>6676</v>
      </c>
      <c r="B1965" s="735" t="s">
        <v>2170</v>
      </c>
      <c r="C1965" s="638" t="s">
        <v>451</v>
      </c>
      <c r="D1965" s="644" t="s">
        <v>6700</v>
      </c>
      <c r="E1965" s="751">
        <v>3500</v>
      </c>
      <c r="F1965" s="638" t="s">
        <v>7478</v>
      </c>
      <c r="G1965" s="644" t="s">
        <v>7479</v>
      </c>
      <c r="H1965" s="636" t="s">
        <v>6699</v>
      </c>
      <c r="I1965" s="636" t="s">
        <v>6685</v>
      </c>
      <c r="J1965" s="644" t="s">
        <v>6686</v>
      </c>
      <c r="K1965" s="739"/>
      <c r="L1965" s="638"/>
      <c r="M1965" s="638"/>
      <c r="N1965" s="752"/>
      <c r="O1965" s="638">
        <v>6</v>
      </c>
      <c r="P1965" s="638">
        <v>21000</v>
      </c>
      <c r="Q1965" s="214"/>
    </row>
    <row r="1966" spans="1:17" ht="12" customHeight="1" x14ac:dyDescent="0.2">
      <c r="A1966" s="735" t="s">
        <v>6676</v>
      </c>
      <c r="B1966" s="735" t="s">
        <v>2170</v>
      </c>
      <c r="C1966" s="638" t="s">
        <v>451</v>
      </c>
      <c r="D1966" s="644" t="s">
        <v>7281</v>
      </c>
      <c r="E1966" s="751">
        <v>12000</v>
      </c>
      <c r="F1966" s="638" t="s">
        <v>7480</v>
      </c>
      <c r="G1966" s="644" t="s">
        <v>7481</v>
      </c>
      <c r="H1966" s="636" t="s">
        <v>2179</v>
      </c>
      <c r="I1966" s="636" t="s">
        <v>6685</v>
      </c>
      <c r="J1966" s="644" t="s">
        <v>6686</v>
      </c>
      <c r="K1966" s="739"/>
      <c r="L1966" s="638">
        <v>3</v>
      </c>
      <c r="M1966" s="638">
        <v>36000</v>
      </c>
      <c r="N1966" s="752"/>
      <c r="O1966" s="638"/>
      <c r="P1966" s="638"/>
      <c r="Q1966" s="214"/>
    </row>
    <row r="1967" spans="1:17" ht="12" customHeight="1" x14ac:dyDescent="0.2">
      <c r="A1967" s="735" t="s">
        <v>6676</v>
      </c>
      <c r="B1967" s="735" t="s">
        <v>2170</v>
      </c>
      <c r="C1967" s="638" t="s">
        <v>451</v>
      </c>
      <c r="D1967" s="644" t="s">
        <v>6818</v>
      </c>
      <c r="E1967" s="751">
        <v>3500</v>
      </c>
      <c r="F1967" s="638" t="s">
        <v>7482</v>
      </c>
      <c r="G1967" s="636" t="s">
        <v>7483</v>
      </c>
      <c r="H1967" s="636" t="s">
        <v>6834</v>
      </c>
      <c r="I1967" s="636" t="s">
        <v>6685</v>
      </c>
      <c r="J1967" s="644" t="s">
        <v>6686</v>
      </c>
      <c r="K1967" s="739"/>
      <c r="L1967" s="638">
        <v>12</v>
      </c>
      <c r="M1967" s="638">
        <v>42000</v>
      </c>
      <c r="N1967" s="752"/>
      <c r="O1967" s="638">
        <v>6</v>
      </c>
      <c r="P1967" s="638">
        <v>21000</v>
      </c>
      <c r="Q1967" s="214"/>
    </row>
    <row r="1968" spans="1:17" ht="12" customHeight="1" x14ac:dyDescent="0.2">
      <c r="A1968" s="735" t="s">
        <v>6676</v>
      </c>
      <c r="B1968" s="735" t="s">
        <v>2170</v>
      </c>
      <c r="C1968" s="638" t="s">
        <v>451</v>
      </c>
      <c r="D1968" s="644" t="s">
        <v>6734</v>
      </c>
      <c r="E1968" s="751">
        <v>10000</v>
      </c>
      <c r="F1968" s="638" t="s">
        <v>7484</v>
      </c>
      <c r="G1968" s="636" t="s">
        <v>7485</v>
      </c>
      <c r="H1968" s="636" t="s">
        <v>6684</v>
      </c>
      <c r="I1968" s="636" t="s">
        <v>6685</v>
      </c>
      <c r="J1968" s="644" t="s">
        <v>6686</v>
      </c>
      <c r="K1968" s="739"/>
      <c r="L1968" s="638">
        <v>5</v>
      </c>
      <c r="M1968" s="638">
        <v>50000</v>
      </c>
      <c r="N1968" s="752"/>
      <c r="O1968" s="638"/>
      <c r="P1968" s="638"/>
      <c r="Q1968" s="214"/>
    </row>
    <row r="1969" spans="1:17" ht="12" customHeight="1" x14ac:dyDescent="0.2">
      <c r="A1969" s="735" t="s">
        <v>6676</v>
      </c>
      <c r="B1969" s="735" t="s">
        <v>2170</v>
      </c>
      <c r="C1969" s="638" t="s">
        <v>451</v>
      </c>
      <c r="D1969" s="644" t="s">
        <v>6734</v>
      </c>
      <c r="E1969" s="751">
        <v>10000</v>
      </c>
      <c r="F1969" s="638" t="s">
        <v>7484</v>
      </c>
      <c r="G1969" s="644" t="s">
        <v>7485</v>
      </c>
      <c r="H1969" s="636" t="s">
        <v>6684</v>
      </c>
      <c r="I1969" s="636" t="s">
        <v>6685</v>
      </c>
      <c r="J1969" s="644" t="s">
        <v>6686</v>
      </c>
      <c r="K1969" s="739"/>
      <c r="L1969" s="638">
        <v>5</v>
      </c>
      <c r="M1969" s="638">
        <v>50000</v>
      </c>
      <c r="N1969" s="752"/>
      <c r="O1969" s="638">
        <v>6</v>
      </c>
      <c r="P1969" s="638">
        <v>60000</v>
      </c>
      <c r="Q1969" s="214"/>
    </row>
    <row r="1970" spans="1:17" ht="12" customHeight="1" x14ac:dyDescent="0.2">
      <c r="A1970" s="735" t="s">
        <v>6676</v>
      </c>
      <c r="B1970" s="735" t="s">
        <v>2170</v>
      </c>
      <c r="C1970" s="638" t="s">
        <v>451</v>
      </c>
      <c r="D1970" s="644" t="s">
        <v>6700</v>
      </c>
      <c r="E1970" s="751">
        <v>3500</v>
      </c>
      <c r="F1970" s="638" t="s">
        <v>7486</v>
      </c>
      <c r="G1970" s="636" t="s">
        <v>7487</v>
      </c>
      <c r="H1970" s="636" t="s">
        <v>6684</v>
      </c>
      <c r="I1970" s="636" t="s">
        <v>6685</v>
      </c>
      <c r="J1970" s="644" t="s">
        <v>6686</v>
      </c>
      <c r="K1970" s="739"/>
      <c r="L1970" s="638">
        <v>12</v>
      </c>
      <c r="M1970" s="638">
        <v>42000</v>
      </c>
      <c r="N1970" s="752"/>
      <c r="O1970" s="638">
        <v>6</v>
      </c>
      <c r="P1970" s="638">
        <v>21000</v>
      </c>
      <c r="Q1970" s="214"/>
    </row>
    <row r="1971" spans="1:17" ht="12" customHeight="1" x14ac:dyDescent="0.2">
      <c r="A1971" s="735" t="s">
        <v>6676</v>
      </c>
      <c r="B1971" s="735" t="s">
        <v>2170</v>
      </c>
      <c r="C1971" s="638" t="s">
        <v>451</v>
      </c>
      <c r="D1971" s="644" t="s">
        <v>6717</v>
      </c>
      <c r="E1971" s="751">
        <v>9000</v>
      </c>
      <c r="F1971" s="638" t="s">
        <v>7488</v>
      </c>
      <c r="G1971" s="636" t="s">
        <v>7489</v>
      </c>
      <c r="H1971" s="636" t="s">
        <v>6684</v>
      </c>
      <c r="I1971" s="636" t="s">
        <v>6685</v>
      </c>
      <c r="J1971" s="644" t="s">
        <v>6686</v>
      </c>
      <c r="K1971" s="739"/>
      <c r="L1971" s="638">
        <v>12</v>
      </c>
      <c r="M1971" s="638">
        <v>108000</v>
      </c>
      <c r="N1971" s="752"/>
      <c r="O1971" s="638">
        <v>6</v>
      </c>
      <c r="P1971" s="638">
        <v>54000</v>
      </c>
      <c r="Q1971" s="214"/>
    </row>
    <row r="1972" spans="1:17" ht="12" customHeight="1" x14ac:dyDescent="0.2">
      <c r="A1972" s="735" t="s">
        <v>6676</v>
      </c>
      <c r="B1972" s="735" t="s">
        <v>2170</v>
      </c>
      <c r="C1972" s="638" t="s">
        <v>451</v>
      </c>
      <c r="D1972" s="644" t="s">
        <v>7490</v>
      </c>
      <c r="E1972" s="751">
        <v>7000</v>
      </c>
      <c r="F1972" s="638" t="s">
        <v>7491</v>
      </c>
      <c r="G1972" s="644" t="s">
        <v>7492</v>
      </c>
      <c r="H1972" s="636" t="s">
        <v>6707</v>
      </c>
      <c r="I1972" s="636" t="s">
        <v>6685</v>
      </c>
      <c r="J1972" s="644" t="s">
        <v>6686</v>
      </c>
      <c r="K1972" s="739"/>
      <c r="L1972" s="638">
        <v>8</v>
      </c>
      <c r="M1972" s="638">
        <v>56000</v>
      </c>
      <c r="N1972" s="752"/>
      <c r="O1972" s="638"/>
      <c r="P1972" s="638"/>
      <c r="Q1972" s="214"/>
    </row>
    <row r="1973" spans="1:17" ht="12" customHeight="1" x14ac:dyDescent="0.2">
      <c r="A1973" s="735" t="s">
        <v>6676</v>
      </c>
      <c r="B1973" s="735" t="s">
        <v>2170</v>
      </c>
      <c r="C1973" s="638" t="s">
        <v>451</v>
      </c>
      <c r="D1973" s="644" t="s">
        <v>7493</v>
      </c>
      <c r="E1973" s="751">
        <v>10000</v>
      </c>
      <c r="F1973" s="638" t="s">
        <v>7491</v>
      </c>
      <c r="G1973" s="644" t="s">
        <v>7492</v>
      </c>
      <c r="H1973" s="636" t="s">
        <v>6707</v>
      </c>
      <c r="I1973" s="636" t="s">
        <v>6685</v>
      </c>
      <c r="J1973" s="644" t="s">
        <v>6686</v>
      </c>
      <c r="K1973" s="739"/>
      <c r="L1973" s="638">
        <v>4</v>
      </c>
      <c r="M1973" s="638">
        <v>40000</v>
      </c>
      <c r="N1973" s="752"/>
      <c r="O1973" s="638">
        <v>6</v>
      </c>
      <c r="P1973" s="638">
        <v>60000</v>
      </c>
      <c r="Q1973" s="214"/>
    </row>
    <row r="1974" spans="1:17" ht="12" customHeight="1" x14ac:dyDescent="0.2">
      <c r="A1974" s="735" t="s">
        <v>6676</v>
      </c>
      <c r="B1974" s="735" t="s">
        <v>2170</v>
      </c>
      <c r="C1974" s="638" t="s">
        <v>451</v>
      </c>
      <c r="D1974" s="644" t="s">
        <v>6229</v>
      </c>
      <c r="E1974" s="751">
        <v>9000</v>
      </c>
      <c r="F1974" s="638" t="s">
        <v>7494</v>
      </c>
      <c r="G1974" s="644" t="s">
        <v>7495</v>
      </c>
      <c r="H1974" s="636" t="s">
        <v>6571</v>
      </c>
      <c r="I1974" s="636" t="s">
        <v>6685</v>
      </c>
      <c r="J1974" s="644" t="s">
        <v>6686</v>
      </c>
      <c r="K1974" s="739"/>
      <c r="L1974" s="638"/>
      <c r="M1974" s="638"/>
      <c r="N1974" s="752"/>
      <c r="O1974" s="638">
        <v>2</v>
      </c>
      <c r="P1974" s="638">
        <v>18000</v>
      </c>
      <c r="Q1974" s="214"/>
    </row>
    <row r="1975" spans="1:17" ht="12" customHeight="1" x14ac:dyDescent="0.2">
      <c r="A1975" s="735" t="s">
        <v>6676</v>
      </c>
      <c r="B1975" s="735" t="s">
        <v>2170</v>
      </c>
      <c r="C1975" s="638" t="s">
        <v>451</v>
      </c>
      <c r="D1975" s="644" t="s">
        <v>6818</v>
      </c>
      <c r="E1975" s="751">
        <v>3500</v>
      </c>
      <c r="F1975" s="638" t="s">
        <v>7496</v>
      </c>
      <c r="G1975" s="644" t="s">
        <v>7497</v>
      </c>
      <c r="H1975" s="636" t="s">
        <v>6536</v>
      </c>
      <c r="I1975" s="636" t="s">
        <v>6548</v>
      </c>
      <c r="J1975" s="644" t="s">
        <v>6686</v>
      </c>
      <c r="K1975" s="739"/>
      <c r="L1975" s="638"/>
      <c r="M1975" s="638"/>
      <c r="N1975" s="752"/>
      <c r="O1975" s="638">
        <v>6</v>
      </c>
      <c r="P1975" s="638">
        <v>21000</v>
      </c>
      <c r="Q1975" s="214"/>
    </row>
    <row r="1976" spans="1:17" ht="12" customHeight="1" x14ac:dyDescent="0.2">
      <c r="A1976" s="735" t="s">
        <v>6676</v>
      </c>
      <c r="B1976" s="735" t="s">
        <v>2170</v>
      </c>
      <c r="C1976" s="638" t="s">
        <v>451</v>
      </c>
      <c r="D1976" s="644" t="s">
        <v>6693</v>
      </c>
      <c r="E1976" s="751">
        <v>5000</v>
      </c>
      <c r="F1976" s="638" t="s">
        <v>7498</v>
      </c>
      <c r="G1976" s="644" t="s">
        <v>7499</v>
      </c>
      <c r="H1976" s="636" t="s">
        <v>6625</v>
      </c>
      <c r="I1976" s="636" t="s">
        <v>6685</v>
      </c>
      <c r="J1976" s="644" t="s">
        <v>6686</v>
      </c>
      <c r="K1976" s="739"/>
      <c r="L1976" s="638">
        <v>12</v>
      </c>
      <c r="M1976" s="638">
        <v>60000</v>
      </c>
      <c r="N1976" s="752"/>
      <c r="O1976" s="638">
        <v>6</v>
      </c>
      <c r="P1976" s="638">
        <v>30000</v>
      </c>
      <c r="Q1976" s="214"/>
    </row>
    <row r="1977" spans="1:17" ht="12" customHeight="1" x14ac:dyDescent="0.2">
      <c r="A1977" s="735" t="s">
        <v>6676</v>
      </c>
      <c r="B1977" s="735" t="s">
        <v>2170</v>
      </c>
      <c r="C1977" s="638" t="s">
        <v>451</v>
      </c>
      <c r="D1977" s="644" t="s">
        <v>6797</v>
      </c>
      <c r="E1977" s="751">
        <v>9000</v>
      </c>
      <c r="F1977" s="638" t="s">
        <v>7500</v>
      </c>
      <c r="G1977" s="644" t="s">
        <v>7501</v>
      </c>
      <c r="H1977" s="636" t="s">
        <v>6684</v>
      </c>
      <c r="I1977" s="636" t="s">
        <v>6685</v>
      </c>
      <c r="J1977" s="644" t="s">
        <v>6686</v>
      </c>
      <c r="K1977" s="739"/>
      <c r="L1977" s="638">
        <v>8</v>
      </c>
      <c r="M1977" s="638">
        <v>72000</v>
      </c>
      <c r="N1977" s="752"/>
      <c r="O1977" s="638"/>
      <c r="P1977" s="638"/>
      <c r="Q1977" s="214"/>
    </row>
    <row r="1978" spans="1:17" ht="12" customHeight="1" x14ac:dyDescent="0.2">
      <c r="A1978" s="735" t="s">
        <v>6676</v>
      </c>
      <c r="B1978" s="735" t="s">
        <v>2170</v>
      </c>
      <c r="C1978" s="638" t="s">
        <v>451</v>
      </c>
      <c r="D1978" s="644" t="s">
        <v>5503</v>
      </c>
      <c r="E1978" s="751">
        <v>9000</v>
      </c>
      <c r="F1978" s="638" t="s">
        <v>7502</v>
      </c>
      <c r="G1978" s="644" t="s">
        <v>7503</v>
      </c>
      <c r="H1978" s="636" t="s">
        <v>6684</v>
      </c>
      <c r="I1978" s="636" t="s">
        <v>6685</v>
      </c>
      <c r="J1978" s="644" t="s">
        <v>6686</v>
      </c>
      <c r="K1978" s="739"/>
      <c r="L1978" s="638">
        <v>12</v>
      </c>
      <c r="M1978" s="638">
        <v>108000</v>
      </c>
      <c r="N1978" s="752"/>
      <c r="O1978" s="638">
        <v>6</v>
      </c>
      <c r="P1978" s="638">
        <v>54000</v>
      </c>
      <c r="Q1978" s="214"/>
    </row>
    <row r="1979" spans="1:17" ht="12" customHeight="1" x14ac:dyDescent="0.2">
      <c r="A1979" s="735" t="s">
        <v>6676</v>
      </c>
      <c r="B1979" s="735" t="s">
        <v>2170</v>
      </c>
      <c r="C1979" s="638" t="s">
        <v>451</v>
      </c>
      <c r="D1979" s="644" t="s">
        <v>7504</v>
      </c>
      <c r="E1979" s="751">
        <v>3000</v>
      </c>
      <c r="F1979" s="638" t="s">
        <v>7505</v>
      </c>
      <c r="G1979" s="644" t="s">
        <v>7506</v>
      </c>
      <c r="H1979" s="636" t="s">
        <v>6907</v>
      </c>
      <c r="I1979" s="636" t="s">
        <v>2253</v>
      </c>
      <c r="J1979" s="644" t="s">
        <v>2253</v>
      </c>
      <c r="K1979" s="739"/>
      <c r="L1979" s="638">
        <v>12</v>
      </c>
      <c r="M1979" s="638">
        <v>36000</v>
      </c>
      <c r="N1979" s="752"/>
      <c r="O1979" s="638">
        <v>6</v>
      </c>
      <c r="P1979" s="638">
        <v>18000</v>
      </c>
      <c r="Q1979" s="214"/>
    </row>
    <row r="1980" spans="1:17" ht="12" customHeight="1" x14ac:dyDescent="0.2">
      <c r="A1980" s="735" t="s">
        <v>6676</v>
      </c>
      <c r="B1980" s="735" t="s">
        <v>2170</v>
      </c>
      <c r="C1980" s="638" t="s">
        <v>451</v>
      </c>
      <c r="D1980" s="644" t="s">
        <v>6865</v>
      </c>
      <c r="E1980" s="751">
        <v>12000</v>
      </c>
      <c r="F1980" s="638" t="s">
        <v>4682</v>
      </c>
      <c r="G1980" s="644" t="s">
        <v>7507</v>
      </c>
      <c r="H1980" s="636" t="s">
        <v>2179</v>
      </c>
      <c r="I1980" s="636" t="s">
        <v>6685</v>
      </c>
      <c r="J1980" s="644" t="s">
        <v>6686</v>
      </c>
      <c r="K1980" s="739"/>
      <c r="L1980" s="638"/>
      <c r="M1980" s="638"/>
      <c r="N1980" s="752"/>
      <c r="O1980" s="638">
        <v>6</v>
      </c>
      <c r="P1980" s="638">
        <v>72000</v>
      </c>
      <c r="Q1980" s="214"/>
    </row>
    <row r="1981" spans="1:17" ht="12" customHeight="1" x14ac:dyDescent="0.2">
      <c r="A1981" s="735" t="s">
        <v>6676</v>
      </c>
      <c r="B1981" s="735" t="s">
        <v>2170</v>
      </c>
      <c r="C1981" s="638" t="s">
        <v>451</v>
      </c>
      <c r="D1981" s="644" t="s">
        <v>2261</v>
      </c>
      <c r="E1981" s="751">
        <v>3500</v>
      </c>
      <c r="F1981" s="638" t="s">
        <v>7508</v>
      </c>
      <c r="G1981" s="644" t="s">
        <v>7509</v>
      </c>
      <c r="H1981" s="636" t="s">
        <v>6536</v>
      </c>
      <c r="I1981" s="636" t="s">
        <v>6548</v>
      </c>
      <c r="J1981" s="644" t="s">
        <v>6686</v>
      </c>
      <c r="K1981" s="739"/>
      <c r="L1981" s="638"/>
      <c r="M1981" s="638"/>
      <c r="N1981" s="752"/>
      <c r="O1981" s="638">
        <v>6</v>
      </c>
      <c r="P1981" s="638">
        <v>21000</v>
      </c>
      <c r="Q1981" s="214"/>
    </row>
    <row r="1982" spans="1:17" ht="12" customHeight="1" x14ac:dyDescent="0.2">
      <c r="A1982" s="735" t="s">
        <v>6676</v>
      </c>
      <c r="B1982" s="735" t="s">
        <v>2170</v>
      </c>
      <c r="C1982" s="638" t="s">
        <v>451</v>
      </c>
      <c r="D1982" s="644" t="s">
        <v>7281</v>
      </c>
      <c r="E1982" s="751">
        <v>12000</v>
      </c>
      <c r="F1982" s="638" t="s">
        <v>4687</v>
      </c>
      <c r="G1982" s="644" t="s">
        <v>7510</v>
      </c>
      <c r="H1982" s="636" t="s">
        <v>2236</v>
      </c>
      <c r="I1982" s="636" t="s">
        <v>6685</v>
      </c>
      <c r="J1982" s="644" t="s">
        <v>6686</v>
      </c>
      <c r="K1982" s="739"/>
      <c r="L1982" s="638"/>
      <c r="M1982" s="638"/>
      <c r="N1982" s="752"/>
      <c r="O1982" s="638">
        <v>6</v>
      </c>
      <c r="P1982" s="638">
        <v>72000</v>
      </c>
      <c r="Q1982" s="214"/>
    </row>
    <row r="1983" spans="1:17" ht="12" customHeight="1" x14ac:dyDescent="0.2">
      <c r="A1983" s="735" t="s">
        <v>6676</v>
      </c>
      <c r="B1983" s="735" t="s">
        <v>2170</v>
      </c>
      <c r="C1983" s="638" t="s">
        <v>451</v>
      </c>
      <c r="D1983" s="644" t="s">
        <v>2261</v>
      </c>
      <c r="E1983" s="751">
        <v>4500</v>
      </c>
      <c r="F1983" s="638" t="s">
        <v>7511</v>
      </c>
      <c r="G1983" s="644" t="s">
        <v>7512</v>
      </c>
      <c r="H1983" s="636" t="s">
        <v>2346</v>
      </c>
      <c r="I1983" s="636" t="s">
        <v>6679</v>
      </c>
      <c r="J1983" s="644" t="s">
        <v>6680</v>
      </c>
      <c r="K1983" s="739"/>
      <c r="L1983" s="638">
        <v>12</v>
      </c>
      <c r="M1983" s="638">
        <v>54000</v>
      </c>
      <c r="N1983" s="752"/>
      <c r="O1983" s="638">
        <v>6</v>
      </c>
      <c r="P1983" s="638">
        <v>27000</v>
      </c>
      <c r="Q1983" s="214"/>
    </row>
    <row r="1984" spans="1:17" ht="12" customHeight="1" x14ac:dyDescent="0.2">
      <c r="A1984" s="735" t="s">
        <v>6676</v>
      </c>
      <c r="B1984" s="735" t="s">
        <v>2170</v>
      </c>
      <c r="C1984" s="638" t="s">
        <v>451</v>
      </c>
      <c r="D1984" s="644" t="s">
        <v>6681</v>
      </c>
      <c r="E1984" s="751">
        <v>9000</v>
      </c>
      <c r="F1984" s="638" t="s">
        <v>7513</v>
      </c>
      <c r="G1984" s="644" t="s">
        <v>7514</v>
      </c>
      <c r="H1984" s="636" t="s">
        <v>6684</v>
      </c>
      <c r="I1984" s="636" t="s">
        <v>6685</v>
      </c>
      <c r="J1984" s="644" t="s">
        <v>6686</v>
      </c>
      <c r="K1984" s="739"/>
      <c r="L1984" s="638">
        <v>12</v>
      </c>
      <c r="M1984" s="638">
        <v>108000</v>
      </c>
      <c r="N1984" s="752"/>
      <c r="O1984" s="638"/>
      <c r="P1984" s="638"/>
      <c r="Q1984" s="214"/>
    </row>
    <row r="1985" spans="1:17" ht="12" customHeight="1" x14ac:dyDescent="0.2">
      <c r="A1985" s="735" t="s">
        <v>6676</v>
      </c>
      <c r="B1985" s="735" t="s">
        <v>2170</v>
      </c>
      <c r="C1985" s="638" t="s">
        <v>451</v>
      </c>
      <c r="D1985" s="644" t="s">
        <v>5624</v>
      </c>
      <c r="E1985" s="751">
        <v>9000</v>
      </c>
      <c r="F1985" s="638" t="s">
        <v>7515</v>
      </c>
      <c r="G1985" s="644" t="s">
        <v>7516</v>
      </c>
      <c r="H1985" s="636" t="s">
        <v>6536</v>
      </c>
      <c r="I1985" s="636" t="s">
        <v>6548</v>
      </c>
      <c r="J1985" s="644" t="s">
        <v>6686</v>
      </c>
      <c r="K1985" s="739"/>
      <c r="L1985" s="638">
        <v>2</v>
      </c>
      <c r="M1985" s="638">
        <v>18000</v>
      </c>
      <c r="N1985" s="752"/>
      <c r="O1985" s="638"/>
      <c r="P1985" s="638"/>
      <c r="Q1985" s="214"/>
    </row>
    <row r="1986" spans="1:17" ht="12" customHeight="1" x14ac:dyDescent="0.2">
      <c r="A1986" s="735" t="s">
        <v>6676</v>
      </c>
      <c r="B1986" s="735" t="s">
        <v>2170</v>
      </c>
      <c r="C1986" s="638" t="s">
        <v>451</v>
      </c>
      <c r="D1986" s="644" t="s">
        <v>6883</v>
      </c>
      <c r="E1986" s="751">
        <v>3000</v>
      </c>
      <c r="F1986" s="638" t="s">
        <v>7517</v>
      </c>
      <c r="G1986" s="644" t="s">
        <v>7518</v>
      </c>
      <c r="H1986" s="636" t="s">
        <v>7519</v>
      </c>
      <c r="I1986" s="636" t="s">
        <v>2180</v>
      </c>
      <c r="J1986" s="644" t="s">
        <v>6680</v>
      </c>
      <c r="K1986" s="739"/>
      <c r="L1986" s="638">
        <v>7</v>
      </c>
      <c r="M1986" s="638">
        <v>21000</v>
      </c>
      <c r="N1986" s="752"/>
      <c r="O1986" s="638"/>
      <c r="P1986" s="638"/>
      <c r="Q1986" s="214"/>
    </row>
    <row r="1987" spans="1:17" ht="12" customHeight="1" x14ac:dyDescent="0.2">
      <c r="A1987" s="735" t="s">
        <v>6676</v>
      </c>
      <c r="B1987" s="735" t="s">
        <v>2170</v>
      </c>
      <c r="C1987" s="638" t="s">
        <v>451</v>
      </c>
      <c r="D1987" s="644" t="s">
        <v>7222</v>
      </c>
      <c r="E1987" s="751">
        <v>8500</v>
      </c>
      <c r="F1987" s="638" t="s">
        <v>7520</v>
      </c>
      <c r="G1987" s="644" t="s">
        <v>7521</v>
      </c>
      <c r="H1987" s="636" t="s">
        <v>7522</v>
      </c>
      <c r="I1987" s="636" t="s">
        <v>6548</v>
      </c>
      <c r="J1987" s="644" t="s">
        <v>6686</v>
      </c>
      <c r="K1987" s="739"/>
      <c r="L1987" s="638"/>
      <c r="M1987" s="638"/>
      <c r="N1987" s="752"/>
      <c r="O1987" s="638">
        <v>6</v>
      </c>
      <c r="P1987" s="638">
        <v>51000</v>
      </c>
      <c r="Q1987" s="214"/>
    </row>
    <row r="1988" spans="1:17" ht="12" customHeight="1" x14ac:dyDescent="0.2">
      <c r="A1988" s="735" t="s">
        <v>6676</v>
      </c>
      <c r="B1988" s="735" t="s">
        <v>2170</v>
      </c>
      <c r="C1988" s="638" t="s">
        <v>451</v>
      </c>
      <c r="D1988" s="644" t="s">
        <v>6717</v>
      </c>
      <c r="E1988" s="751">
        <v>9000</v>
      </c>
      <c r="F1988" s="638" t="s">
        <v>7523</v>
      </c>
      <c r="G1988" s="644" t="s">
        <v>7524</v>
      </c>
      <c r="H1988" s="636" t="s">
        <v>6684</v>
      </c>
      <c r="I1988" s="636" t="s">
        <v>6685</v>
      </c>
      <c r="J1988" s="644" t="s">
        <v>6686</v>
      </c>
      <c r="K1988" s="739"/>
      <c r="L1988" s="638">
        <v>10</v>
      </c>
      <c r="M1988" s="638">
        <v>90000</v>
      </c>
      <c r="N1988" s="752"/>
      <c r="O1988" s="638"/>
      <c r="P1988" s="638"/>
      <c r="Q1988" s="214"/>
    </row>
    <row r="1989" spans="1:17" ht="12" customHeight="1" x14ac:dyDescent="0.2">
      <c r="A1989" s="735" t="s">
        <v>6676</v>
      </c>
      <c r="B1989" s="735" t="s">
        <v>2170</v>
      </c>
      <c r="C1989" s="638" t="s">
        <v>451</v>
      </c>
      <c r="D1989" s="644" t="s">
        <v>6862</v>
      </c>
      <c r="E1989" s="751">
        <v>9000</v>
      </c>
      <c r="F1989" s="638" t="s">
        <v>7523</v>
      </c>
      <c r="G1989" s="644" t="s">
        <v>7524</v>
      </c>
      <c r="H1989" s="636" t="s">
        <v>6684</v>
      </c>
      <c r="I1989" s="636" t="s">
        <v>6685</v>
      </c>
      <c r="J1989" s="644" t="s">
        <v>6686</v>
      </c>
      <c r="K1989" s="739"/>
      <c r="L1989" s="638"/>
      <c r="M1989" s="638"/>
      <c r="N1989" s="752"/>
      <c r="O1989" s="638">
        <v>6</v>
      </c>
      <c r="P1989" s="638">
        <v>54000</v>
      </c>
      <c r="Q1989" s="214"/>
    </row>
    <row r="1990" spans="1:17" ht="12" customHeight="1" x14ac:dyDescent="0.2">
      <c r="A1990" s="735" t="s">
        <v>6676</v>
      </c>
      <c r="B1990" s="735" t="s">
        <v>2170</v>
      </c>
      <c r="C1990" s="638" t="s">
        <v>451</v>
      </c>
      <c r="D1990" s="644" t="s">
        <v>6681</v>
      </c>
      <c r="E1990" s="751">
        <v>9000</v>
      </c>
      <c r="F1990" s="638" t="s">
        <v>7525</v>
      </c>
      <c r="G1990" s="644" t="s">
        <v>7526</v>
      </c>
      <c r="H1990" s="636" t="s">
        <v>6684</v>
      </c>
      <c r="I1990" s="636" t="s">
        <v>6685</v>
      </c>
      <c r="J1990" s="644" t="s">
        <v>6686</v>
      </c>
      <c r="K1990" s="739"/>
      <c r="L1990" s="638">
        <v>3</v>
      </c>
      <c r="M1990" s="638">
        <v>27000</v>
      </c>
      <c r="N1990" s="752"/>
      <c r="O1990" s="638"/>
      <c r="P1990" s="638"/>
      <c r="Q1990" s="214"/>
    </row>
    <row r="1991" spans="1:17" ht="12" customHeight="1" x14ac:dyDescent="0.2">
      <c r="A1991" s="735" t="s">
        <v>6676</v>
      </c>
      <c r="B1991" s="735" t="s">
        <v>2170</v>
      </c>
      <c r="C1991" s="638" t="s">
        <v>451</v>
      </c>
      <c r="D1991" s="644" t="s">
        <v>7016</v>
      </c>
      <c r="E1991" s="751">
        <v>10000</v>
      </c>
      <c r="F1991" s="638" t="s">
        <v>7525</v>
      </c>
      <c r="G1991" s="644" t="s">
        <v>7526</v>
      </c>
      <c r="H1991" s="636" t="s">
        <v>6684</v>
      </c>
      <c r="I1991" s="636" t="s">
        <v>6685</v>
      </c>
      <c r="J1991" s="644" t="s">
        <v>6686</v>
      </c>
      <c r="K1991" s="739"/>
      <c r="L1991" s="638">
        <v>9</v>
      </c>
      <c r="M1991" s="638">
        <v>90000</v>
      </c>
      <c r="N1991" s="752"/>
      <c r="O1991" s="638">
        <v>6</v>
      </c>
      <c r="P1991" s="638">
        <v>60000</v>
      </c>
      <c r="Q1991" s="214"/>
    </row>
    <row r="1992" spans="1:17" ht="12" customHeight="1" x14ac:dyDescent="0.2">
      <c r="A1992" s="735" t="s">
        <v>6676</v>
      </c>
      <c r="B1992" s="735" t="s">
        <v>2170</v>
      </c>
      <c r="C1992" s="638" t="s">
        <v>451</v>
      </c>
      <c r="D1992" s="644" t="s">
        <v>6681</v>
      </c>
      <c r="E1992" s="751">
        <v>9000</v>
      </c>
      <c r="F1992" s="638" t="s">
        <v>7527</v>
      </c>
      <c r="G1992" s="644" t="s">
        <v>7528</v>
      </c>
      <c r="H1992" s="636" t="s">
        <v>6684</v>
      </c>
      <c r="I1992" s="636" t="s">
        <v>6685</v>
      </c>
      <c r="J1992" s="644" t="s">
        <v>6686</v>
      </c>
      <c r="K1992" s="739"/>
      <c r="L1992" s="638">
        <v>12</v>
      </c>
      <c r="M1992" s="638">
        <v>108000</v>
      </c>
      <c r="N1992" s="752"/>
      <c r="O1992" s="638">
        <v>6</v>
      </c>
      <c r="P1992" s="638">
        <v>54000</v>
      </c>
      <c r="Q1992" s="214"/>
    </row>
    <row r="1993" spans="1:17" ht="12" customHeight="1" x14ac:dyDescent="0.2">
      <c r="A1993" s="735" t="s">
        <v>6676</v>
      </c>
      <c r="B1993" s="735" t="s">
        <v>2170</v>
      </c>
      <c r="C1993" s="638" t="s">
        <v>451</v>
      </c>
      <c r="D1993" s="644" t="s">
        <v>6700</v>
      </c>
      <c r="E1993" s="751">
        <v>3500</v>
      </c>
      <c r="F1993" s="638" t="s">
        <v>7529</v>
      </c>
      <c r="G1993" s="644" t="s">
        <v>7530</v>
      </c>
      <c r="H1993" s="636" t="s">
        <v>7152</v>
      </c>
      <c r="I1993" s="636" t="s">
        <v>2766</v>
      </c>
      <c r="J1993" s="644" t="s">
        <v>2766</v>
      </c>
      <c r="K1993" s="739"/>
      <c r="L1993" s="638">
        <v>3</v>
      </c>
      <c r="M1993" s="638">
        <v>10500</v>
      </c>
      <c r="N1993" s="752"/>
      <c r="O1993" s="638"/>
      <c r="P1993" s="638"/>
      <c r="Q1993" s="214"/>
    </row>
    <row r="1994" spans="1:17" ht="12" customHeight="1" x14ac:dyDescent="0.2">
      <c r="A1994" s="735" t="s">
        <v>6676</v>
      </c>
      <c r="B1994" s="735" t="s">
        <v>2170</v>
      </c>
      <c r="C1994" s="638" t="s">
        <v>451</v>
      </c>
      <c r="D1994" s="644" t="s">
        <v>2265</v>
      </c>
      <c r="E1994" s="751">
        <v>9500</v>
      </c>
      <c r="F1994" s="638" t="s">
        <v>7531</v>
      </c>
      <c r="G1994" s="644" t="s">
        <v>7532</v>
      </c>
      <c r="H1994" s="636" t="s">
        <v>6633</v>
      </c>
      <c r="I1994" s="636" t="s">
        <v>6548</v>
      </c>
      <c r="J1994" s="644" t="s">
        <v>6686</v>
      </c>
      <c r="K1994" s="739"/>
      <c r="L1994" s="638"/>
      <c r="M1994" s="638"/>
      <c r="N1994" s="752"/>
      <c r="O1994" s="638">
        <v>2</v>
      </c>
      <c r="P1994" s="638">
        <v>19000</v>
      </c>
      <c r="Q1994" s="214"/>
    </row>
    <row r="1995" spans="1:17" ht="12" customHeight="1" x14ac:dyDescent="0.2">
      <c r="A1995" s="735" t="s">
        <v>6676</v>
      </c>
      <c r="B1995" s="735" t="s">
        <v>2170</v>
      </c>
      <c r="C1995" s="638" t="s">
        <v>451</v>
      </c>
      <c r="D1995" s="644" t="s">
        <v>5560</v>
      </c>
      <c r="E1995" s="751">
        <v>9000</v>
      </c>
      <c r="F1995" s="638" t="s">
        <v>7533</v>
      </c>
      <c r="G1995" s="644" t="s">
        <v>7534</v>
      </c>
      <c r="H1995" s="636" t="s">
        <v>6536</v>
      </c>
      <c r="I1995" s="636" t="s">
        <v>6548</v>
      </c>
      <c r="J1995" s="644" t="s">
        <v>6686</v>
      </c>
      <c r="K1995" s="739"/>
      <c r="L1995" s="638"/>
      <c r="M1995" s="638"/>
      <c r="N1995" s="752"/>
      <c r="O1995" s="638">
        <v>6</v>
      </c>
      <c r="P1995" s="638">
        <v>54000</v>
      </c>
      <c r="Q1995" s="214"/>
    </row>
    <row r="1996" spans="1:17" ht="12" customHeight="1" x14ac:dyDescent="0.2">
      <c r="A1996" s="735" t="s">
        <v>6676</v>
      </c>
      <c r="B1996" s="735" t="s">
        <v>2170</v>
      </c>
      <c r="C1996" s="638" t="s">
        <v>451</v>
      </c>
      <c r="D1996" s="644" t="s">
        <v>7535</v>
      </c>
      <c r="E1996" s="751">
        <v>8500</v>
      </c>
      <c r="F1996" s="638" t="s">
        <v>7536</v>
      </c>
      <c r="G1996" s="644" t="s">
        <v>7537</v>
      </c>
      <c r="H1996" s="636" t="s">
        <v>7538</v>
      </c>
      <c r="I1996" s="636" t="s">
        <v>6685</v>
      </c>
      <c r="J1996" s="644" t="s">
        <v>6686</v>
      </c>
      <c r="K1996" s="739"/>
      <c r="L1996" s="638"/>
      <c r="M1996" s="638"/>
      <c r="N1996" s="752"/>
      <c r="O1996" s="638">
        <v>6</v>
      </c>
      <c r="P1996" s="638">
        <v>51000</v>
      </c>
      <c r="Q1996" s="214"/>
    </row>
    <row r="1997" spans="1:17" ht="12" customHeight="1" x14ac:dyDescent="0.2">
      <c r="A1997" s="735" t="s">
        <v>6676</v>
      </c>
      <c r="B1997" s="735" t="s">
        <v>2170</v>
      </c>
      <c r="C1997" s="638" t="s">
        <v>451</v>
      </c>
      <c r="D1997" s="644" t="s">
        <v>6734</v>
      </c>
      <c r="E1997" s="751">
        <v>10000</v>
      </c>
      <c r="F1997" s="638" t="s">
        <v>7539</v>
      </c>
      <c r="G1997" s="644" t="s">
        <v>7540</v>
      </c>
      <c r="H1997" s="636" t="s">
        <v>6536</v>
      </c>
      <c r="I1997" s="636" t="s">
        <v>6548</v>
      </c>
      <c r="J1997" s="644" t="s">
        <v>6686</v>
      </c>
      <c r="K1997" s="739"/>
      <c r="L1997" s="638"/>
      <c r="M1997" s="638"/>
      <c r="N1997" s="752"/>
      <c r="O1997" s="638">
        <v>6</v>
      </c>
      <c r="P1997" s="638">
        <v>60000</v>
      </c>
      <c r="Q1997" s="214"/>
    </row>
    <row r="1998" spans="1:17" ht="12" customHeight="1" x14ac:dyDescent="0.2">
      <c r="A1998" s="735" t="s">
        <v>6676</v>
      </c>
      <c r="B1998" s="735" t="s">
        <v>2170</v>
      </c>
      <c r="C1998" s="638" t="s">
        <v>451</v>
      </c>
      <c r="D1998" s="644" t="s">
        <v>2591</v>
      </c>
      <c r="E1998" s="751">
        <v>15600</v>
      </c>
      <c r="F1998" s="638" t="s">
        <v>4808</v>
      </c>
      <c r="G1998" s="644" t="s">
        <v>7541</v>
      </c>
      <c r="H1998" s="636" t="s">
        <v>6536</v>
      </c>
      <c r="I1998" s="636" t="s">
        <v>6548</v>
      </c>
      <c r="J1998" s="644" t="s">
        <v>6686</v>
      </c>
      <c r="K1998" s="739"/>
      <c r="L1998" s="638">
        <v>1</v>
      </c>
      <c r="M1998" s="638">
        <v>15600</v>
      </c>
      <c r="N1998" s="752"/>
      <c r="O1998" s="638"/>
      <c r="P1998" s="638"/>
      <c r="Q1998" s="214"/>
    </row>
    <row r="1999" spans="1:17" ht="12" customHeight="1" x14ac:dyDescent="0.2">
      <c r="A1999" s="735" t="s">
        <v>6676</v>
      </c>
      <c r="B1999" s="735" t="s">
        <v>2170</v>
      </c>
      <c r="C1999" s="638" t="s">
        <v>451</v>
      </c>
      <c r="D1999" s="644" t="s">
        <v>6725</v>
      </c>
      <c r="E1999" s="751">
        <v>8500</v>
      </c>
      <c r="F1999" s="638" t="s">
        <v>7542</v>
      </c>
      <c r="G1999" s="644" t="s">
        <v>7543</v>
      </c>
      <c r="H1999" s="636" t="s">
        <v>2317</v>
      </c>
      <c r="I1999" s="636" t="s">
        <v>6685</v>
      </c>
      <c r="J1999" s="644" t="s">
        <v>6686</v>
      </c>
      <c r="K1999" s="739"/>
      <c r="L1999" s="638">
        <v>12</v>
      </c>
      <c r="M1999" s="638">
        <v>102000</v>
      </c>
      <c r="N1999" s="752"/>
      <c r="O1999" s="638">
        <v>6</v>
      </c>
      <c r="P1999" s="638">
        <v>51000</v>
      </c>
      <c r="Q1999" s="214"/>
    </row>
    <row r="2000" spans="1:17" ht="12" customHeight="1" x14ac:dyDescent="0.2">
      <c r="A2000" s="735" t="s">
        <v>6676</v>
      </c>
      <c r="B2000" s="735" t="s">
        <v>2170</v>
      </c>
      <c r="C2000" s="638" t="s">
        <v>451</v>
      </c>
      <c r="D2000" s="644" t="s">
        <v>6883</v>
      </c>
      <c r="E2000" s="751">
        <v>3000</v>
      </c>
      <c r="F2000" s="638" t="s">
        <v>7544</v>
      </c>
      <c r="G2000" s="644" t="s">
        <v>7545</v>
      </c>
      <c r="H2000" s="636" t="s">
        <v>2253</v>
      </c>
      <c r="I2000" s="636" t="s">
        <v>2253</v>
      </c>
      <c r="J2000" s="644" t="s">
        <v>2253</v>
      </c>
      <c r="K2000" s="739"/>
      <c r="L2000" s="638"/>
      <c r="M2000" s="638"/>
      <c r="N2000" s="752"/>
      <c r="O2000" s="638">
        <v>6</v>
      </c>
      <c r="P2000" s="638">
        <v>18000</v>
      </c>
      <c r="Q2000" s="214"/>
    </row>
    <row r="2001" spans="1:17" ht="12" customHeight="1" x14ac:dyDescent="0.2">
      <c r="A2001" s="735" t="s">
        <v>6676</v>
      </c>
      <c r="B2001" s="735" t="s">
        <v>2170</v>
      </c>
      <c r="C2001" s="638" t="s">
        <v>451</v>
      </c>
      <c r="D2001" s="644" t="s">
        <v>6693</v>
      </c>
      <c r="E2001" s="751">
        <v>5000</v>
      </c>
      <c r="F2001" s="638" t="s">
        <v>7546</v>
      </c>
      <c r="G2001" s="644" t="s">
        <v>7547</v>
      </c>
      <c r="H2001" s="636" t="s">
        <v>6684</v>
      </c>
      <c r="I2001" s="636" t="s">
        <v>6685</v>
      </c>
      <c r="J2001" s="644" t="s">
        <v>6686</v>
      </c>
      <c r="K2001" s="739"/>
      <c r="L2001" s="638">
        <v>10</v>
      </c>
      <c r="M2001" s="638">
        <v>50000</v>
      </c>
      <c r="N2001" s="752"/>
      <c r="O2001" s="638"/>
      <c r="P2001" s="638"/>
      <c r="Q2001" s="214"/>
    </row>
    <row r="2002" spans="1:17" ht="12" customHeight="1" x14ac:dyDescent="0.2">
      <c r="A2002" s="735" t="s">
        <v>6676</v>
      </c>
      <c r="B2002" s="735" t="s">
        <v>2170</v>
      </c>
      <c r="C2002" s="638" t="s">
        <v>451</v>
      </c>
      <c r="D2002" s="644" t="s">
        <v>5560</v>
      </c>
      <c r="E2002" s="751">
        <v>9000</v>
      </c>
      <c r="F2002" s="638" t="s">
        <v>7548</v>
      </c>
      <c r="G2002" s="644" t="s">
        <v>7549</v>
      </c>
      <c r="H2002" s="636" t="s">
        <v>6536</v>
      </c>
      <c r="I2002" s="636" t="s">
        <v>6548</v>
      </c>
      <c r="J2002" s="644" t="s">
        <v>6686</v>
      </c>
      <c r="K2002" s="739"/>
      <c r="L2002" s="638"/>
      <c r="M2002" s="638"/>
      <c r="N2002" s="752"/>
      <c r="O2002" s="638">
        <v>2</v>
      </c>
      <c r="P2002" s="638">
        <v>18000</v>
      </c>
      <c r="Q2002" s="214"/>
    </row>
    <row r="2003" spans="1:17" ht="12" customHeight="1" x14ac:dyDescent="0.2">
      <c r="A2003" s="735" t="s">
        <v>6676</v>
      </c>
      <c r="B2003" s="735" t="s">
        <v>2170</v>
      </c>
      <c r="C2003" s="638" t="s">
        <v>451</v>
      </c>
      <c r="D2003" s="644" t="s">
        <v>2261</v>
      </c>
      <c r="E2003" s="751">
        <v>3000</v>
      </c>
      <c r="F2003" s="638" t="s">
        <v>7550</v>
      </c>
      <c r="G2003" s="644" t="s">
        <v>7551</v>
      </c>
      <c r="H2003" s="636" t="s">
        <v>2346</v>
      </c>
      <c r="I2003" s="636" t="s">
        <v>6679</v>
      </c>
      <c r="J2003" s="644" t="s">
        <v>6680</v>
      </c>
      <c r="K2003" s="739"/>
      <c r="L2003" s="638">
        <v>12</v>
      </c>
      <c r="M2003" s="638">
        <v>36000</v>
      </c>
      <c r="N2003" s="752"/>
      <c r="O2003" s="638">
        <v>6</v>
      </c>
      <c r="P2003" s="638">
        <v>18000</v>
      </c>
      <c r="Q2003" s="214"/>
    </row>
    <row r="2004" spans="1:17" ht="12" customHeight="1" x14ac:dyDescent="0.2">
      <c r="A2004" s="735" t="s">
        <v>6676</v>
      </c>
      <c r="B2004" s="735" t="s">
        <v>2170</v>
      </c>
      <c r="C2004" s="638" t="s">
        <v>451</v>
      </c>
      <c r="D2004" s="644" t="s">
        <v>7552</v>
      </c>
      <c r="E2004" s="751">
        <v>9000</v>
      </c>
      <c r="F2004" s="638" t="s">
        <v>7553</v>
      </c>
      <c r="G2004" s="644" t="s">
        <v>7554</v>
      </c>
      <c r="H2004" s="636" t="s">
        <v>6684</v>
      </c>
      <c r="I2004" s="636" t="s">
        <v>6685</v>
      </c>
      <c r="J2004" s="644" t="s">
        <v>6686</v>
      </c>
      <c r="K2004" s="739"/>
      <c r="L2004" s="638">
        <v>12</v>
      </c>
      <c r="M2004" s="638">
        <v>108000</v>
      </c>
      <c r="N2004" s="752"/>
      <c r="O2004" s="638">
        <v>6</v>
      </c>
      <c r="P2004" s="638">
        <v>54000</v>
      </c>
      <c r="Q2004" s="214"/>
    </row>
    <row r="2005" spans="1:17" ht="12" customHeight="1" x14ac:dyDescent="0.2">
      <c r="A2005" s="735" t="s">
        <v>6676</v>
      </c>
      <c r="B2005" s="735" t="s">
        <v>2170</v>
      </c>
      <c r="C2005" s="638" t="s">
        <v>451</v>
      </c>
      <c r="D2005" s="644" t="s">
        <v>7112</v>
      </c>
      <c r="E2005" s="751">
        <v>12000</v>
      </c>
      <c r="F2005" s="638" t="s">
        <v>7555</v>
      </c>
      <c r="G2005" s="644" t="s">
        <v>7556</v>
      </c>
      <c r="H2005" s="636" t="s">
        <v>6536</v>
      </c>
      <c r="I2005" s="636" t="s">
        <v>6548</v>
      </c>
      <c r="J2005" s="644" t="s">
        <v>6686</v>
      </c>
      <c r="K2005" s="739"/>
      <c r="L2005" s="638">
        <v>4</v>
      </c>
      <c r="M2005" s="638">
        <v>48000</v>
      </c>
      <c r="N2005" s="752"/>
      <c r="O2005" s="638"/>
      <c r="P2005" s="638"/>
      <c r="Q2005" s="214"/>
    </row>
    <row r="2006" spans="1:17" ht="12" customHeight="1" x14ac:dyDescent="0.2">
      <c r="A2006" s="735" t="s">
        <v>6676</v>
      </c>
      <c r="B2006" s="735" t="s">
        <v>2170</v>
      </c>
      <c r="C2006" s="638" t="s">
        <v>451</v>
      </c>
      <c r="D2006" s="644" t="s">
        <v>7552</v>
      </c>
      <c r="E2006" s="751">
        <v>9000</v>
      </c>
      <c r="F2006" s="638" t="s">
        <v>7557</v>
      </c>
      <c r="G2006" s="644" t="s">
        <v>7558</v>
      </c>
      <c r="H2006" s="636" t="s">
        <v>6684</v>
      </c>
      <c r="I2006" s="636" t="s">
        <v>6685</v>
      </c>
      <c r="J2006" s="644" t="s">
        <v>6686</v>
      </c>
      <c r="K2006" s="739"/>
      <c r="L2006" s="638">
        <v>12</v>
      </c>
      <c r="M2006" s="638">
        <v>108000</v>
      </c>
      <c r="N2006" s="752"/>
      <c r="O2006" s="638">
        <v>6</v>
      </c>
      <c r="P2006" s="638">
        <v>54000</v>
      </c>
      <c r="Q2006" s="214"/>
    </row>
    <row r="2007" spans="1:17" ht="12" customHeight="1" x14ac:dyDescent="0.2">
      <c r="A2007" s="735" t="s">
        <v>6676</v>
      </c>
      <c r="B2007" s="735" t="s">
        <v>2170</v>
      </c>
      <c r="C2007" s="638" t="s">
        <v>451</v>
      </c>
      <c r="D2007" s="644" t="s">
        <v>6735</v>
      </c>
      <c r="E2007" s="751">
        <v>3500</v>
      </c>
      <c r="F2007" s="638" t="s">
        <v>7559</v>
      </c>
      <c r="G2007" s="644" t="s">
        <v>7560</v>
      </c>
      <c r="H2007" s="636" t="s">
        <v>6684</v>
      </c>
      <c r="I2007" s="636" t="s">
        <v>6685</v>
      </c>
      <c r="J2007" s="644" t="s">
        <v>6686</v>
      </c>
      <c r="K2007" s="739"/>
      <c r="L2007" s="638">
        <v>1</v>
      </c>
      <c r="M2007" s="638">
        <v>3500</v>
      </c>
      <c r="N2007" s="752"/>
      <c r="O2007" s="638"/>
      <c r="P2007" s="638"/>
      <c r="Q2007" s="214"/>
    </row>
    <row r="2008" spans="1:17" ht="12" customHeight="1" x14ac:dyDescent="0.2">
      <c r="A2008" s="735" t="s">
        <v>6676</v>
      </c>
      <c r="B2008" s="735" t="s">
        <v>2170</v>
      </c>
      <c r="C2008" s="638" t="s">
        <v>451</v>
      </c>
      <c r="D2008" s="644" t="s">
        <v>6693</v>
      </c>
      <c r="E2008" s="751">
        <v>5000</v>
      </c>
      <c r="F2008" s="638" t="s">
        <v>7561</v>
      </c>
      <c r="G2008" s="644" t="s">
        <v>7562</v>
      </c>
      <c r="H2008" s="636" t="s">
        <v>7563</v>
      </c>
      <c r="I2008" s="636" t="s">
        <v>6685</v>
      </c>
      <c r="J2008" s="644" t="s">
        <v>6686</v>
      </c>
      <c r="K2008" s="739"/>
      <c r="L2008" s="638">
        <v>12</v>
      </c>
      <c r="M2008" s="638">
        <v>60000</v>
      </c>
      <c r="N2008" s="752"/>
      <c r="O2008" s="638">
        <v>6</v>
      </c>
      <c r="P2008" s="638">
        <v>30000</v>
      </c>
      <c r="Q2008" s="214"/>
    </row>
    <row r="2009" spans="1:17" ht="12" customHeight="1" x14ac:dyDescent="0.2">
      <c r="A2009" s="735" t="s">
        <v>6676</v>
      </c>
      <c r="B2009" s="735" t="s">
        <v>2170</v>
      </c>
      <c r="C2009" s="638" t="s">
        <v>451</v>
      </c>
      <c r="D2009" s="644" t="s">
        <v>6690</v>
      </c>
      <c r="E2009" s="751">
        <v>8500</v>
      </c>
      <c r="F2009" s="638" t="s">
        <v>7564</v>
      </c>
      <c r="G2009" s="644" t="s">
        <v>7565</v>
      </c>
      <c r="H2009" s="636" t="s">
        <v>6580</v>
      </c>
      <c r="I2009" s="636" t="s">
        <v>6685</v>
      </c>
      <c r="J2009" s="644" t="s">
        <v>6686</v>
      </c>
      <c r="K2009" s="739"/>
      <c r="L2009" s="638">
        <v>12</v>
      </c>
      <c r="M2009" s="638">
        <v>102000</v>
      </c>
      <c r="N2009" s="752"/>
      <c r="O2009" s="638">
        <v>6</v>
      </c>
      <c r="P2009" s="638">
        <v>51000</v>
      </c>
      <c r="Q2009" s="214"/>
    </row>
    <row r="2010" spans="1:17" ht="12" customHeight="1" x14ac:dyDescent="0.2">
      <c r="A2010" s="735" t="s">
        <v>6676</v>
      </c>
      <c r="B2010" s="735" t="s">
        <v>2170</v>
      </c>
      <c r="C2010" s="638" t="s">
        <v>451</v>
      </c>
      <c r="D2010" s="644" t="s">
        <v>7566</v>
      </c>
      <c r="E2010" s="751">
        <v>8500</v>
      </c>
      <c r="F2010" s="638" t="s">
        <v>7567</v>
      </c>
      <c r="G2010" s="644" t="s">
        <v>7568</v>
      </c>
      <c r="H2010" s="636" t="s">
        <v>7152</v>
      </c>
      <c r="I2010" s="636" t="s">
        <v>6548</v>
      </c>
      <c r="J2010" s="644" t="s">
        <v>6686</v>
      </c>
      <c r="K2010" s="739"/>
      <c r="L2010" s="638">
        <v>4</v>
      </c>
      <c r="M2010" s="638">
        <f>8500*4</f>
        <v>34000</v>
      </c>
      <c r="N2010" s="752"/>
      <c r="O2010" s="638"/>
      <c r="P2010" s="638"/>
      <c r="Q2010" s="214"/>
    </row>
    <row r="2011" spans="1:17" ht="12" customHeight="1" x14ac:dyDescent="0.2">
      <c r="A2011" s="735" t="s">
        <v>6676</v>
      </c>
      <c r="B2011" s="735" t="s">
        <v>2170</v>
      </c>
      <c r="C2011" s="638" t="s">
        <v>451</v>
      </c>
      <c r="D2011" s="644" t="s">
        <v>2261</v>
      </c>
      <c r="E2011" s="751">
        <v>3500</v>
      </c>
      <c r="F2011" s="638" t="s">
        <v>7569</v>
      </c>
      <c r="G2011" s="644" t="s">
        <v>7570</v>
      </c>
      <c r="H2011" s="636" t="s">
        <v>6536</v>
      </c>
      <c r="I2011" s="636" t="s">
        <v>6548</v>
      </c>
      <c r="J2011" s="644" t="s">
        <v>6686</v>
      </c>
      <c r="K2011" s="739"/>
      <c r="L2011" s="638">
        <v>1</v>
      </c>
      <c r="M2011" s="638">
        <v>3500</v>
      </c>
      <c r="N2011" s="752"/>
      <c r="O2011" s="638"/>
      <c r="P2011" s="638"/>
      <c r="Q2011" s="214"/>
    </row>
    <row r="2012" spans="1:17" ht="12" customHeight="1" x14ac:dyDescent="0.2">
      <c r="A2012" s="735" t="s">
        <v>6676</v>
      </c>
      <c r="B2012" s="735" t="s">
        <v>2170</v>
      </c>
      <c r="C2012" s="638" t="s">
        <v>451</v>
      </c>
      <c r="D2012" s="644" t="s">
        <v>6690</v>
      </c>
      <c r="E2012" s="751">
        <v>8500</v>
      </c>
      <c r="F2012" s="638" t="s">
        <v>7571</v>
      </c>
      <c r="G2012" s="644" t="s">
        <v>7572</v>
      </c>
      <c r="H2012" s="636" t="s">
        <v>6580</v>
      </c>
      <c r="I2012" s="636" t="s">
        <v>6685</v>
      </c>
      <c r="J2012" s="644" t="s">
        <v>6686</v>
      </c>
      <c r="K2012" s="739"/>
      <c r="L2012" s="638">
        <v>3</v>
      </c>
      <c r="M2012" s="638">
        <v>25500</v>
      </c>
      <c r="N2012" s="752"/>
      <c r="O2012" s="638"/>
      <c r="P2012" s="638"/>
      <c r="Q2012" s="214"/>
    </row>
    <row r="2013" spans="1:17" ht="12" customHeight="1" x14ac:dyDescent="0.2">
      <c r="A2013" s="735" t="s">
        <v>6676</v>
      </c>
      <c r="B2013" s="735" t="s">
        <v>2170</v>
      </c>
      <c r="C2013" s="638" t="s">
        <v>451</v>
      </c>
      <c r="D2013" s="644" t="s">
        <v>6693</v>
      </c>
      <c r="E2013" s="751">
        <v>5000</v>
      </c>
      <c r="F2013" s="638" t="s">
        <v>7573</v>
      </c>
      <c r="G2013" s="644" t="s">
        <v>7574</v>
      </c>
      <c r="H2013" s="636" t="s">
        <v>7082</v>
      </c>
      <c r="I2013" s="636" t="s">
        <v>6685</v>
      </c>
      <c r="J2013" s="644" t="s">
        <v>6686</v>
      </c>
      <c r="K2013" s="739"/>
      <c r="L2013" s="638">
        <v>12</v>
      </c>
      <c r="M2013" s="638">
        <v>60000</v>
      </c>
      <c r="N2013" s="752"/>
      <c r="O2013" s="638">
        <v>6</v>
      </c>
      <c r="P2013" s="638">
        <v>30000</v>
      </c>
      <c r="Q2013" s="214"/>
    </row>
    <row r="2014" spans="1:17" ht="12" customHeight="1" x14ac:dyDescent="0.2">
      <c r="A2014" s="735" t="s">
        <v>6676</v>
      </c>
      <c r="B2014" s="735" t="s">
        <v>2170</v>
      </c>
      <c r="C2014" s="638" t="s">
        <v>451</v>
      </c>
      <c r="D2014" s="644" t="s">
        <v>6681</v>
      </c>
      <c r="E2014" s="751">
        <v>9000</v>
      </c>
      <c r="F2014" s="638" t="s">
        <v>7575</v>
      </c>
      <c r="G2014" s="644" t="s">
        <v>7576</v>
      </c>
      <c r="H2014" s="636" t="s">
        <v>6684</v>
      </c>
      <c r="I2014" s="636" t="s">
        <v>6685</v>
      </c>
      <c r="J2014" s="644" t="s">
        <v>6686</v>
      </c>
      <c r="K2014" s="739"/>
      <c r="L2014" s="638">
        <v>12</v>
      </c>
      <c r="M2014" s="638">
        <v>108000</v>
      </c>
      <c r="N2014" s="752"/>
      <c r="O2014" s="638">
        <v>6</v>
      </c>
      <c r="P2014" s="638">
        <v>54000</v>
      </c>
      <c r="Q2014" s="214"/>
    </row>
    <row r="2015" spans="1:17" ht="12" customHeight="1" x14ac:dyDescent="0.2">
      <c r="A2015" s="735" t="s">
        <v>6676</v>
      </c>
      <c r="B2015" s="735" t="s">
        <v>2170</v>
      </c>
      <c r="C2015" s="638" t="s">
        <v>451</v>
      </c>
      <c r="D2015" s="644" t="s">
        <v>6883</v>
      </c>
      <c r="E2015" s="751">
        <v>3800</v>
      </c>
      <c r="F2015" s="638" t="s">
        <v>7577</v>
      </c>
      <c r="G2015" s="644" t="s">
        <v>7578</v>
      </c>
      <c r="H2015" s="636" t="s">
        <v>6931</v>
      </c>
      <c r="I2015" s="636" t="s">
        <v>2253</v>
      </c>
      <c r="J2015" s="644" t="s">
        <v>2253</v>
      </c>
      <c r="K2015" s="739"/>
      <c r="L2015" s="638">
        <v>12</v>
      </c>
      <c r="M2015" s="638">
        <v>45600</v>
      </c>
      <c r="N2015" s="752"/>
      <c r="O2015" s="638">
        <v>6</v>
      </c>
      <c r="P2015" s="638">
        <v>22800</v>
      </c>
      <c r="Q2015" s="214"/>
    </row>
    <row r="2016" spans="1:17" ht="12" customHeight="1" x14ac:dyDescent="0.2">
      <c r="A2016" s="735" t="s">
        <v>6676</v>
      </c>
      <c r="B2016" s="735" t="s">
        <v>2170</v>
      </c>
      <c r="C2016" s="638" t="s">
        <v>451</v>
      </c>
      <c r="D2016" s="644" t="s">
        <v>6735</v>
      </c>
      <c r="E2016" s="751">
        <v>2800</v>
      </c>
      <c r="F2016" s="638" t="s">
        <v>7579</v>
      </c>
      <c r="G2016" s="644" t="s">
        <v>7580</v>
      </c>
      <c r="H2016" s="636" t="s">
        <v>6684</v>
      </c>
      <c r="I2016" s="636" t="s">
        <v>6685</v>
      </c>
      <c r="J2016" s="644" t="s">
        <v>6686</v>
      </c>
      <c r="K2016" s="739"/>
      <c r="L2016" s="638">
        <v>12</v>
      </c>
      <c r="M2016" s="638">
        <v>33600</v>
      </c>
      <c r="N2016" s="752"/>
      <c r="O2016" s="638">
        <v>6</v>
      </c>
      <c r="P2016" s="638">
        <v>16800</v>
      </c>
      <c r="Q2016" s="214"/>
    </row>
    <row r="2017" spans="1:17" ht="12" customHeight="1" x14ac:dyDescent="0.2">
      <c r="A2017" s="735" t="s">
        <v>6676</v>
      </c>
      <c r="B2017" s="735" t="s">
        <v>2170</v>
      </c>
      <c r="C2017" s="638" t="s">
        <v>451</v>
      </c>
      <c r="D2017" s="644" t="s">
        <v>7581</v>
      </c>
      <c r="E2017" s="751">
        <v>9000</v>
      </c>
      <c r="F2017" s="638" t="s">
        <v>6338</v>
      </c>
      <c r="G2017" s="644" t="s">
        <v>7582</v>
      </c>
      <c r="H2017" s="636" t="s">
        <v>6684</v>
      </c>
      <c r="I2017" s="636" t="s">
        <v>6685</v>
      </c>
      <c r="J2017" s="644" t="s">
        <v>6686</v>
      </c>
      <c r="K2017" s="739"/>
      <c r="L2017" s="638">
        <v>12</v>
      </c>
      <c r="M2017" s="638">
        <v>108000</v>
      </c>
      <c r="N2017" s="752"/>
      <c r="O2017" s="638">
        <v>2</v>
      </c>
      <c r="P2017" s="638">
        <v>18000</v>
      </c>
      <c r="Q2017" s="214"/>
    </row>
    <row r="2018" spans="1:17" ht="12" customHeight="1" x14ac:dyDescent="0.2">
      <c r="A2018" s="735" t="s">
        <v>6676</v>
      </c>
      <c r="B2018" s="735" t="s">
        <v>2170</v>
      </c>
      <c r="C2018" s="638" t="s">
        <v>451</v>
      </c>
      <c r="D2018" s="644" t="s">
        <v>7566</v>
      </c>
      <c r="E2018" s="751">
        <v>8500</v>
      </c>
      <c r="F2018" s="638" t="s">
        <v>7583</v>
      </c>
      <c r="G2018" s="644" t="s">
        <v>7584</v>
      </c>
      <c r="H2018" s="636" t="s">
        <v>6684</v>
      </c>
      <c r="I2018" s="636" t="s">
        <v>6685</v>
      </c>
      <c r="J2018" s="644" t="s">
        <v>6686</v>
      </c>
      <c r="K2018" s="739"/>
      <c r="L2018" s="638">
        <v>12</v>
      </c>
      <c r="M2018" s="638">
        <v>102000</v>
      </c>
      <c r="N2018" s="752"/>
      <c r="O2018" s="638">
        <v>6</v>
      </c>
      <c r="P2018" s="638">
        <v>51000</v>
      </c>
      <c r="Q2018" s="214"/>
    </row>
    <row r="2019" spans="1:17" ht="12" customHeight="1" x14ac:dyDescent="0.2">
      <c r="A2019" s="735" t="s">
        <v>6676</v>
      </c>
      <c r="B2019" s="735" t="s">
        <v>2170</v>
      </c>
      <c r="C2019" s="638" t="s">
        <v>451</v>
      </c>
      <c r="D2019" s="644" t="s">
        <v>6700</v>
      </c>
      <c r="E2019" s="751">
        <v>3500</v>
      </c>
      <c r="F2019" s="638" t="s">
        <v>7585</v>
      </c>
      <c r="G2019" s="644" t="s">
        <v>7586</v>
      </c>
      <c r="H2019" s="636" t="s">
        <v>6703</v>
      </c>
      <c r="I2019" s="636" t="s">
        <v>6685</v>
      </c>
      <c r="J2019" s="644" t="s">
        <v>6686</v>
      </c>
      <c r="K2019" s="739"/>
      <c r="L2019" s="638"/>
      <c r="M2019" s="638"/>
      <c r="N2019" s="752"/>
      <c r="O2019" s="638">
        <v>6</v>
      </c>
      <c r="P2019" s="638">
        <v>21000</v>
      </c>
      <c r="Q2019" s="214"/>
    </row>
    <row r="2020" spans="1:17" ht="12" customHeight="1" x14ac:dyDescent="0.2">
      <c r="A2020" s="735" t="s">
        <v>6676</v>
      </c>
      <c r="B2020" s="735" t="s">
        <v>2170</v>
      </c>
      <c r="C2020" s="638" t="s">
        <v>451</v>
      </c>
      <c r="D2020" s="644" t="s">
        <v>6690</v>
      </c>
      <c r="E2020" s="751">
        <v>8500</v>
      </c>
      <c r="F2020" s="638" t="s">
        <v>7587</v>
      </c>
      <c r="G2020" s="644" t="s">
        <v>7588</v>
      </c>
      <c r="H2020" s="636" t="s">
        <v>7589</v>
      </c>
      <c r="I2020" s="636" t="s">
        <v>6685</v>
      </c>
      <c r="J2020" s="644" t="s">
        <v>6686</v>
      </c>
      <c r="K2020" s="739"/>
      <c r="L2020" s="638">
        <v>1</v>
      </c>
      <c r="M2020" s="638">
        <v>8500</v>
      </c>
      <c r="N2020" s="752"/>
      <c r="O2020" s="638"/>
      <c r="P2020" s="638"/>
      <c r="Q2020" s="214"/>
    </row>
    <row r="2021" spans="1:17" ht="12" customHeight="1" x14ac:dyDescent="0.2">
      <c r="A2021" s="735" t="s">
        <v>6676</v>
      </c>
      <c r="B2021" s="735" t="s">
        <v>2170</v>
      </c>
      <c r="C2021" s="638" t="s">
        <v>451</v>
      </c>
      <c r="D2021" s="644" t="s">
        <v>7590</v>
      </c>
      <c r="E2021" s="751">
        <v>12000</v>
      </c>
      <c r="F2021" s="638" t="s">
        <v>7591</v>
      </c>
      <c r="G2021" s="644" t="s">
        <v>7592</v>
      </c>
      <c r="H2021" s="636" t="s">
        <v>7593</v>
      </c>
      <c r="I2021" s="636" t="s">
        <v>6685</v>
      </c>
      <c r="J2021" s="644" t="s">
        <v>6686</v>
      </c>
      <c r="K2021" s="739"/>
      <c r="L2021" s="638">
        <v>12</v>
      </c>
      <c r="M2021" s="638">
        <v>144000</v>
      </c>
      <c r="N2021" s="752"/>
      <c r="O2021" s="638">
        <v>6</v>
      </c>
      <c r="P2021" s="638">
        <v>72000</v>
      </c>
      <c r="Q2021" s="214"/>
    </row>
    <row r="2022" spans="1:17" ht="12" customHeight="1" x14ac:dyDescent="0.2">
      <c r="A2022" s="735" t="s">
        <v>6676</v>
      </c>
      <c r="B2022" s="735" t="s">
        <v>2170</v>
      </c>
      <c r="C2022" s="638" t="s">
        <v>451</v>
      </c>
      <c r="D2022" s="644" t="s">
        <v>6797</v>
      </c>
      <c r="E2022" s="751">
        <v>9000</v>
      </c>
      <c r="F2022" s="638" t="s">
        <v>6356</v>
      </c>
      <c r="G2022" s="644" t="s">
        <v>7594</v>
      </c>
      <c r="H2022" s="636" t="s">
        <v>6684</v>
      </c>
      <c r="I2022" s="636" t="s">
        <v>6685</v>
      </c>
      <c r="J2022" s="644" t="s">
        <v>6686</v>
      </c>
      <c r="K2022" s="739"/>
      <c r="L2022" s="638">
        <v>8</v>
      </c>
      <c r="M2022" s="638">
        <v>72000</v>
      </c>
      <c r="N2022" s="752"/>
      <c r="O2022" s="638"/>
      <c r="P2022" s="638"/>
      <c r="Q2022" s="214"/>
    </row>
    <row r="2023" spans="1:17" ht="12" customHeight="1" x14ac:dyDescent="0.2">
      <c r="A2023" s="735" t="s">
        <v>6676</v>
      </c>
      <c r="B2023" s="735" t="s">
        <v>2170</v>
      </c>
      <c r="C2023" s="638" t="s">
        <v>451</v>
      </c>
      <c r="D2023" s="644" t="s">
        <v>4260</v>
      </c>
      <c r="E2023" s="751">
        <v>6000</v>
      </c>
      <c r="F2023" s="638" t="s">
        <v>7595</v>
      </c>
      <c r="G2023" s="644" t="s">
        <v>7596</v>
      </c>
      <c r="H2023" s="636" t="s">
        <v>2189</v>
      </c>
      <c r="I2023" s="636" t="s">
        <v>6685</v>
      </c>
      <c r="J2023" s="644" t="s">
        <v>6686</v>
      </c>
      <c r="K2023" s="739"/>
      <c r="L2023" s="638">
        <v>12</v>
      </c>
      <c r="M2023" s="638">
        <v>72000</v>
      </c>
      <c r="N2023" s="752"/>
      <c r="O2023" s="638">
        <v>6</v>
      </c>
      <c r="P2023" s="638">
        <v>36000</v>
      </c>
      <c r="Q2023" s="214"/>
    </row>
    <row r="2024" spans="1:17" ht="12" customHeight="1" x14ac:dyDescent="0.2">
      <c r="A2024" s="735" t="s">
        <v>6676</v>
      </c>
      <c r="B2024" s="735" t="s">
        <v>2170</v>
      </c>
      <c r="C2024" s="638" t="s">
        <v>451</v>
      </c>
      <c r="D2024" s="644" t="s">
        <v>6693</v>
      </c>
      <c r="E2024" s="751">
        <v>5000</v>
      </c>
      <c r="F2024" s="638" t="s">
        <v>7597</v>
      </c>
      <c r="G2024" s="644" t="s">
        <v>7598</v>
      </c>
      <c r="H2024" s="636" t="s">
        <v>6625</v>
      </c>
      <c r="I2024" s="636" t="s">
        <v>6685</v>
      </c>
      <c r="J2024" s="644" t="s">
        <v>6686</v>
      </c>
      <c r="K2024" s="739"/>
      <c r="L2024" s="638">
        <v>12</v>
      </c>
      <c r="M2024" s="638">
        <v>60000</v>
      </c>
      <c r="N2024" s="752"/>
      <c r="O2024" s="638">
        <v>6</v>
      </c>
      <c r="P2024" s="638">
        <v>30000</v>
      </c>
      <c r="Q2024" s="214"/>
    </row>
    <row r="2025" spans="1:17" ht="12" customHeight="1" x14ac:dyDescent="0.2">
      <c r="A2025" s="735" t="s">
        <v>6676</v>
      </c>
      <c r="B2025" s="735" t="s">
        <v>2170</v>
      </c>
      <c r="C2025" s="638" t="s">
        <v>451</v>
      </c>
      <c r="D2025" s="644" t="s">
        <v>6681</v>
      </c>
      <c r="E2025" s="751">
        <v>9000</v>
      </c>
      <c r="F2025" s="638" t="s">
        <v>7599</v>
      </c>
      <c r="G2025" s="644" t="s">
        <v>7600</v>
      </c>
      <c r="H2025" s="636" t="s">
        <v>6684</v>
      </c>
      <c r="I2025" s="636" t="s">
        <v>6685</v>
      </c>
      <c r="J2025" s="644" t="s">
        <v>6686</v>
      </c>
      <c r="K2025" s="739"/>
      <c r="L2025" s="638">
        <v>12</v>
      </c>
      <c r="M2025" s="638">
        <v>108000</v>
      </c>
      <c r="N2025" s="752"/>
      <c r="O2025" s="638">
        <v>6</v>
      </c>
      <c r="P2025" s="638">
        <v>54000</v>
      </c>
      <c r="Q2025" s="214"/>
    </row>
    <row r="2026" spans="1:17" ht="12" customHeight="1" x14ac:dyDescent="0.2">
      <c r="A2026" s="735" t="s">
        <v>6676</v>
      </c>
      <c r="B2026" s="735" t="s">
        <v>2170</v>
      </c>
      <c r="C2026" s="638" t="s">
        <v>451</v>
      </c>
      <c r="D2026" s="644" t="s">
        <v>6700</v>
      </c>
      <c r="E2026" s="751">
        <v>3500</v>
      </c>
      <c r="F2026" s="638" t="s">
        <v>7601</v>
      </c>
      <c r="G2026" s="644" t="s">
        <v>7602</v>
      </c>
      <c r="H2026" s="636" t="s">
        <v>6699</v>
      </c>
      <c r="I2026" s="636" t="s">
        <v>6685</v>
      </c>
      <c r="J2026" s="644" t="s">
        <v>6686</v>
      </c>
      <c r="K2026" s="739"/>
      <c r="L2026" s="638">
        <v>10</v>
      </c>
      <c r="M2026" s="638">
        <v>30500</v>
      </c>
      <c r="N2026" s="752"/>
      <c r="O2026" s="638">
        <v>6</v>
      </c>
      <c r="P2026" s="638">
        <v>21000</v>
      </c>
      <c r="Q2026" s="214"/>
    </row>
    <row r="2027" spans="1:17" ht="12" customHeight="1" x14ac:dyDescent="0.2">
      <c r="A2027" s="735" t="s">
        <v>6676</v>
      </c>
      <c r="B2027" s="735" t="s">
        <v>2170</v>
      </c>
      <c r="C2027" s="638" t="s">
        <v>451</v>
      </c>
      <c r="D2027" s="644" t="s">
        <v>6693</v>
      </c>
      <c r="E2027" s="751">
        <v>5000</v>
      </c>
      <c r="F2027" s="638" t="s">
        <v>7603</v>
      </c>
      <c r="G2027" s="644" t="s">
        <v>7604</v>
      </c>
      <c r="H2027" s="636" t="s">
        <v>6684</v>
      </c>
      <c r="I2027" s="636" t="s">
        <v>6685</v>
      </c>
      <c r="J2027" s="644" t="s">
        <v>6686</v>
      </c>
      <c r="K2027" s="739"/>
      <c r="L2027" s="638">
        <v>12</v>
      </c>
      <c r="M2027" s="638">
        <v>60000</v>
      </c>
      <c r="N2027" s="752"/>
      <c r="O2027" s="638">
        <v>6</v>
      </c>
      <c r="P2027" s="638">
        <v>30000</v>
      </c>
      <c r="Q2027" s="214"/>
    </row>
    <row r="2028" spans="1:17" ht="12" customHeight="1" x14ac:dyDescent="0.2">
      <c r="A2028" s="735" t="s">
        <v>6676</v>
      </c>
      <c r="B2028" s="735" t="s">
        <v>2170</v>
      </c>
      <c r="C2028" s="638" t="s">
        <v>451</v>
      </c>
      <c r="D2028" s="644" t="s">
        <v>6731</v>
      </c>
      <c r="E2028" s="751">
        <v>8500</v>
      </c>
      <c r="F2028" s="638" t="s">
        <v>6372</v>
      </c>
      <c r="G2028" s="644" t="s">
        <v>7605</v>
      </c>
      <c r="H2028" s="636" t="s">
        <v>6684</v>
      </c>
      <c r="I2028" s="636" t="s">
        <v>6685</v>
      </c>
      <c r="J2028" s="644" t="s">
        <v>6686</v>
      </c>
      <c r="K2028" s="739"/>
      <c r="L2028" s="638">
        <v>11</v>
      </c>
      <c r="M2028" s="638">
        <v>93500</v>
      </c>
      <c r="N2028" s="752"/>
      <c r="O2028" s="638"/>
      <c r="P2028" s="638"/>
      <c r="Q2028" s="214"/>
    </row>
    <row r="2029" spans="1:17" ht="12" customHeight="1" x14ac:dyDescent="0.2">
      <c r="A2029" s="735" t="s">
        <v>6676</v>
      </c>
      <c r="B2029" s="735" t="s">
        <v>2170</v>
      </c>
      <c r="C2029" s="638" t="s">
        <v>451</v>
      </c>
      <c r="D2029" s="644" t="s">
        <v>7606</v>
      </c>
      <c r="E2029" s="751">
        <v>7000</v>
      </c>
      <c r="F2029" s="638" t="s">
        <v>7607</v>
      </c>
      <c r="G2029" s="644" t="s">
        <v>7608</v>
      </c>
      <c r="H2029" s="636" t="s">
        <v>6536</v>
      </c>
      <c r="I2029" s="636" t="s">
        <v>6548</v>
      </c>
      <c r="J2029" s="644" t="s">
        <v>6686</v>
      </c>
      <c r="K2029" s="739"/>
      <c r="L2029" s="638"/>
      <c r="M2029" s="638"/>
      <c r="N2029" s="752"/>
      <c r="O2029" s="638">
        <v>6</v>
      </c>
      <c r="P2029" s="638">
        <v>42000</v>
      </c>
      <c r="Q2029" s="214"/>
    </row>
    <row r="2030" spans="1:17" ht="12" customHeight="1" x14ac:dyDescent="0.2">
      <c r="A2030" s="735" t="s">
        <v>6676</v>
      </c>
      <c r="B2030" s="735" t="s">
        <v>2170</v>
      </c>
      <c r="C2030" s="638" t="s">
        <v>451</v>
      </c>
      <c r="D2030" s="644" t="s">
        <v>6797</v>
      </c>
      <c r="E2030" s="751">
        <v>9000</v>
      </c>
      <c r="F2030" s="638" t="s">
        <v>7609</v>
      </c>
      <c r="G2030" s="644" t="s">
        <v>7610</v>
      </c>
      <c r="H2030" s="636" t="s">
        <v>6684</v>
      </c>
      <c r="I2030" s="636" t="s">
        <v>6685</v>
      </c>
      <c r="J2030" s="644" t="s">
        <v>6686</v>
      </c>
      <c r="K2030" s="739"/>
      <c r="L2030" s="638">
        <v>12</v>
      </c>
      <c r="M2030" s="638">
        <v>108000</v>
      </c>
      <c r="N2030" s="752"/>
      <c r="O2030" s="638">
        <v>6</v>
      </c>
      <c r="P2030" s="638">
        <v>54000</v>
      </c>
      <c r="Q2030" s="214"/>
    </row>
    <row r="2031" spans="1:17" ht="12" customHeight="1" x14ac:dyDescent="0.2">
      <c r="A2031" s="735" t="s">
        <v>6676</v>
      </c>
      <c r="B2031" s="735" t="s">
        <v>2170</v>
      </c>
      <c r="C2031" s="638" t="s">
        <v>451</v>
      </c>
      <c r="D2031" s="644" t="s">
        <v>6862</v>
      </c>
      <c r="E2031" s="751">
        <v>9000</v>
      </c>
      <c r="F2031" s="638" t="s">
        <v>7611</v>
      </c>
      <c r="G2031" s="644" t="s">
        <v>7612</v>
      </c>
      <c r="H2031" s="636" t="s">
        <v>6536</v>
      </c>
      <c r="I2031" s="636" t="s">
        <v>6548</v>
      </c>
      <c r="J2031" s="644" t="s">
        <v>6686</v>
      </c>
      <c r="K2031" s="739"/>
      <c r="L2031" s="638"/>
      <c r="M2031" s="638"/>
      <c r="N2031" s="752"/>
      <c r="O2031" s="638">
        <v>2</v>
      </c>
      <c r="P2031" s="638">
        <v>18000</v>
      </c>
      <c r="Q2031" s="214"/>
    </row>
    <row r="2032" spans="1:17" ht="12" customHeight="1" x14ac:dyDescent="0.2">
      <c r="A2032" s="735" t="s">
        <v>6676</v>
      </c>
      <c r="B2032" s="735" t="s">
        <v>2170</v>
      </c>
      <c r="C2032" s="638" t="s">
        <v>451</v>
      </c>
      <c r="D2032" s="644" t="s">
        <v>5743</v>
      </c>
      <c r="E2032" s="751">
        <v>9000</v>
      </c>
      <c r="F2032" s="638" t="s">
        <v>7613</v>
      </c>
      <c r="G2032" s="644" t="s">
        <v>7612</v>
      </c>
      <c r="H2032" s="636" t="s">
        <v>6536</v>
      </c>
      <c r="I2032" s="636" t="s">
        <v>6548</v>
      </c>
      <c r="J2032" s="644" t="s">
        <v>6686</v>
      </c>
      <c r="K2032" s="739"/>
      <c r="L2032" s="638"/>
      <c r="M2032" s="638"/>
      <c r="N2032" s="752"/>
      <c r="O2032" s="638">
        <v>2</v>
      </c>
      <c r="P2032" s="638">
        <v>18000</v>
      </c>
      <c r="Q2032" s="214"/>
    </row>
    <row r="2033" spans="1:17" ht="12" customHeight="1" x14ac:dyDescent="0.2">
      <c r="A2033" s="735" t="s">
        <v>6676</v>
      </c>
      <c r="B2033" s="735" t="s">
        <v>2170</v>
      </c>
      <c r="C2033" s="638" t="s">
        <v>451</v>
      </c>
      <c r="D2033" s="644" t="s">
        <v>6693</v>
      </c>
      <c r="E2033" s="751">
        <v>5000</v>
      </c>
      <c r="F2033" s="638" t="s">
        <v>7614</v>
      </c>
      <c r="G2033" s="644" t="s">
        <v>7615</v>
      </c>
      <c r="H2033" s="636" t="s">
        <v>7082</v>
      </c>
      <c r="I2033" s="636" t="s">
        <v>6685</v>
      </c>
      <c r="J2033" s="644" t="s">
        <v>6686</v>
      </c>
      <c r="K2033" s="739"/>
      <c r="L2033" s="638">
        <v>12</v>
      </c>
      <c r="M2033" s="638">
        <v>60000</v>
      </c>
      <c r="N2033" s="752"/>
      <c r="O2033" s="638">
        <v>6</v>
      </c>
      <c r="P2033" s="638">
        <v>30000</v>
      </c>
      <c r="Q2033" s="214"/>
    </row>
    <row r="2034" spans="1:17" ht="12" customHeight="1" x14ac:dyDescent="0.2">
      <c r="A2034" s="735" t="s">
        <v>6676</v>
      </c>
      <c r="B2034" s="735" t="s">
        <v>2170</v>
      </c>
      <c r="C2034" s="638" t="s">
        <v>451</v>
      </c>
      <c r="D2034" s="644" t="s">
        <v>7616</v>
      </c>
      <c r="E2034" s="751">
        <v>8500</v>
      </c>
      <c r="F2034" s="638" t="s">
        <v>7617</v>
      </c>
      <c r="G2034" s="644" t="s">
        <v>7618</v>
      </c>
      <c r="H2034" s="636" t="s">
        <v>6536</v>
      </c>
      <c r="I2034" s="636" t="s">
        <v>6548</v>
      </c>
      <c r="J2034" s="644" t="s">
        <v>6686</v>
      </c>
      <c r="K2034" s="739"/>
      <c r="L2034" s="638"/>
      <c r="M2034" s="638"/>
      <c r="N2034" s="752"/>
      <c r="O2034" s="638">
        <v>6</v>
      </c>
      <c r="P2034" s="638">
        <v>51000</v>
      </c>
      <c r="Q2034" s="214"/>
    </row>
    <row r="2035" spans="1:17" ht="12" customHeight="1" x14ac:dyDescent="0.2">
      <c r="A2035" s="735" t="s">
        <v>6676</v>
      </c>
      <c r="B2035" s="735" t="s">
        <v>2170</v>
      </c>
      <c r="C2035" s="638" t="s">
        <v>451</v>
      </c>
      <c r="D2035" s="644" t="s">
        <v>3490</v>
      </c>
      <c r="E2035" s="751">
        <v>10500</v>
      </c>
      <c r="F2035" s="638" t="s">
        <v>7619</v>
      </c>
      <c r="G2035" s="644" t="s">
        <v>7620</v>
      </c>
      <c r="H2035" s="636" t="s">
        <v>2197</v>
      </c>
      <c r="I2035" s="636" t="s">
        <v>6685</v>
      </c>
      <c r="J2035" s="644" t="s">
        <v>6686</v>
      </c>
      <c r="K2035" s="739"/>
      <c r="L2035" s="638">
        <v>12</v>
      </c>
      <c r="M2035" s="638">
        <v>126000</v>
      </c>
      <c r="N2035" s="752"/>
      <c r="O2035" s="638">
        <v>6</v>
      </c>
      <c r="P2035" s="638">
        <v>63000</v>
      </c>
      <c r="Q2035" s="214"/>
    </row>
    <row r="2036" spans="1:17" ht="12" customHeight="1" x14ac:dyDescent="0.2">
      <c r="A2036" s="735" t="s">
        <v>6676</v>
      </c>
      <c r="B2036" s="735" t="s">
        <v>2170</v>
      </c>
      <c r="C2036" s="638" t="s">
        <v>451</v>
      </c>
      <c r="D2036" s="644" t="s">
        <v>6717</v>
      </c>
      <c r="E2036" s="751">
        <v>9000</v>
      </c>
      <c r="F2036" s="638" t="s">
        <v>7621</v>
      </c>
      <c r="G2036" s="644" t="s">
        <v>7622</v>
      </c>
      <c r="H2036" s="636" t="s">
        <v>6684</v>
      </c>
      <c r="I2036" s="636" t="s">
        <v>6685</v>
      </c>
      <c r="J2036" s="644" t="s">
        <v>6686</v>
      </c>
      <c r="K2036" s="739"/>
      <c r="L2036" s="638">
        <v>12</v>
      </c>
      <c r="M2036" s="638">
        <v>108000</v>
      </c>
      <c r="N2036" s="752"/>
      <c r="O2036" s="638">
        <v>6</v>
      </c>
      <c r="P2036" s="638">
        <v>54000</v>
      </c>
      <c r="Q2036" s="214"/>
    </row>
    <row r="2037" spans="1:17" ht="12" customHeight="1" x14ac:dyDescent="0.2">
      <c r="A2037" s="735" t="s">
        <v>6676</v>
      </c>
      <c r="B2037" s="735" t="s">
        <v>2170</v>
      </c>
      <c r="C2037" s="638" t="s">
        <v>451</v>
      </c>
      <c r="D2037" s="644" t="s">
        <v>6681</v>
      </c>
      <c r="E2037" s="751">
        <v>9000</v>
      </c>
      <c r="F2037" s="638" t="s">
        <v>7623</v>
      </c>
      <c r="G2037" s="644" t="s">
        <v>7624</v>
      </c>
      <c r="H2037" s="636" t="s">
        <v>6684</v>
      </c>
      <c r="I2037" s="636" t="s">
        <v>6685</v>
      </c>
      <c r="J2037" s="644" t="s">
        <v>6686</v>
      </c>
      <c r="K2037" s="739"/>
      <c r="L2037" s="638">
        <v>12</v>
      </c>
      <c r="M2037" s="638">
        <v>108000</v>
      </c>
      <c r="N2037" s="752"/>
      <c r="O2037" s="638">
        <v>6</v>
      </c>
      <c r="P2037" s="638">
        <v>54000</v>
      </c>
      <c r="Q2037" s="214"/>
    </row>
    <row r="2038" spans="1:17" ht="12" customHeight="1" x14ac:dyDescent="0.2">
      <c r="A2038" s="735" t="s">
        <v>6676</v>
      </c>
      <c r="B2038" s="735" t="s">
        <v>2170</v>
      </c>
      <c r="C2038" s="638" t="s">
        <v>451</v>
      </c>
      <c r="D2038" s="644" t="s">
        <v>6696</v>
      </c>
      <c r="E2038" s="751">
        <v>8700</v>
      </c>
      <c r="F2038" s="638" t="s">
        <v>7625</v>
      </c>
      <c r="G2038" s="644" t="s">
        <v>7626</v>
      </c>
      <c r="H2038" s="636" t="s">
        <v>6536</v>
      </c>
      <c r="I2038" s="636" t="s">
        <v>2180</v>
      </c>
      <c r="J2038" s="644" t="s">
        <v>6686</v>
      </c>
      <c r="K2038" s="739"/>
      <c r="L2038" s="638">
        <v>4</v>
      </c>
      <c r="M2038" s="638">
        <v>34800</v>
      </c>
      <c r="N2038" s="752"/>
      <c r="O2038" s="638"/>
      <c r="P2038" s="638"/>
      <c r="Q2038" s="214"/>
    </row>
    <row r="2039" spans="1:17" ht="12" customHeight="1" x14ac:dyDescent="0.2">
      <c r="A2039" s="735" t="s">
        <v>6676</v>
      </c>
      <c r="B2039" s="735" t="s">
        <v>2170</v>
      </c>
      <c r="C2039" s="638" t="s">
        <v>451</v>
      </c>
      <c r="D2039" s="644" t="s">
        <v>5624</v>
      </c>
      <c r="E2039" s="751">
        <v>9000</v>
      </c>
      <c r="F2039" s="638" t="s">
        <v>7627</v>
      </c>
      <c r="G2039" s="644" t="s">
        <v>7628</v>
      </c>
      <c r="H2039" s="636" t="s">
        <v>2189</v>
      </c>
      <c r="I2039" s="636" t="s">
        <v>6548</v>
      </c>
      <c r="J2039" s="644" t="s">
        <v>6686</v>
      </c>
      <c r="K2039" s="739"/>
      <c r="L2039" s="638"/>
      <c r="M2039" s="638"/>
      <c r="N2039" s="752"/>
      <c r="O2039" s="638">
        <v>6</v>
      </c>
      <c r="P2039" s="638">
        <v>54000</v>
      </c>
      <c r="Q2039" s="214"/>
    </row>
    <row r="2040" spans="1:17" ht="12" customHeight="1" x14ac:dyDescent="0.2">
      <c r="A2040" s="735" t="s">
        <v>6676</v>
      </c>
      <c r="B2040" s="735" t="s">
        <v>2170</v>
      </c>
      <c r="C2040" s="638" t="s">
        <v>451</v>
      </c>
      <c r="D2040" s="644" t="s">
        <v>7629</v>
      </c>
      <c r="E2040" s="751">
        <v>7000</v>
      </c>
      <c r="F2040" s="638" t="s">
        <v>7630</v>
      </c>
      <c r="G2040" s="644" t="s">
        <v>7631</v>
      </c>
      <c r="H2040" s="636" t="s">
        <v>6745</v>
      </c>
      <c r="I2040" s="636" t="s">
        <v>6548</v>
      </c>
      <c r="J2040" s="644" t="s">
        <v>6686</v>
      </c>
      <c r="K2040" s="739"/>
      <c r="L2040" s="638"/>
      <c r="M2040" s="638"/>
      <c r="N2040" s="752"/>
      <c r="O2040" s="638">
        <v>6</v>
      </c>
      <c r="P2040" s="638">
        <v>42000</v>
      </c>
      <c r="Q2040" s="214"/>
    </row>
    <row r="2041" spans="1:17" ht="12" customHeight="1" x14ac:dyDescent="0.2">
      <c r="A2041" s="735" t="s">
        <v>6676</v>
      </c>
      <c r="B2041" s="735" t="s">
        <v>2170</v>
      </c>
      <c r="C2041" s="638" t="s">
        <v>451</v>
      </c>
      <c r="D2041" s="644" t="s">
        <v>5624</v>
      </c>
      <c r="E2041" s="751">
        <v>9000</v>
      </c>
      <c r="F2041" s="638" t="s">
        <v>7632</v>
      </c>
      <c r="G2041" s="644" t="s">
        <v>7633</v>
      </c>
      <c r="H2041" s="636" t="s">
        <v>6699</v>
      </c>
      <c r="I2041" s="636" t="s">
        <v>6685</v>
      </c>
      <c r="J2041" s="644" t="s">
        <v>6686</v>
      </c>
      <c r="K2041" s="739"/>
      <c r="L2041" s="638"/>
      <c r="M2041" s="638"/>
      <c r="N2041" s="752"/>
      <c r="O2041" s="638">
        <v>6</v>
      </c>
      <c r="P2041" s="638">
        <v>54000</v>
      </c>
      <c r="Q2041" s="214"/>
    </row>
    <row r="2042" spans="1:17" ht="12" customHeight="1" x14ac:dyDescent="0.2">
      <c r="A2042" s="735" t="s">
        <v>6676</v>
      </c>
      <c r="B2042" s="735" t="s">
        <v>2170</v>
      </c>
      <c r="C2042" s="638" t="s">
        <v>451</v>
      </c>
      <c r="D2042" s="644" t="s">
        <v>7634</v>
      </c>
      <c r="E2042" s="751">
        <v>8500</v>
      </c>
      <c r="F2042" s="638" t="s">
        <v>7635</v>
      </c>
      <c r="G2042" s="644" t="s">
        <v>7636</v>
      </c>
      <c r="H2042" s="636" t="s">
        <v>2236</v>
      </c>
      <c r="I2042" s="636" t="s">
        <v>6548</v>
      </c>
      <c r="J2042" s="644" t="s">
        <v>6686</v>
      </c>
      <c r="K2042" s="739"/>
      <c r="L2042" s="638"/>
      <c r="M2042" s="638"/>
      <c r="N2042" s="752"/>
      <c r="O2042" s="638">
        <v>6</v>
      </c>
      <c r="P2042" s="638">
        <v>51000</v>
      </c>
      <c r="Q2042" s="214"/>
    </row>
    <row r="2043" spans="1:17" ht="12" customHeight="1" x14ac:dyDescent="0.2">
      <c r="A2043" s="735" t="s">
        <v>6676</v>
      </c>
      <c r="B2043" s="735" t="s">
        <v>2170</v>
      </c>
      <c r="C2043" s="638" t="s">
        <v>451</v>
      </c>
      <c r="D2043" s="644" t="s">
        <v>3852</v>
      </c>
      <c r="E2043" s="751">
        <v>10000</v>
      </c>
      <c r="F2043" s="638" t="s">
        <v>7637</v>
      </c>
      <c r="G2043" s="644" t="s">
        <v>7638</v>
      </c>
      <c r="H2043" s="636" t="s">
        <v>6778</v>
      </c>
      <c r="I2043" s="636" t="s">
        <v>6548</v>
      </c>
      <c r="J2043" s="644" t="s">
        <v>6686</v>
      </c>
      <c r="K2043" s="739"/>
      <c r="L2043" s="638"/>
      <c r="M2043" s="638"/>
      <c r="N2043" s="752"/>
      <c r="O2043" s="638">
        <v>6</v>
      </c>
      <c r="P2043" s="638">
        <v>60000</v>
      </c>
      <c r="Q2043" s="214"/>
    </row>
    <row r="2044" spans="1:17" ht="12" customHeight="1" x14ac:dyDescent="0.2">
      <c r="A2044" s="735" t="s">
        <v>6676</v>
      </c>
      <c r="B2044" s="735" t="s">
        <v>2170</v>
      </c>
      <c r="C2044" s="638" t="s">
        <v>451</v>
      </c>
      <c r="D2044" s="644" t="s">
        <v>6889</v>
      </c>
      <c r="E2044" s="751">
        <v>10000</v>
      </c>
      <c r="F2044" s="638" t="s">
        <v>7639</v>
      </c>
      <c r="G2044" s="644" t="s">
        <v>7640</v>
      </c>
      <c r="H2044" s="636" t="s">
        <v>6684</v>
      </c>
      <c r="I2044" s="636" t="s">
        <v>6685</v>
      </c>
      <c r="J2044" s="644" t="s">
        <v>6686</v>
      </c>
      <c r="K2044" s="739"/>
      <c r="L2044" s="638">
        <v>12</v>
      </c>
      <c r="M2044" s="638">
        <v>120000</v>
      </c>
      <c r="N2044" s="752"/>
      <c r="O2044" s="638">
        <v>6</v>
      </c>
      <c r="P2044" s="638">
        <v>60000</v>
      </c>
      <c r="Q2044" s="214"/>
    </row>
    <row r="2045" spans="1:17" ht="12" customHeight="1" x14ac:dyDescent="0.2">
      <c r="A2045" s="735" t="s">
        <v>6676</v>
      </c>
      <c r="B2045" s="735" t="s">
        <v>2170</v>
      </c>
      <c r="C2045" s="638" t="s">
        <v>451</v>
      </c>
      <c r="D2045" s="644" t="s">
        <v>6725</v>
      </c>
      <c r="E2045" s="751">
        <v>8500</v>
      </c>
      <c r="F2045" s="638" t="s">
        <v>7641</v>
      </c>
      <c r="G2045" s="644" t="s">
        <v>7642</v>
      </c>
      <c r="H2045" s="636" t="s">
        <v>2317</v>
      </c>
      <c r="I2045" s="636" t="s">
        <v>6685</v>
      </c>
      <c r="J2045" s="644" t="s">
        <v>6686</v>
      </c>
      <c r="K2045" s="739"/>
      <c r="L2045" s="638">
        <v>3</v>
      </c>
      <c r="M2045" s="638">
        <v>25500</v>
      </c>
      <c r="N2045" s="752"/>
      <c r="O2045" s="638"/>
      <c r="P2045" s="638"/>
      <c r="Q2045" s="214"/>
    </row>
    <row r="2046" spans="1:17" ht="12" customHeight="1" x14ac:dyDescent="0.2">
      <c r="A2046" s="735" t="s">
        <v>6676</v>
      </c>
      <c r="B2046" s="735" t="s">
        <v>2170</v>
      </c>
      <c r="C2046" s="638" t="s">
        <v>451</v>
      </c>
      <c r="D2046" s="644" t="s">
        <v>5624</v>
      </c>
      <c r="E2046" s="751">
        <v>9000</v>
      </c>
      <c r="F2046" s="638" t="s">
        <v>7641</v>
      </c>
      <c r="G2046" s="644" t="s">
        <v>7642</v>
      </c>
      <c r="H2046" s="636" t="s">
        <v>2317</v>
      </c>
      <c r="I2046" s="636" t="s">
        <v>6685</v>
      </c>
      <c r="J2046" s="644" t="s">
        <v>6686</v>
      </c>
      <c r="K2046" s="739"/>
      <c r="L2046" s="638">
        <v>2</v>
      </c>
      <c r="M2046" s="638">
        <v>18000</v>
      </c>
      <c r="N2046" s="752"/>
      <c r="O2046" s="638">
        <v>6</v>
      </c>
      <c r="P2046" s="638">
        <v>54000</v>
      </c>
      <c r="Q2046" s="214"/>
    </row>
    <row r="2047" spans="1:17" ht="12" customHeight="1" x14ac:dyDescent="0.2">
      <c r="A2047" s="735" t="s">
        <v>6676</v>
      </c>
      <c r="B2047" s="735" t="s">
        <v>2170</v>
      </c>
      <c r="C2047" s="638" t="s">
        <v>451</v>
      </c>
      <c r="D2047" s="644" t="s">
        <v>5758</v>
      </c>
      <c r="E2047" s="751">
        <v>7000</v>
      </c>
      <c r="F2047" s="638" t="s">
        <v>7643</v>
      </c>
      <c r="G2047" s="644" t="s">
        <v>7644</v>
      </c>
      <c r="H2047" s="636" t="s">
        <v>7645</v>
      </c>
      <c r="I2047" s="636" t="s">
        <v>6679</v>
      </c>
      <c r="J2047" s="644" t="s">
        <v>6680</v>
      </c>
      <c r="K2047" s="739"/>
      <c r="L2047" s="638"/>
      <c r="M2047" s="638"/>
      <c r="N2047" s="752"/>
      <c r="O2047" s="638">
        <v>6</v>
      </c>
      <c r="P2047" s="638">
        <v>42000</v>
      </c>
      <c r="Q2047" s="214"/>
    </row>
    <row r="2048" spans="1:17" ht="12" customHeight="1" x14ac:dyDescent="0.2">
      <c r="A2048" s="735" t="s">
        <v>6676</v>
      </c>
      <c r="B2048" s="735" t="s">
        <v>2170</v>
      </c>
      <c r="C2048" s="638" t="s">
        <v>451</v>
      </c>
      <c r="D2048" s="644" t="s">
        <v>6889</v>
      </c>
      <c r="E2048" s="751">
        <v>10000</v>
      </c>
      <c r="F2048" s="638" t="s">
        <v>6440</v>
      </c>
      <c r="G2048" s="644" t="s">
        <v>7646</v>
      </c>
      <c r="H2048" s="636" t="s">
        <v>2317</v>
      </c>
      <c r="I2048" s="636" t="s">
        <v>6685</v>
      </c>
      <c r="J2048" s="644" t="s">
        <v>6686</v>
      </c>
      <c r="K2048" s="739"/>
      <c r="L2048" s="638">
        <v>1</v>
      </c>
      <c r="M2048" s="638">
        <v>10000</v>
      </c>
      <c r="N2048" s="752"/>
      <c r="O2048" s="638"/>
      <c r="P2048" s="638"/>
      <c r="Q2048" s="214"/>
    </row>
    <row r="2049" spans="1:17" ht="12" customHeight="1" x14ac:dyDescent="0.2">
      <c r="A2049" s="735" t="s">
        <v>6676</v>
      </c>
      <c r="B2049" s="735" t="s">
        <v>2170</v>
      </c>
      <c r="C2049" s="638" t="s">
        <v>451</v>
      </c>
      <c r="D2049" s="644" t="s">
        <v>7647</v>
      </c>
      <c r="E2049" s="751">
        <v>10000</v>
      </c>
      <c r="F2049" s="638" t="s">
        <v>7648</v>
      </c>
      <c r="G2049" s="644" t="s">
        <v>7649</v>
      </c>
      <c r="H2049" s="636" t="s">
        <v>6745</v>
      </c>
      <c r="I2049" s="636" t="s">
        <v>6685</v>
      </c>
      <c r="J2049" s="644" t="s">
        <v>6686</v>
      </c>
      <c r="K2049" s="739"/>
      <c r="L2049" s="638">
        <v>7</v>
      </c>
      <c r="M2049" s="638">
        <v>70000</v>
      </c>
      <c r="N2049" s="752"/>
      <c r="O2049" s="638"/>
      <c r="P2049" s="638"/>
      <c r="Q2049" s="214"/>
    </row>
    <row r="2050" spans="1:17" ht="12" customHeight="1" x14ac:dyDescent="0.2">
      <c r="A2050" s="735" t="s">
        <v>6676</v>
      </c>
      <c r="B2050" s="735" t="s">
        <v>2170</v>
      </c>
      <c r="C2050" s="638" t="s">
        <v>451</v>
      </c>
      <c r="D2050" s="644" t="s">
        <v>7650</v>
      </c>
      <c r="E2050" s="751">
        <v>8500</v>
      </c>
      <c r="F2050" s="638" t="s">
        <v>7651</v>
      </c>
      <c r="G2050" s="644" t="s">
        <v>7652</v>
      </c>
      <c r="H2050" s="636" t="s">
        <v>6962</v>
      </c>
      <c r="I2050" s="636" t="s">
        <v>6685</v>
      </c>
      <c r="J2050" s="644" t="s">
        <v>6686</v>
      </c>
      <c r="K2050" s="739"/>
      <c r="L2050" s="638">
        <v>12</v>
      </c>
      <c r="M2050" s="638">
        <v>102000</v>
      </c>
      <c r="N2050" s="752"/>
      <c r="O2050" s="638">
        <v>6</v>
      </c>
      <c r="P2050" s="638">
        <v>51000</v>
      </c>
      <c r="Q2050" s="214"/>
    </row>
    <row r="2051" spans="1:17" ht="12" customHeight="1" x14ac:dyDescent="0.2">
      <c r="A2051" s="735" t="s">
        <v>6676</v>
      </c>
      <c r="B2051" s="735" t="s">
        <v>2170</v>
      </c>
      <c r="C2051" s="638" t="s">
        <v>451</v>
      </c>
      <c r="D2051" s="644" t="s">
        <v>6700</v>
      </c>
      <c r="E2051" s="751">
        <v>3500</v>
      </c>
      <c r="F2051" s="638" t="s">
        <v>7653</v>
      </c>
      <c r="G2051" s="644" t="s">
        <v>7654</v>
      </c>
      <c r="H2051" s="636" t="s">
        <v>6699</v>
      </c>
      <c r="I2051" s="636" t="s">
        <v>6685</v>
      </c>
      <c r="J2051" s="644" t="s">
        <v>6686</v>
      </c>
      <c r="K2051" s="739"/>
      <c r="L2051" s="638">
        <v>9</v>
      </c>
      <c r="M2051" s="638">
        <v>31500</v>
      </c>
      <c r="N2051" s="752"/>
      <c r="O2051" s="638"/>
      <c r="P2051" s="638"/>
      <c r="Q2051" s="214"/>
    </row>
    <row r="2052" spans="1:17" ht="12" customHeight="1" x14ac:dyDescent="0.2">
      <c r="A2052" s="735" t="s">
        <v>6676</v>
      </c>
      <c r="B2052" s="735" t="s">
        <v>2170</v>
      </c>
      <c r="C2052" s="638" t="s">
        <v>451</v>
      </c>
      <c r="D2052" s="644" t="s">
        <v>5560</v>
      </c>
      <c r="E2052" s="751">
        <v>9000</v>
      </c>
      <c r="F2052" s="638" t="s">
        <v>7653</v>
      </c>
      <c r="G2052" s="644" t="s">
        <v>7654</v>
      </c>
      <c r="H2052" s="636" t="s">
        <v>6699</v>
      </c>
      <c r="I2052" s="636" t="s">
        <v>6685</v>
      </c>
      <c r="J2052" s="644" t="s">
        <v>6686</v>
      </c>
      <c r="K2052" s="739"/>
      <c r="L2052" s="638">
        <v>3</v>
      </c>
      <c r="M2052" s="638">
        <v>27000</v>
      </c>
      <c r="N2052" s="752"/>
      <c r="O2052" s="638">
        <v>6</v>
      </c>
      <c r="P2052" s="638">
        <v>54000</v>
      </c>
      <c r="Q2052" s="214"/>
    </row>
    <row r="2053" spans="1:17" ht="12" customHeight="1" x14ac:dyDescent="0.2">
      <c r="A2053" s="735" t="s">
        <v>6676</v>
      </c>
      <c r="B2053" s="735" t="s">
        <v>2170</v>
      </c>
      <c r="C2053" s="638" t="s">
        <v>451</v>
      </c>
      <c r="D2053" s="644" t="s">
        <v>7655</v>
      </c>
      <c r="E2053" s="751">
        <v>12000</v>
      </c>
      <c r="F2053" s="638" t="s">
        <v>7656</v>
      </c>
      <c r="G2053" s="644" t="s">
        <v>7657</v>
      </c>
      <c r="H2053" s="636" t="s">
        <v>6684</v>
      </c>
      <c r="I2053" s="636" t="s">
        <v>6685</v>
      </c>
      <c r="J2053" s="644" t="s">
        <v>6686</v>
      </c>
      <c r="K2053" s="739"/>
      <c r="L2053" s="638">
        <v>12</v>
      </c>
      <c r="M2053" s="638">
        <v>144000</v>
      </c>
      <c r="N2053" s="752"/>
      <c r="O2053" s="638">
        <v>6</v>
      </c>
      <c r="P2053" s="638">
        <v>72000</v>
      </c>
      <c r="Q2053" s="214"/>
    </row>
    <row r="2054" spans="1:17" ht="12" customHeight="1" x14ac:dyDescent="0.2">
      <c r="A2054" s="735" t="s">
        <v>6676</v>
      </c>
      <c r="B2054" s="735" t="s">
        <v>2170</v>
      </c>
      <c r="C2054" s="638" t="s">
        <v>451</v>
      </c>
      <c r="D2054" s="644" t="s">
        <v>6690</v>
      </c>
      <c r="E2054" s="751">
        <v>8500</v>
      </c>
      <c r="F2054" s="638" t="s">
        <v>7658</v>
      </c>
      <c r="G2054" s="644" t="s">
        <v>7659</v>
      </c>
      <c r="H2054" s="636" t="s">
        <v>7660</v>
      </c>
      <c r="I2054" s="636" t="s">
        <v>6685</v>
      </c>
      <c r="J2054" s="644" t="s">
        <v>6686</v>
      </c>
      <c r="K2054" s="739"/>
      <c r="L2054" s="638">
        <v>12</v>
      </c>
      <c r="M2054" s="638">
        <v>102000</v>
      </c>
      <c r="N2054" s="752"/>
      <c r="O2054" s="638">
        <v>6</v>
      </c>
      <c r="P2054" s="638">
        <v>51000</v>
      </c>
      <c r="Q2054" s="214"/>
    </row>
    <row r="2055" spans="1:17" ht="12" customHeight="1" x14ac:dyDescent="0.2">
      <c r="A2055" s="735" t="s">
        <v>6676</v>
      </c>
      <c r="B2055" s="735" t="s">
        <v>2170</v>
      </c>
      <c r="C2055" s="638" t="s">
        <v>451</v>
      </c>
      <c r="D2055" s="644" t="s">
        <v>3444</v>
      </c>
      <c r="E2055" s="751">
        <v>3500</v>
      </c>
      <c r="F2055" s="638" t="s">
        <v>7661</v>
      </c>
      <c r="G2055" s="644" t="s">
        <v>7662</v>
      </c>
      <c r="H2055" s="636" t="s">
        <v>6536</v>
      </c>
      <c r="I2055" s="636" t="s">
        <v>6548</v>
      </c>
      <c r="J2055" s="644" t="s">
        <v>6686</v>
      </c>
      <c r="K2055" s="739"/>
      <c r="L2055" s="638"/>
      <c r="M2055" s="638"/>
      <c r="N2055" s="752"/>
      <c r="O2055" s="638">
        <v>5</v>
      </c>
      <c r="P2055" s="638">
        <v>17500</v>
      </c>
      <c r="Q2055" s="214"/>
    </row>
    <row r="2056" spans="1:17" ht="12" customHeight="1" x14ac:dyDescent="0.2">
      <c r="A2056" s="735" t="s">
        <v>6676</v>
      </c>
      <c r="B2056" s="735" t="s">
        <v>2170</v>
      </c>
      <c r="C2056" s="638" t="s">
        <v>451</v>
      </c>
      <c r="D2056" s="644" t="s">
        <v>6734</v>
      </c>
      <c r="E2056" s="751">
        <v>10000</v>
      </c>
      <c r="F2056" s="638" t="s">
        <v>7663</v>
      </c>
      <c r="G2056" s="644" t="s">
        <v>7664</v>
      </c>
      <c r="H2056" s="636" t="s">
        <v>6684</v>
      </c>
      <c r="I2056" s="636" t="s">
        <v>6685</v>
      </c>
      <c r="J2056" s="644" t="s">
        <v>6686</v>
      </c>
      <c r="K2056" s="739"/>
      <c r="L2056" s="638">
        <v>5</v>
      </c>
      <c r="M2056" s="638">
        <v>50000</v>
      </c>
      <c r="N2056" s="752"/>
      <c r="O2056" s="638"/>
      <c r="P2056" s="638"/>
      <c r="Q2056" s="214"/>
    </row>
    <row r="2057" spans="1:17" ht="12" customHeight="1" x14ac:dyDescent="0.2">
      <c r="A2057" s="735" t="s">
        <v>6676</v>
      </c>
      <c r="B2057" s="735" t="s">
        <v>2170</v>
      </c>
      <c r="C2057" s="638" t="s">
        <v>451</v>
      </c>
      <c r="D2057" s="644" t="s">
        <v>6681</v>
      </c>
      <c r="E2057" s="751">
        <v>9000</v>
      </c>
      <c r="F2057" s="638" t="s">
        <v>7665</v>
      </c>
      <c r="G2057" s="644" t="s">
        <v>7666</v>
      </c>
      <c r="H2057" s="636" t="s">
        <v>6684</v>
      </c>
      <c r="I2057" s="636" t="s">
        <v>6685</v>
      </c>
      <c r="J2057" s="644" t="s">
        <v>6686</v>
      </c>
      <c r="K2057" s="739"/>
      <c r="L2057" s="638">
        <v>12</v>
      </c>
      <c r="M2057" s="638">
        <v>108000</v>
      </c>
      <c r="N2057" s="752"/>
      <c r="O2057" s="638">
        <v>6</v>
      </c>
      <c r="P2057" s="638">
        <v>54000</v>
      </c>
      <c r="Q2057" s="214"/>
    </row>
    <row r="2058" spans="1:17" ht="12" customHeight="1" x14ac:dyDescent="0.2">
      <c r="A2058" s="735" t="s">
        <v>6676</v>
      </c>
      <c r="B2058" s="735" t="s">
        <v>2170</v>
      </c>
      <c r="C2058" s="638" t="s">
        <v>451</v>
      </c>
      <c r="D2058" s="644" t="s">
        <v>7667</v>
      </c>
      <c r="E2058" s="751">
        <v>7000</v>
      </c>
      <c r="F2058" s="638" t="s">
        <v>7668</v>
      </c>
      <c r="G2058" s="644" t="s">
        <v>7669</v>
      </c>
      <c r="H2058" s="636" t="s">
        <v>2189</v>
      </c>
      <c r="I2058" s="636" t="s">
        <v>6685</v>
      </c>
      <c r="J2058" s="644" t="s">
        <v>6686</v>
      </c>
      <c r="K2058" s="739"/>
      <c r="L2058" s="638">
        <v>1</v>
      </c>
      <c r="M2058" s="638">
        <v>7000</v>
      </c>
      <c r="N2058" s="752"/>
      <c r="O2058" s="638"/>
      <c r="P2058" s="638"/>
      <c r="Q2058" s="214"/>
    </row>
    <row r="2059" spans="1:17" ht="12" customHeight="1" x14ac:dyDescent="0.2">
      <c r="A2059" s="735" t="s">
        <v>6676</v>
      </c>
      <c r="B2059" s="735" t="s">
        <v>2170</v>
      </c>
      <c r="C2059" s="638" t="s">
        <v>451</v>
      </c>
      <c r="D2059" s="644" t="s">
        <v>6752</v>
      </c>
      <c r="E2059" s="751">
        <v>3500</v>
      </c>
      <c r="F2059" s="638" t="s">
        <v>7670</v>
      </c>
      <c r="G2059" s="644" t="s">
        <v>7671</v>
      </c>
      <c r="H2059" s="636" t="s">
        <v>6536</v>
      </c>
      <c r="I2059" s="636" t="s">
        <v>6548</v>
      </c>
      <c r="J2059" s="644" t="s">
        <v>6686</v>
      </c>
      <c r="K2059" s="739"/>
      <c r="L2059" s="638"/>
      <c r="M2059" s="638"/>
      <c r="N2059" s="752"/>
      <c r="O2059" s="638">
        <v>6</v>
      </c>
      <c r="P2059" s="638">
        <v>21000</v>
      </c>
      <c r="Q2059" s="214"/>
    </row>
    <row r="2060" spans="1:17" ht="12" customHeight="1" x14ac:dyDescent="0.2">
      <c r="A2060" s="735" t="s">
        <v>6676</v>
      </c>
      <c r="B2060" s="735" t="s">
        <v>2170</v>
      </c>
      <c r="C2060" s="638" t="s">
        <v>451</v>
      </c>
      <c r="D2060" s="644" t="s">
        <v>7672</v>
      </c>
      <c r="E2060" s="751">
        <v>10500</v>
      </c>
      <c r="F2060" s="638" t="s">
        <v>6468</v>
      </c>
      <c r="G2060" s="644" t="s">
        <v>7673</v>
      </c>
      <c r="H2060" s="636" t="s">
        <v>2197</v>
      </c>
      <c r="I2060" s="636" t="s">
        <v>6685</v>
      </c>
      <c r="J2060" s="644" t="s">
        <v>6686</v>
      </c>
      <c r="K2060" s="739"/>
      <c r="L2060" s="638">
        <v>1</v>
      </c>
      <c r="M2060" s="638">
        <v>10500</v>
      </c>
      <c r="N2060" s="752"/>
      <c r="O2060" s="638"/>
      <c r="P2060" s="638"/>
      <c r="Q2060" s="214"/>
    </row>
    <row r="2061" spans="1:17" ht="12" customHeight="1" x14ac:dyDescent="0.2">
      <c r="A2061" s="735" t="s">
        <v>6676</v>
      </c>
      <c r="B2061" s="735" t="s">
        <v>2170</v>
      </c>
      <c r="C2061" s="638" t="s">
        <v>451</v>
      </c>
      <c r="D2061" s="644" t="s">
        <v>6797</v>
      </c>
      <c r="E2061" s="751">
        <v>9000</v>
      </c>
      <c r="F2061" s="638" t="s">
        <v>7674</v>
      </c>
      <c r="G2061" s="644" t="s">
        <v>7675</v>
      </c>
      <c r="H2061" s="636" t="s">
        <v>6684</v>
      </c>
      <c r="I2061" s="636" t="s">
        <v>6685</v>
      </c>
      <c r="J2061" s="644" t="s">
        <v>6686</v>
      </c>
      <c r="K2061" s="739"/>
      <c r="L2061" s="638">
        <v>12</v>
      </c>
      <c r="M2061" s="638">
        <v>108000</v>
      </c>
      <c r="N2061" s="752"/>
      <c r="O2061" s="638">
        <v>6</v>
      </c>
      <c r="P2061" s="638">
        <v>54000</v>
      </c>
      <c r="Q2061" s="214"/>
    </row>
    <row r="2062" spans="1:17" ht="12" customHeight="1" x14ac:dyDescent="0.2">
      <c r="A2062" s="735" t="s">
        <v>6676</v>
      </c>
      <c r="B2062" s="735" t="s">
        <v>2170</v>
      </c>
      <c r="C2062" s="638" t="s">
        <v>451</v>
      </c>
      <c r="D2062" s="644" t="s">
        <v>6229</v>
      </c>
      <c r="E2062" s="751">
        <v>9000</v>
      </c>
      <c r="F2062" s="638" t="s">
        <v>7676</v>
      </c>
      <c r="G2062" s="644" t="s">
        <v>7677</v>
      </c>
      <c r="H2062" s="636" t="s">
        <v>6571</v>
      </c>
      <c r="I2062" s="636" t="s">
        <v>6685</v>
      </c>
      <c r="J2062" s="644" t="s">
        <v>6686</v>
      </c>
      <c r="K2062" s="739"/>
      <c r="L2062" s="638"/>
      <c r="M2062" s="638"/>
      <c r="N2062" s="752"/>
      <c r="O2062" s="638">
        <v>6</v>
      </c>
      <c r="P2062" s="638">
        <v>54000</v>
      </c>
      <c r="Q2062" s="214"/>
    </row>
    <row r="2063" spans="1:17" ht="12" customHeight="1" x14ac:dyDescent="0.2">
      <c r="A2063" s="735" t="s">
        <v>6676</v>
      </c>
      <c r="B2063" s="735" t="s">
        <v>2170</v>
      </c>
      <c r="C2063" s="638" t="s">
        <v>451</v>
      </c>
      <c r="D2063" s="644" t="s">
        <v>7678</v>
      </c>
      <c r="E2063" s="751">
        <v>10500</v>
      </c>
      <c r="F2063" s="638" t="s">
        <v>7679</v>
      </c>
      <c r="G2063" s="644" t="s">
        <v>7680</v>
      </c>
      <c r="H2063" s="636" t="s">
        <v>2317</v>
      </c>
      <c r="I2063" s="636" t="s">
        <v>6685</v>
      </c>
      <c r="J2063" s="644" t="s">
        <v>6686</v>
      </c>
      <c r="K2063" s="739"/>
      <c r="L2063" s="638">
        <v>10</v>
      </c>
      <c r="M2063" s="638">
        <v>105000</v>
      </c>
      <c r="N2063" s="752"/>
      <c r="O2063" s="638"/>
      <c r="P2063" s="638"/>
      <c r="Q2063" s="214"/>
    </row>
    <row r="2064" spans="1:17" ht="12" customHeight="1" x14ac:dyDescent="0.2">
      <c r="A2064" s="735" t="s">
        <v>6676</v>
      </c>
      <c r="B2064" s="735" t="s">
        <v>2170</v>
      </c>
      <c r="C2064" s="638" t="s">
        <v>451</v>
      </c>
      <c r="D2064" s="644" t="s">
        <v>6920</v>
      </c>
      <c r="E2064" s="751">
        <v>9000</v>
      </c>
      <c r="F2064" s="638" t="s">
        <v>7679</v>
      </c>
      <c r="G2064" s="644" t="s">
        <v>7680</v>
      </c>
      <c r="H2064" s="636" t="s">
        <v>2317</v>
      </c>
      <c r="I2064" s="636" t="s">
        <v>6685</v>
      </c>
      <c r="J2064" s="644" t="s">
        <v>6686</v>
      </c>
      <c r="K2064" s="739"/>
      <c r="L2064" s="638">
        <v>2</v>
      </c>
      <c r="M2064" s="638">
        <v>18000</v>
      </c>
      <c r="N2064" s="752"/>
      <c r="O2064" s="638">
        <v>6</v>
      </c>
      <c r="P2064" s="638">
        <v>54000</v>
      </c>
      <c r="Q2064" s="214"/>
    </row>
    <row r="2065" spans="1:17" ht="12" customHeight="1" x14ac:dyDescent="0.2">
      <c r="A2065" s="735" t="s">
        <v>6676</v>
      </c>
      <c r="B2065" s="735" t="s">
        <v>2170</v>
      </c>
      <c r="C2065" s="638" t="s">
        <v>451</v>
      </c>
      <c r="D2065" s="644" t="s">
        <v>7681</v>
      </c>
      <c r="E2065" s="751">
        <v>10000</v>
      </c>
      <c r="F2065" s="638" t="s">
        <v>7682</v>
      </c>
      <c r="G2065" s="644" t="s">
        <v>7683</v>
      </c>
      <c r="H2065" s="636" t="s">
        <v>2317</v>
      </c>
      <c r="I2065" s="636" t="s">
        <v>6685</v>
      </c>
      <c r="J2065" s="644" t="s">
        <v>6686</v>
      </c>
      <c r="K2065" s="739"/>
      <c r="L2065" s="638">
        <v>12</v>
      </c>
      <c r="M2065" s="638">
        <v>120000</v>
      </c>
      <c r="N2065" s="752"/>
      <c r="O2065" s="638">
        <v>6</v>
      </c>
      <c r="P2065" s="638">
        <v>60000</v>
      </c>
      <c r="Q2065" s="214"/>
    </row>
    <row r="2066" spans="1:17" ht="12" customHeight="1" x14ac:dyDescent="0.2">
      <c r="A2066" s="735" t="s">
        <v>6676</v>
      </c>
      <c r="B2066" s="735" t="s">
        <v>2170</v>
      </c>
      <c r="C2066" s="638" t="s">
        <v>451</v>
      </c>
      <c r="D2066" s="644" t="s">
        <v>6725</v>
      </c>
      <c r="E2066" s="751">
        <v>8500</v>
      </c>
      <c r="F2066" s="638" t="s">
        <v>7684</v>
      </c>
      <c r="G2066" s="644" t="s">
        <v>7685</v>
      </c>
      <c r="H2066" s="636" t="s">
        <v>6765</v>
      </c>
      <c r="I2066" s="636" t="s">
        <v>6685</v>
      </c>
      <c r="J2066" s="644" t="s">
        <v>6686</v>
      </c>
      <c r="K2066" s="739"/>
      <c r="L2066" s="638">
        <v>12</v>
      </c>
      <c r="M2066" s="638">
        <v>102000</v>
      </c>
      <c r="N2066" s="752"/>
      <c r="O2066" s="638">
        <v>6</v>
      </c>
      <c r="P2066" s="638">
        <v>51000</v>
      </c>
      <c r="Q2066" s="214"/>
    </row>
    <row r="2067" spans="1:17" ht="12" customHeight="1" x14ac:dyDescent="0.2">
      <c r="A2067" s="735" t="s">
        <v>6676</v>
      </c>
      <c r="B2067" s="735" t="s">
        <v>2170</v>
      </c>
      <c r="C2067" s="638" t="s">
        <v>451</v>
      </c>
      <c r="D2067" s="644" t="s">
        <v>3305</v>
      </c>
      <c r="E2067" s="751">
        <v>14000</v>
      </c>
      <c r="F2067" s="638" t="s">
        <v>7686</v>
      </c>
      <c r="G2067" s="644" t="s">
        <v>7687</v>
      </c>
      <c r="H2067" s="636" t="s">
        <v>7688</v>
      </c>
      <c r="I2067" s="636" t="s">
        <v>6548</v>
      </c>
      <c r="J2067" s="644" t="s">
        <v>6686</v>
      </c>
      <c r="K2067" s="739"/>
      <c r="L2067" s="638"/>
      <c r="M2067" s="638"/>
      <c r="N2067" s="752"/>
      <c r="O2067" s="638">
        <v>6</v>
      </c>
      <c r="P2067" s="638">
        <v>84000</v>
      </c>
      <c r="Q2067" s="214"/>
    </row>
    <row r="2068" spans="1:17" ht="12" customHeight="1" x14ac:dyDescent="0.2">
      <c r="A2068" s="735" t="s">
        <v>6676</v>
      </c>
      <c r="B2068" s="735" t="s">
        <v>2170</v>
      </c>
      <c r="C2068" s="638" t="s">
        <v>451</v>
      </c>
      <c r="D2068" s="644" t="s">
        <v>6717</v>
      </c>
      <c r="E2068" s="751">
        <v>9000</v>
      </c>
      <c r="F2068" s="638" t="s">
        <v>7689</v>
      </c>
      <c r="G2068" s="644" t="s">
        <v>7690</v>
      </c>
      <c r="H2068" s="636" t="s">
        <v>6684</v>
      </c>
      <c r="I2068" s="636" t="s">
        <v>6685</v>
      </c>
      <c r="J2068" s="644" t="s">
        <v>6686</v>
      </c>
      <c r="K2068" s="739"/>
      <c r="L2068" s="638">
        <v>8</v>
      </c>
      <c r="M2068" s="638">
        <v>72000</v>
      </c>
      <c r="N2068" s="752"/>
      <c r="O2068" s="638"/>
      <c r="P2068" s="638"/>
      <c r="Q2068" s="214"/>
    </row>
    <row r="2069" spans="1:17" ht="12" customHeight="1" x14ac:dyDescent="0.2">
      <c r="A2069" s="735" t="s">
        <v>6676</v>
      </c>
      <c r="B2069" s="735" t="s">
        <v>2170</v>
      </c>
      <c r="C2069" s="638" t="s">
        <v>451</v>
      </c>
      <c r="D2069" s="644" t="s">
        <v>2687</v>
      </c>
      <c r="E2069" s="751">
        <v>3500</v>
      </c>
      <c r="F2069" s="638" t="s">
        <v>7691</v>
      </c>
      <c r="G2069" s="644" t="s">
        <v>7692</v>
      </c>
      <c r="H2069" s="636" t="s">
        <v>7693</v>
      </c>
      <c r="I2069" s="636" t="s">
        <v>2180</v>
      </c>
      <c r="J2069" s="644" t="s">
        <v>6686</v>
      </c>
      <c r="K2069" s="739"/>
      <c r="L2069" s="638">
        <v>7</v>
      </c>
      <c r="M2069" s="638">
        <v>24500</v>
      </c>
      <c r="N2069" s="752"/>
      <c r="O2069" s="638"/>
      <c r="P2069" s="638"/>
      <c r="Q2069" s="214"/>
    </row>
    <row r="2070" spans="1:17" ht="12" customHeight="1" x14ac:dyDescent="0.2">
      <c r="A2070" s="735" t="s">
        <v>6676</v>
      </c>
      <c r="B2070" s="735" t="s">
        <v>2170</v>
      </c>
      <c r="C2070" s="638" t="s">
        <v>451</v>
      </c>
      <c r="D2070" s="644" t="s">
        <v>6690</v>
      </c>
      <c r="E2070" s="751">
        <v>8500</v>
      </c>
      <c r="F2070" s="638" t="s">
        <v>7694</v>
      </c>
      <c r="G2070" s="644" t="s">
        <v>7695</v>
      </c>
      <c r="H2070" s="636" t="s">
        <v>6580</v>
      </c>
      <c r="I2070" s="636" t="s">
        <v>6685</v>
      </c>
      <c r="J2070" s="644" t="s">
        <v>6686</v>
      </c>
      <c r="K2070" s="739"/>
      <c r="L2070" s="638">
        <v>12</v>
      </c>
      <c r="M2070" s="638">
        <v>102000</v>
      </c>
      <c r="N2070" s="752"/>
      <c r="O2070" s="638">
        <v>6</v>
      </c>
      <c r="P2070" s="638">
        <v>51000</v>
      </c>
      <c r="Q2070" s="214"/>
    </row>
    <row r="2071" spans="1:17" ht="12" customHeight="1" x14ac:dyDescent="0.2">
      <c r="A2071" s="735" t="s">
        <v>6676</v>
      </c>
      <c r="B2071" s="735" t="s">
        <v>2170</v>
      </c>
      <c r="C2071" s="638" t="s">
        <v>451</v>
      </c>
      <c r="D2071" s="644" t="s">
        <v>7696</v>
      </c>
      <c r="E2071" s="751">
        <v>8500</v>
      </c>
      <c r="F2071" s="638" t="s">
        <v>7697</v>
      </c>
      <c r="G2071" s="644" t="s">
        <v>7698</v>
      </c>
      <c r="H2071" s="636" t="s">
        <v>6699</v>
      </c>
      <c r="I2071" s="636" t="s">
        <v>6685</v>
      </c>
      <c r="J2071" s="644" t="s">
        <v>6686</v>
      </c>
      <c r="K2071" s="739"/>
      <c r="L2071" s="638"/>
      <c r="M2071" s="638"/>
      <c r="N2071" s="752"/>
      <c r="O2071" s="638">
        <v>6</v>
      </c>
      <c r="P2071" s="638">
        <v>51000</v>
      </c>
      <c r="Q2071" s="214"/>
    </row>
    <row r="2072" spans="1:17" ht="12" customHeight="1" x14ac:dyDescent="0.2">
      <c r="A2072" s="735" t="s">
        <v>6676</v>
      </c>
      <c r="B2072" s="735" t="s">
        <v>2170</v>
      </c>
      <c r="C2072" s="638" t="s">
        <v>451</v>
      </c>
      <c r="D2072" s="644" t="s">
        <v>7566</v>
      </c>
      <c r="E2072" s="751">
        <v>8500</v>
      </c>
      <c r="F2072" s="638" t="s">
        <v>7699</v>
      </c>
      <c r="G2072" s="644" t="s">
        <v>7700</v>
      </c>
      <c r="H2072" s="636" t="s">
        <v>6536</v>
      </c>
      <c r="I2072" s="636" t="s">
        <v>6548</v>
      </c>
      <c r="J2072" s="644" t="s">
        <v>6686</v>
      </c>
      <c r="K2072" s="739"/>
      <c r="L2072" s="638"/>
      <c r="M2072" s="638"/>
      <c r="N2072" s="752"/>
      <c r="O2072" s="638">
        <v>6</v>
      </c>
      <c r="P2072" s="638">
        <v>51000</v>
      </c>
      <c r="Q2072" s="214"/>
    </row>
    <row r="2073" spans="1:17" ht="12" customHeight="1" x14ac:dyDescent="0.2">
      <c r="A2073" s="735" t="s">
        <v>6676</v>
      </c>
      <c r="B2073" s="735" t="s">
        <v>2170</v>
      </c>
      <c r="C2073" s="638" t="s">
        <v>451</v>
      </c>
      <c r="D2073" s="644" t="s">
        <v>6700</v>
      </c>
      <c r="E2073" s="751">
        <v>3500</v>
      </c>
      <c r="F2073" s="638" t="s">
        <v>5271</v>
      </c>
      <c r="G2073" s="644" t="s">
        <v>7701</v>
      </c>
      <c r="H2073" s="636" t="s">
        <v>6684</v>
      </c>
      <c r="I2073" s="636" t="s">
        <v>6685</v>
      </c>
      <c r="J2073" s="644" t="s">
        <v>6686</v>
      </c>
      <c r="K2073" s="739"/>
      <c r="L2073" s="638">
        <v>5</v>
      </c>
      <c r="M2073" s="638">
        <v>17500</v>
      </c>
      <c r="N2073" s="752"/>
      <c r="O2073" s="638"/>
      <c r="P2073" s="638"/>
      <c r="Q2073" s="214"/>
    </row>
    <row r="2074" spans="1:17" ht="12" customHeight="1" x14ac:dyDescent="0.2">
      <c r="A2074" s="735" t="s">
        <v>6676</v>
      </c>
      <c r="B2074" s="735" t="s">
        <v>2170</v>
      </c>
      <c r="C2074" s="638" t="s">
        <v>451</v>
      </c>
      <c r="D2074" s="644" t="s">
        <v>6725</v>
      </c>
      <c r="E2074" s="751">
        <v>8500</v>
      </c>
      <c r="F2074" s="638" t="s">
        <v>7702</v>
      </c>
      <c r="G2074" s="644" t="s">
        <v>7703</v>
      </c>
      <c r="H2074" s="636" t="s">
        <v>2317</v>
      </c>
      <c r="I2074" s="636" t="s">
        <v>6685</v>
      </c>
      <c r="J2074" s="644" t="s">
        <v>6686</v>
      </c>
      <c r="K2074" s="739"/>
      <c r="L2074" s="638">
        <v>12</v>
      </c>
      <c r="M2074" s="638">
        <v>102000</v>
      </c>
      <c r="N2074" s="752"/>
      <c r="O2074" s="638">
        <v>6</v>
      </c>
      <c r="P2074" s="638">
        <v>51000</v>
      </c>
      <c r="Q2074" s="214"/>
    </row>
    <row r="2075" spans="1:17" ht="12" customHeight="1" x14ac:dyDescent="0.2">
      <c r="A2075" s="735" t="s">
        <v>6676</v>
      </c>
      <c r="B2075" s="735" t="s">
        <v>2170</v>
      </c>
      <c r="C2075" s="638" t="s">
        <v>451</v>
      </c>
      <c r="D2075" s="644" t="s">
        <v>7704</v>
      </c>
      <c r="E2075" s="751">
        <v>8500</v>
      </c>
      <c r="F2075" s="638" t="s">
        <v>7705</v>
      </c>
      <c r="G2075" s="644" t="s">
        <v>7706</v>
      </c>
      <c r="H2075" s="636" t="s">
        <v>6536</v>
      </c>
      <c r="I2075" s="636" t="s">
        <v>6548</v>
      </c>
      <c r="J2075" s="644" t="s">
        <v>6686</v>
      </c>
      <c r="K2075" s="739"/>
      <c r="L2075" s="638"/>
      <c r="M2075" s="638"/>
      <c r="N2075" s="752"/>
      <c r="O2075" s="638">
        <v>2</v>
      </c>
      <c r="P2075" s="638">
        <v>17000</v>
      </c>
      <c r="Q2075" s="214"/>
    </row>
    <row r="2076" spans="1:17" ht="12" customHeight="1" x14ac:dyDescent="0.2">
      <c r="A2076" s="735" t="s">
        <v>6676</v>
      </c>
      <c r="B2076" s="735" t="s">
        <v>2170</v>
      </c>
      <c r="C2076" s="638" t="s">
        <v>451</v>
      </c>
      <c r="D2076" s="644" t="s">
        <v>7707</v>
      </c>
      <c r="E2076" s="751">
        <v>8500</v>
      </c>
      <c r="F2076" s="638" t="s">
        <v>7708</v>
      </c>
      <c r="G2076" s="644" t="s">
        <v>7709</v>
      </c>
      <c r="H2076" s="636" t="s">
        <v>6689</v>
      </c>
      <c r="I2076" s="636" t="s">
        <v>6685</v>
      </c>
      <c r="J2076" s="644" t="s">
        <v>6686</v>
      </c>
      <c r="K2076" s="739"/>
      <c r="L2076" s="638"/>
      <c r="M2076" s="638"/>
      <c r="N2076" s="752"/>
      <c r="O2076" s="638">
        <v>6</v>
      </c>
      <c r="P2076" s="638">
        <v>51000</v>
      </c>
      <c r="Q2076" s="214"/>
    </row>
    <row r="2077" spans="1:17" ht="12" customHeight="1" x14ac:dyDescent="0.2">
      <c r="A2077" s="735" t="s">
        <v>6676</v>
      </c>
      <c r="B2077" s="735" t="s">
        <v>2170</v>
      </c>
      <c r="C2077" s="638" t="s">
        <v>451</v>
      </c>
      <c r="D2077" s="644" t="s">
        <v>5624</v>
      </c>
      <c r="E2077" s="751">
        <v>9000</v>
      </c>
      <c r="F2077" s="638" t="s">
        <v>7710</v>
      </c>
      <c r="G2077" s="644" t="s">
        <v>7711</v>
      </c>
      <c r="H2077" s="636" t="s">
        <v>6536</v>
      </c>
      <c r="I2077" s="636" t="s">
        <v>6548</v>
      </c>
      <c r="J2077" s="644" t="s">
        <v>6686</v>
      </c>
      <c r="K2077" s="739"/>
      <c r="L2077" s="638"/>
      <c r="M2077" s="638"/>
      <c r="N2077" s="752"/>
      <c r="O2077" s="638">
        <v>2</v>
      </c>
      <c r="P2077" s="638">
        <v>18000</v>
      </c>
      <c r="Q2077" s="214"/>
    </row>
    <row r="2078" spans="1:17" ht="12" customHeight="1" x14ac:dyDescent="0.2">
      <c r="A2078" s="735" t="s">
        <v>6676</v>
      </c>
      <c r="B2078" s="735" t="s">
        <v>2170</v>
      </c>
      <c r="C2078" s="638" t="s">
        <v>451</v>
      </c>
      <c r="D2078" s="644" t="s">
        <v>6681</v>
      </c>
      <c r="E2078" s="751">
        <v>9000</v>
      </c>
      <c r="F2078" s="638" t="s">
        <v>7712</v>
      </c>
      <c r="G2078" s="644" t="s">
        <v>7713</v>
      </c>
      <c r="H2078" s="636" t="s">
        <v>6684</v>
      </c>
      <c r="I2078" s="636" t="s">
        <v>6685</v>
      </c>
      <c r="J2078" s="644" t="s">
        <v>6686</v>
      </c>
      <c r="K2078" s="739"/>
      <c r="L2078" s="638">
        <v>12</v>
      </c>
      <c r="M2078" s="638">
        <v>108000</v>
      </c>
      <c r="N2078" s="752"/>
      <c r="O2078" s="638">
        <v>6</v>
      </c>
      <c r="P2078" s="638">
        <v>54000</v>
      </c>
      <c r="Q2078" s="214"/>
    </row>
    <row r="2079" spans="1:17" ht="12" customHeight="1" x14ac:dyDescent="0.2">
      <c r="A2079" s="735" t="s">
        <v>6676</v>
      </c>
      <c r="B2079" s="735" t="s">
        <v>2170</v>
      </c>
      <c r="C2079" s="638" t="s">
        <v>451</v>
      </c>
      <c r="D2079" s="644" t="s">
        <v>6229</v>
      </c>
      <c r="E2079" s="751">
        <v>9000</v>
      </c>
      <c r="F2079" s="638" t="s">
        <v>7714</v>
      </c>
      <c r="G2079" s="644" t="s">
        <v>7715</v>
      </c>
      <c r="H2079" s="636" t="s">
        <v>2179</v>
      </c>
      <c r="I2079" s="636" t="s">
        <v>6685</v>
      </c>
      <c r="J2079" s="644" t="s">
        <v>6686</v>
      </c>
      <c r="K2079" s="739"/>
      <c r="L2079" s="638">
        <v>12</v>
      </c>
      <c r="M2079" s="638">
        <v>108000</v>
      </c>
      <c r="N2079" s="752"/>
      <c r="O2079" s="638">
        <v>6</v>
      </c>
      <c r="P2079" s="638">
        <v>54000</v>
      </c>
      <c r="Q2079" s="214"/>
    </row>
    <row r="2080" spans="1:17" ht="12" customHeight="1" x14ac:dyDescent="0.2">
      <c r="A2080" s="735" t="s">
        <v>6676</v>
      </c>
      <c r="B2080" s="735" t="s">
        <v>2170</v>
      </c>
      <c r="C2080" s="638" t="s">
        <v>451</v>
      </c>
      <c r="D2080" s="644" t="s">
        <v>7716</v>
      </c>
      <c r="E2080" s="751">
        <v>12000</v>
      </c>
      <c r="F2080" s="638" t="s">
        <v>7717</v>
      </c>
      <c r="G2080" s="644" t="s">
        <v>7718</v>
      </c>
      <c r="H2080" s="636" t="s">
        <v>7719</v>
      </c>
      <c r="I2080" s="636" t="s">
        <v>6685</v>
      </c>
      <c r="J2080" s="644" t="s">
        <v>6686</v>
      </c>
      <c r="K2080" s="739"/>
      <c r="L2080" s="638">
        <v>12</v>
      </c>
      <c r="M2080" s="638">
        <v>144000</v>
      </c>
      <c r="N2080" s="752"/>
      <c r="O2080" s="638">
        <v>6</v>
      </c>
      <c r="P2080" s="638">
        <v>72000</v>
      </c>
      <c r="Q2080" s="214"/>
    </row>
    <row r="2081" spans="1:17" ht="12" customHeight="1" x14ac:dyDescent="0.2">
      <c r="A2081" s="735" t="s">
        <v>6676</v>
      </c>
      <c r="B2081" s="735" t="s">
        <v>2170</v>
      </c>
      <c r="C2081" s="638" t="s">
        <v>451</v>
      </c>
      <c r="D2081" s="644" t="s">
        <v>2255</v>
      </c>
      <c r="E2081" s="751">
        <v>8500</v>
      </c>
      <c r="F2081" s="638" t="s">
        <v>7720</v>
      </c>
      <c r="G2081" s="644" t="s">
        <v>7721</v>
      </c>
      <c r="H2081" s="636" t="s">
        <v>6684</v>
      </c>
      <c r="I2081" s="636" t="s">
        <v>6685</v>
      </c>
      <c r="J2081" s="644" t="s">
        <v>6686</v>
      </c>
      <c r="K2081" s="739"/>
      <c r="L2081" s="638">
        <v>12</v>
      </c>
      <c r="M2081" s="638">
        <v>102000</v>
      </c>
      <c r="N2081" s="752"/>
      <c r="O2081" s="638"/>
      <c r="P2081" s="638"/>
      <c r="Q2081" s="214"/>
    </row>
    <row r="2082" spans="1:17" ht="12" customHeight="1" x14ac:dyDescent="0.2">
      <c r="A2082" s="735" t="s">
        <v>6676</v>
      </c>
      <c r="B2082" s="735" t="s">
        <v>2170</v>
      </c>
      <c r="C2082" s="638" t="s">
        <v>451</v>
      </c>
      <c r="D2082" s="644" t="s">
        <v>7647</v>
      </c>
      <c r="E2082" s="751">
        <v>10000</v>
      </c>
      <c r="F2082" s="638" t="s">
        <v>7720</v>
      </c>
      <c r="G2082" s="644" t="s">
        <v>7721</v>
      </c>
      <c r="H2082" s="636" t="s">
        <v>6684</v>
      </c>
      <c r="I2082" s="636" t="s">
        <v>6685</v>
      </c>
      <c r="J2082" s="644" t="s">
        <v>6686</v>
      </c>
      <c r="K2082" s="739"/>
      <c r="L2082" s="638"/>
      <c r="M2082" s="638"/>
      <c r="N2082" s="752"/>
      <c r="O2082" s="638">
        <v>6</v>
      </c>
      <c r="P2082" s="638">
        <v>60000</v>
      </c>
      <c r="Q2082" s="214"/>
    </row>
    <row r="2083" spans="1:17" ht="12" customHeight="1" x14ac:dyDescent="0.2">
      <c r="A2083" s="735" t="s">
        <v>6676</v>
      </c>
      <c r="B2083" s="735" t="s">
        <v>2170</v>
      </c>
      <c r="C2083" s="638" t="s">
        <v>451</v>
      </c>
      <c r="D2083" s="644" t="s">
        <v>6696</v>
      </c>
      <c r="E2083" s="751">
        <v>9000</v>
      </c>
      <c r="F2083" s="638" t="s">
        <v>7722</v>
      </c>
      <c r="G2083" s="644" t="s">
        <v>7723</v>
      </c>
      <c r="H2083" s="636" t="s">
        <v>6699</v>
      </c>
      <c r="I2083" s="636" t="s">
        <v>6685</v>
      </c>
      <c r="J2083" s="644" t="s">
        <v>6686</v>
      </c>
      <c r="K2083" s="739"/>
      <c r="L2083" s="638"/>
      <c r="M2083" s="638"/>
      <c r="N2083" s="752"/>
      <c r="O2083" s="638">
        <v>6</v>
      </c>
      <c r="P2083" s="638">
        <v>54000</v>
      </c>
      <c r="Q2083" s="214"/>
    </row>
    <row r="2084" spans="1:17" ht="12" customHeight="1" x14ac:dyDescent="0.2">
      <c r="A2084" s="735" t="s">
        <v>6676</v>
      </c>
      <c r="B2084" s="735" t="s">
        <v>2170</v>
      </c>
      <c r="C2084" s="638" t="s">
        <v>451</v>
      </c>
      <c r="D2084" s="644" t="s">
        <v>7724</v>
      </c>
      <c r="E2084" s="751">
        <v>10000</v>
      </c>
      <c r="F2084" s="638" t="s">
        <v>7725</v>
      </c>
      <c r="G2084" s="644" t="s">
        <v>7726</v>
      </c>
      <c r="H2084" s="636" t="s">
        <v>2179</v>
      </c>
      <c r="I2084" s="636" t="s">
        <v>6548</v>
      </c>
      <c r="J2084" s="644" t="s">
        <v>6686</v>
      </c>
      <c r="K2084" s="739"/>
      <c r="L2084" s="638"/>
      <c r="M2084" s="638"/>
      <c r="N2084" s="752"/>
      <c r="O2084" s="638">
        <v>6</v>
      </c>
      <c r="P2084" s="638">
        <v>60000</v>
      </c>
      <c r="Q2084" s="214"/>
    </row>
    <row r="2085" spans="1:17" ht="12" customHeight="1" x14ac:dyDescent="0.2">
      <c r="A2085" s="735" t="s">
        <v>6676</v>
      </c>
      <c r="B2085" s="735" t="s">
        <v>2170</v>
      </c>
      <c r="C2085" s="638" t="s">
        <v>451</v>
      </c>
      <c r="D2085" s="644" t="s">
        <v>5503</v>
      </c>
      <c r="E2085" s="751">
        <v>9000</v>
      </c>
      <c r="F2085" s="638" t="s">
        <v>7727</v>
      </c>
      <c r="G2085" s="644" t="s">
        <v>7728</v>
      </c>
      <c r="H2085" s="636" t="s">
        <v>6794</v>
      </c>
      <c r="I2085" s="636" t="s">
        <v>6685</v>
      </c>
      <c r="J2085" s="644" t="s">
        <v>6686</v>
      </c>
      <c r="K2085" s="739"/>
      <c r="L2085" s="638"/>
      <c r="M2085" s="638"/>
      <c r="N2085" s="752"/>
      <c r="O2085" s="638">
        <v>6</v>
      </c>
      <c r="P2085" s="638">
        <v>54000</v>
      </c>
      <c r="Q2085" s="214"/>
    </row>
    <row r="2086" spans="1:17" ht="12" customHeight="1" x14ac:dyDescent="0.2">
      <c r="A2086" s="735" t="s">
        <v>6676</v>
      </c>
      <c r="B2086" s="735" t="s">
        <v>2170</v>
      </c>
      <c r="C2086" s="638" t="s">
        <v>451</v>
      </c>
      <c r="D2086" s="644" t="s">
        <v>3444</v>
      </c>
      <c r="E2086" s="751">
        <v>3500</v>
      </c>
      <c r="F2086" s="638" t="s">
        <v>7729</v>
      </c>
      <c r="G2086" s="644" t="s">
        <v>7730</v>
      </c>
      <c r="H2086" s="636" t="s">
        <v>6536</v>
      </c>
      <c r="I2086" s="636" t="s">
        <v>6548</v>
      </c>
      <c r="J2086" s="644" t="s">
        <v>6686</v>
      </c>
      <c r="K2086" s="739"/>
      <c r="L2086" s="638"/>
      <c r="M2086" s="638"/>
      <c r="N2086" s="752"/>
      <c r="O2086" s="638">
        <v>2</v>
      </c>
      <c r="P2086" s="638">
        <v>7000</v>
      </c>
      <c r="Q2086" s="214"/>
    </row>
    <row r="2087" spans="1:17" ht="12" customHeight="1" x14ac:dyDescent="0.2">
      <c r="A2087" s="735" t="s">
        <v>6676</v>
      </c>
      <c r="B2087" s="735" t="s">
        <v>2170</v>
      </c>
      <c r="C2087" s="638" t="s">
        <v>451</v>
      </c>
      <c r="D2087" s="644" t="s">
        <v>2247</v>
      </c>
      <c r="E2087" s="751">
        <v>8500</v>
      </c>
      <c r="F2087" s="638" t="s">
        <v>7731</v>
      </c>
      <c r="G2087" s="644" t="s">
        <v>7732</v>
      </c>
      <c r="H2087" s="636" t="s">
        <v>6571</v>
      </c>
      <c r="I2087" s="636" t="s">
        <v>6685</v>
      </c>
      <c r="J2087" s="644" t="s">
        <v>6686</v>
      </c>
      <c r="K2087" s="739"/>
      <c r="L2087" s="638"/>
      <c r="M2087" s="638"/>
      <c r="N2087" s="752"/>
      <c r="O2087" s="638">
        <v>6</v>
      </c>
      <c r="P2087" s="638">
        <v>51000</v>
      </c>
      <c r="Q2087" s="214"/>
    </row>
    <row r="2088" spans="1:17" ht="12" customHeight="1" x14ac:dyDescent="0.2">
      <c r="A2088" s="735" t="s">
        <v>7733</v>
      </c>
      <c r="B2088" s="735" t="s">
        <v>2170</v>
      </c>
      <c r="C2088" s="735" t="s">
        <v>451</v>
      </c>
      <c r="D2088" s="644" t="s">
        <v>6668</v>
      </c>
      <c r="E2088" s="736">
        <v>3000</v>
      </c>
      <c r="F2088" s="737" t="s">
        <v>7734</v>
      </c>
      <c r="G2088" s="636" t="s">
        <v>7735</v>
      </c>
      <c r="H2088" s="636" t="s">
        <v>6778</v>
      </c>
      <c r="I2088" s="636" t="s">
        <v>4796</v>
      </c>
      <c r="J2088" s="644" t="s">
        <v>642</v>
      </c>
      <c r="K2088" s="753">
        <v>12</v>
      </c>
      <c r="L2088" s="754">
        <v>12</v>
      </c>
      <c r="M2088" s="736">
        <v>37960.800000000003</v>
      </c>
      <c r="N2088" s="744"/>
      <c r="O2088" s="739"/>
      <c r="P2088" s="739"/>
      <c r="Q2088" s="214"/>
    </row>
    <row r="2089" spans="1:17" ht="12" customHeight="1" x14ac:dyDescent="0.2">
      <c r="A2089" s="735" t="s">
        <v>7733</v>
      </c>
      <c r="B2089" s="735" t="s">
        <v>2170</v>
      </c>
      <c r="C2089" s="735" t="s">
        <v>451</v>
      </c>
      <c r="D2089" s="644" t="s">
        <v>7736</v>
      </c>
      <c r="E2089" s="736">
        <v>2000</v>
      </c>
      <c r="F2089" s="737" t="s">
        <v>7737</v>
      </c>
      <c r="G2089" s="636" t="s">
        <v>7738</v>
      </c>
      <c r="H2089" s="636" t="s">
        <v>7739</v>
      </c>
      <c r="I2089" s="636"/>
      <c r="J2089" s="644" t="s">
        <v>642</v>
      </c>
      <c r="K2089" s="753">
        <v>12</v>
      </c>
      <c r="L2089" s="754">
        <v>12</v>
      </c>
      <c r="M2089" s="736">
        <v>25960.799999999999</v>
      </c>
      <c r="N2089" s="744"/>
      <c r="O2089" s="739"/>
      <c r="P2089" s="739"/>
      <c r="Q2089" s="214"/>
    </row>
    <row r="2090" spans="1:17" ht="12" customHeight="1" x14ac:dyDescent="0.2">
      <c r="A2090" s="735" t="s">
        <v>7733</v>
      </c>
      <c r="B2090" s="735" t="s">
        <v>2170</v>
      </c>
      <c r="C2090" s="735" t="s">
        <v>451</v>
      </c>
      <c r="D2090" s="644" t="s">
        <v>7740</v>
      </c>
      <c r="E2090" s="736">
        <v>2200</v>
      </c>
      <c r="F2090" s="737" t="s">
        <v>7741</v>
      </c>
      <c r="G2090" s="636" t="s">
        <v>7742</v>
      </c>
      <c r="H2090" s="636"/>
      <c r="I2090" s="636"/>
      <c r="J2090" s="644" t="s">
        <v>642</v>
      </c>
      <c r="K2090" s="753">
        <v>12</v>
      </c>
      <c r="L2090" s="754">
        <v>12</v>
      </c>
      <c r="M2090" s="736">
        <v>28360.799999999999</v>
      </c>
      <c r="N2090" s="744"/>
      <c r="O2090" s="739"/>
      <c r="P2090" s="739"/>
      <c r="Q2090" s="214"/>
    </row>
    <row r="2091" spans="1:17" ht="12" customHeight="1" x14ac:dyDescent="0.2">
      <c r="A2091" s="735" t="s">
        <v>7733</v>
      </c>
      <c r="B2091" s="735" t="s">
        <v>2170</v>
      </c>
      <c r="C2091" s="735" t="s">
        <v>451</v>
      </c>
      <c r="D2091" s="644" t="s">
        <v>6668</v>
      </c>
      <c r="E2091" s="736">
        <v>3500</v>
      </c>
      <c r="F2091" s="737" t="s">
        <v>7743</v>
      </c>
      <c r="G2091" s="636" t="s">
        <v>7744</v>
      </c>
      <c r="H2091" s="636" t="s">
        <v>7745</v>
      </c>
      <c r="I2091" s="636" t="s">
        <v>2174</v>
      </c>
      <c r="J2091" s="644" t="s">
        <v>642</v>
      </c>
      <c r="K2091" s="753">
        <v>12</v>
      </c>
      <c r="L2091" s="754">
        <v>12</v>
      </c>
      <c r="M2091" s="736">
        <v>43960.800000000003</v>
      </c>
      <c r="N2091" s="744"/>
      <c r="O2091" s="739"/>
      <c r="P2091" s="739"/>
      <c r="Q2091" s="214"/>
    </row>
    <row r="2092" spans="1:17" ht="12" customHeight="1" x14ac:dyDescent="0.2">
      <c r="A2092" s="735" t="s">
        <v>7733</v>
      </c>
      <c r="B2092" s="735" t="s">
        <v>2170</v>
      </c>
      <c r="C2092" s="735" t="s">
        <v>451</v>
      </c>
      <c r="D2092" s="644" t="s">
        <v>7746</v>
      </c>
      <c r="E2092" s="736">
        <v>1700</v>
      </c>
      <c r="F2092" s="737" t="s">
        <v>7747</v>
      </c>
      <c r="G2092" s="636" t="s">
        <v>7748</v>
      </c>
      <c r="H2092" s="636"/>
      <c r="I2092" s="636"/>
      <c r="J2092" s="644" t="s">
        <v>643</v>
      </c>
      <c r="K2092" s="753">
        <v>12</v>
      </c>
      <c r="L2092" s="754">
        <v>12</v>
      </c>
      <c r="M2092" s="736">
        <v>22836</v>
      </c>
      <c r="N2092" s="744"/>
      <c r="O2092" s="739"/>
      <c r="P2092" s="739"/>
      <c r="Q2092" s="214"/>
    </row>
    <row r="2093" spans="1:17" ht="12" customHeight="1" x14ac:dyDescent="0.2">
      <c r="A2093" s="735" t="s">
        <v>7733</v>
      </c>
      <c r="B2093" s="735" t="s">
        <v>2170</v>
      </c>
      <c r="C2093" s="735" t="s">
        <v>451</v>
      </c>
      <c r="D2093" s="644" t="s">
        <v>7749</v>
      </c>
      <c r="E2093" s="736">
        <v>2500</v>
      </c>
      <c r="F2093" s="737" t="s">
        <v>7750</v>
      </c>
      <c r="G2093" s="636" t="s">
        <v>7751</v>
      </c>
      <c r="H2093" s="636" t="s">
        <v>7752</v>
      </c>
      <c r="I2093" s="636" t="s">
        <v>2179</v>
      </c>
      <c r="J2093" s="644" t="s">
        <v>642</v>
      </c>
      <c r="K2093" s="753">
        <v>11</v>
      </c>
      <c r="L2093" s="754">
        <v>12</v>
      </c>
      <c r="M2093" s="736">
        <v>31960.799999999999</v>
      </c>
      <c r="N2093" s="744"/>
      <c r="O2093" s="739"/>
      <c r="P2093" s="739"/>
      <c r="Q2093" s="214"/>
    </row>
    <row r="2094" spans="1:17" ht="12" customHeight="1" x14ac:dyDescent="0.2">
      <c r="A2094" s="735" t="s">
        <v>7733</v>
      </c>
      <c r="B2094" s="735" t="s">
        <v>2170</v>
      </c>
      <c r="C2094" s="735" t="s">
        <v>451</v>
      </c>
      <c r="D2094" s="644" t="s">
        <v>7746</v>
      </c>
      <c r="E2094" s="736">
        <v>2200</v>
      </c>
      <c r="F2094" s="737" t="s">
        <v>7753</v>
      </c>
      <c r="G2094" s="636" t="s">
        <v>7754</v>
      </c>
      <c r="H2094" s="636"/>
      <c r="I2094" s="636"/>
      <c r="J2094" s="644" t="s">
        <v>643</v>
      </c>
      <c r="K2094" s="753">
        <v>5</v>
      </c>
      <c r="L2094" s="754">
        <v>12</v>
      </c>
      <c r="M2094" s="736">
        <v>28360.799999999999</v>
      </c>
      <c r="N2094" s="744"/>
      <c r="O2094" s="739"/>
      <c r="P2094" s="739"/>
      <c r="Q2094" s="214"/>
    </row>
    <row r="2095" spans="1:17" ht="12" customHeight="1" x14ac:dyDescent="0.2">
      <c r="A2095" s="735" t="s">
        <v>7733</v>
      </c>
      <c r="B2095" s="735" t="s">
        <v>2170</v>
      </c>
      <c r="C2095" s="735" t="s">
        <v>451</v>
      </c>
      <c r="D2095" s="644" t="s">
        <v>7755</v>
      </c>
      <c r="E2095" s="736">
        <v>2500</v>
      </c>
      <c r="F2095" s="737" t="s">
        <v>7756</v>
      </c>
      <c r="G2095" s="636" t="s">
        <v>7757</v>
      </c>
      <c r="H2095" s="636"/>
      <c r="I2095" s="636"/>
      <c r="J2095" s="644" t="s">
        <v>642</v>
      </c>
      <c r="K2095" s="753">
        <v>11</v>
      </c>
      <c r="L2095" s="754">
        <v>11</v>
      </c>
      <c r="M2095" s="736">
        <v>29460.799999999999</v>
      </c>
      <c r="N2095" s="744"/>
      <c r="O2095" s="739"/>
      <c r="P2095" s="739"/>
      <c r="Q2095" s="214"/>
    </row>
    <row r="2096" spans="1:17" ht="12" customHeight="1" x14ac:dyDescent="0.2">
      <c r="A2096" s="735" t="s">
        <v>7733</v>
      </c>
      <c r="B2096" s="735" t="s">
        <v>2170</v>
      </c>
      <c r="C2096" s="735" t="s">
        <v>451</v>
      </c>
      <c r="D2096" s="644" t="s">
        <v>7758</v>
      </c>
      <c r="E2096" s="736">
        <v>3000</v>
      </c>
      <c r="F2096" s="737" t="s">
        <v>7759</v>
      </c>
      <c r="G2096" s="636" t="s">
        <v>7760</v>
      </c>
      <c r="H2096" s="636" t="s">
        <v>7752</v>
      </c>
      <c r="I2096" s="636" t="s">
        <v>2179</v>
      </c>
      <c r="J2096" s="644" t="s">
        <v>643</v>
      </c>
      <c r="K2096" s="753">
        <v>5</v>
      </c>
      <c r="L2096" s="754">
        <v>12</v>
      </c>
      <c r="M2096" s="736">
        <v>37960.800000000003</v>
      </c>
      <c r="N2096" s="744"/>
      <c r="O2096" s="739"/>
      <c r="P2096" s="739"/>
      <c r="Q2096" s="214"/>
    </row>
    <row r="2097" spans="1:17" ht="12" customHeight="1" x14ac:dyDescent="0.2">
      <c r="A2097" s="735" t="s">
        <v>7733</v>
      </c>
      <c r="B2097" s="735" t="s">
        <v>2170</v>
      </c>
      <c r="C2097" s="735" t="s">
        <v>451</v>
      </c>
      <c r="D2097" s="644" t="s">
        <v>7761</v>
      </c>
      <c r="E2097" s="736">
        <v>1500</v>
      </c>
      <c r="F2097" s="737" t="s">
        <v>7762</v>
      </c>
      <c r="G2097" s="636" t="s">
        <v>7763</v>
      </c>
      <c r="H2097" s="636" t="s">
        <v>3754</v>
      </c>
      <c r="I2097" s="636" t="s">
        <v>2745</v>
      </c>
      <c r="J2097" s="644" t="s">
        <v>643</v>
      </c>
      <c r="K2097" s="753">
        <v>12</v>
      </c>
      <c r="L2097" s="754">
        <v>12</v>
      </c>
      <c r="M2097" s="736">
        <v>20220</v>
      </c>
      <c r="N2097" s="744"/>
      <c r="O2097" s="739"/>
      <c r="P2097" s="739"/>
      <c r="Q2097" s="214"/>
    </row>
    <row r="2098" spans="1:17" ht="12" customHeight="1" x14ac:dyDescent="0.2">
      <c r="A2098" s="735" t="s">
        <v>7733</v>
      </c>
      <c r="B2098" s="735" t="s">
        <v>2170</v>
      </c>
      <c r="C2098" s="735" t="s">
        <v>451</v>
      </c>
      <c r="D2098" s="644" t="s">
        <v>7764</v>
      </c>
      <c r="E2098" s="736">
        <v>3500</v>
      </c>
      <c r="F2098" s="737" t="s">
        <v>7765</v>
      </c>
      <c r="G2098" s="636" t="s">
        <v>7766</v>
      </c>
      <c r="H2098" s="636" t="s">
        <v>7752</v>
      </c>
      <c r="I2098" s="636" t="s">
        <v>2179</v>
      </c>
      <c r="J2098" s="644" t="s">
        <v>642</v>
      </c>
      <c r="K2098" s="753">
        <v>12</v>
      </c>
      <c r="L2098" s="754">
        <v>12</v>
      </c>
      <c r="M2098" s="736">
        <v>53960.800000000003</v>
      </c>
      <c r="N2098" s="744"/>
      <c r="O2098" s="739"/>
      <c r="P2098" s="739"/>
      <c r="Q2098" s="214"/>
    </row>
    <row r="2099" spans="1:17" ht="12" customHeight="1" x14ac:dyDescent="0.2">
      <c r="A2099" s="735" t="s">
        <v>7733</v>
      </c>
      <c r="B2099" s="735" t="s">
        <v>2170</v>
      </c>
      <c r="C2099" s="735" t="s">
        <v>451</v>
      </c>
      <c r="D2099" s="644" t="s">
        <v>7746</v>
      </c>
      <c r="E2099" s="736">
        <v>1700</v>
      </c>
      <c r="F2099" s="737" t="s">
        <v>7767</v>
      </c>
      <c r="G2099" s="636" t="s">
        <v>7768</v>
      </c>
      <c r="H2099" s="636"/>
      <c r="I2099" s="636"/>
      <c r="J2099" s="644" t="s">
        <v>643</v>
      </c>
      <c r="K2099" s="753">
        <v>12</v>
      </c>
      <c r="L2099" s="754">
        <v>12</v>
      </c>
      <c r="M2099" s="736">
        <v>22836</v>
      </c>
      <c r="N2099" s="744"/>
      <c r="O2099" s="739"/>
      <c r="P2099" s="739"/>
      <c r="Q2099" s="214"/>
    </row>
    <row r="2100" spans="1:17" ht="12" customHeight="1" x14ac:dyDescent="0.2">
      <c r="A2100" s="735" t="s">
        <v>7733</v>
      </c>
      <c r="B2100" s="735" t="s">
        <v>2170</v>
      </c>
      <c r="C2100" s="735" t="s">
        <v>451</v>
      </c>
      <c r="D2100" s="644" t="s">
        <v>7769</v>
      </c>
      <c r="E2100" s="736">
        <v>3000</v>
      </c>
      <c r="F2100" s="737" t="s">
        <v>7770</v>
      </c>
      <c r="G2100" s="636" t="s">
        <v>7771</v>
      </c>
      <c r="H2100" s="636" t="s">
        <v>7772</v>
      </c>
      <c r="I2100" s="636" t="s">
        <v>7773</v>
      </c>
      <c r="J2100" s="644" t="s">
        <v>643</v>
      </c>
      <c r="K2100" s="753">
        <v>5</v>
      </c>
      <c r="L2100" s="754">
        <v>12</v>
      </c>
      <c r="M2100" s="736">
        <v>37960.800000000003</v>
      </c>
      <c r="N2100" s="744"/>
      <c r="O2100" s="739"/>
      <c r="P2100" s="739"/>
      <c r="Q2100" s="214"/>
    </row>
    <row r="2101" spans="1:17" ht="12" customHeight="1" x14ac:dyDescent="0.2">
      <c r="A2101" s="735" t="s">
        <v>7733</v>
      </c>
      <c r="B2101" s="735" t="s">
        <v>2170</v>
      </c>
      <c r="C2101" s="735" t="s">
        <v>451</v>
      </c>
      <c r="D2101" s="644" t="s">
        <v>7774</v>
      </c>
      <c r="E2101" s="736">
        <v>6000</v>
      </c>
      <c r="F2101" s="737" t="s">
        <v>7775</v>
      </c>
      <c r="G2101" s="636" t="s">
        <v>7776</v>
      </c>
      <c r="H2101" s="636" t="s">
        <v>7752</v>
      </c>
      <c r="I2101" s="636" t="s">
        <v>2179</v>
      </c>
      <c r="J2101" s="644" t="s">
        <v>642</v>
      </c>
      <c r="K2101" s="753">
        <v>12</v>
      </c>
      <c r="L2101" s="754">
        <v>12</v>
      </c>
      <c r="M2101" s="736">
        <v>73960.800000000003</v>
      </c>
      <c r="N2101" s="744"/>
      <c r="O2101" s="739"/>
      <c r="P2101" s="739"/>
      <c r="Q2101" s="214"/>
    </row>
    <row r="2102" spans="1:17" ht="12" customHeight="1" x14ac:dyDescent="0.2">
      <c r="A2102" s="735" t="s">
        <v>7733</v>
      </c>
      <c r="B2102" s="735" t="s">
        <v>2170</v>
      </c>
      <c r="C2102" s="735" t="s">
        <v>451</v>
      </c>
      <c r="D2102" s="644" t="s">
        <v>7755</v>
      </c>
      <c r="E2102" s="736">
        <v>2500</v>
      </c>
      <c r="F2102" s="737" t="s">
        <v>7777</v>
      </c>
      <c r="G2102" s="636" t="s">
        <v>7778</v>
      </c>
      <c r="H2102" s="636"/>
      <c r="I2102" s="636"/>
      <c r="J2102" s="644" t="s">
        <v>643</v>
      </c>
      <c r="K2102" s="753">
        <v>5</v>
      </c>
      <c r="L2102" s="754">
        <v>6</v>
      </c>
      <c r="M2102" s="736">
        <v>26960.799999999999</v>
      </c>
      <c r="N2102" s="744"/>
      <c r="O2102" s="739"/>
      <c r="P2102" s="739"/>
      <c r="Q2102" s="214"/>
    </row>
    <row r="2103" spans="1:17" ht="12" customHeight="1" x14ac:dyDescent="0.2">
      <c r="A2103" s="735" t="s">
        <v>7733</v>
      </c>
      <c r="B2103" s="735" t="s">
        <v>2170</v>
      </c>
      <c r="C2103" s="735" t="s">
        <v>451</v>
      </c>
      <c r="D2103" s="644" t="s">
        <v>7779</v>
      </c>
      <c r="E2103" s="736">
        <v>4000</v>
      </c>
      <c r="F2103" s="737" t="s">
        <v>7780</v>
      </c>
      <c r="G2103" s="636" t="s">
        <v>7781</v>
      </c>
      <c r="H2103" s="636" t="s">
        <v>7782</v>
      </c>
      <c r="I2103" s="636" t="s">
        <v>2208</v>
      </c>
      <c r="J2103" s="644" t="s">
        <v>642</v>
      </c>
      <c r="K2103" s="753">
        <v>12</v>
      </c>
      <c r="L2103" s="754">
        <v>12</v>
      </c>
      <c r="M2103" s="736">
        <v>49960.800000000003</v>
      </c>
      <c r="N2103" s="744"/>
      <c r="O2103" s="739"/>
      <c r="P2103" s="739"/>
      <c r="Q2103" s="214"/>
    </row>
    <row r="2104" spans="1:17" ht="12" customHeight="1" x14ac:dyDescent="0.2">
      <c r="A2104" s="735" t="s">
        <v>7733</v>
      </c>
      <c r="B2104" s="735" t="s">
        <v>2170</v>
      </c>
      <c r="C2104" s="735" t="s">
        <v>451</v>
      </c>
      <c r="D2104" s="644" t="s">
        <v>7783</v>
      </c>
      <c r="E2104" s="736">
        <v>4000</v>
      </c>
      <c r="F2104" s="737" t="s">
        <v>7784</v>
      </c>
      <c r="G2104" s="636" t="s">
        <v>7785</v>
      </c>
      <c r="H2104" s="636" t="s">
        <v>7260</v>
      </c>
      <c r="I2104" s="636" t="s">
        <v>7267</v>
      </c>
      <c r="J2104" s="644" t="s">
        <v>642</v>
      </c>
      <c r="K2104" s="753">
        <v>4</v>
      </c>
      <c r="L2104" s="754">
        <v>12</v>
      </c>
      <c r="M2104" s="736">
        <v>49960.800000000003</v>
      </c>
      <c r="N2104" s="744"/>
      <c r="O2104" s="739"/>
      <c r="P2104" s="739"/>
      <c r="Q2104" s="214"/>
    </row>
    <row r="2105" spans="1:17" ht="12" customHeight="1" x14ac:dyDescent="0.2">
      <c r="A2105" s="735" t="s">
        <v>7733</v>
      </c>
      <c r="B2105" s="735" t="s">
        <v>2170</v>
      </c>
      <c r="C2105" s="735" t="s">
        <v>451</v>
      </c>
      <c r="D2105" s="644" t="s">
        <v>7786</v>
      </c>
      <c r="E2105" s="736">
        <v>7500</v>
      </c>
      <c r="F2105" s="737" t="s">
        <v>7787</v>
      </c>
      <c r="G2105" s="636" t="s">
        <v>7788</v>
      </c>
      <c r="H2105" s="636" t="s">
        <v>6571</v>
      </c>
      <c r="I2105" s="636" t="s">
        <v>2179</v>
      </c>
      <c r="J2105" s="644" t="s">
        <v>642</v>
      </c>
      <c r="K2105" s="753">
        <v>1</v>
      </c>
      <c r="L2105" s="754">
        <v>3</v>
      </c>
      <c r="M2105" s="736">
        <v>24460.799999999999</v>
      </c>
      <c r="N2105" s="744"/>
      <c r="O2105" s="739"/>
      <c r="P2105" s="739"/>
      <c r="Q2105" s="214"/>
    </row>
    <row r="2106" spans="1:17" ht="12" customHeight="1" x14ac:dyDescent="0.2">
      <c r="A2106" s="735" t="s">
        <v>7733</v>
      </c>
      <c r="B2106" s="735" t="s">
        <v>2170</v>
      </c>
      <c r="C2106" s="735" t="s">
        <v>451</v>
      </c>
      <c r="D2106" s="644" t="s">
        <v>7789</v>
      </c>
      <c r="E2106" s="736">
        <v>5500</v>
      </c>
      <c r="F2106" s="737" t="s">
        <v>7790</v>
      </c>
      <c r="G2106" s="636" t="s">
        <v>7791</v>
      </c>
      <c r="H2106" s="636" t="s">
        <v>7792</v>
      </c>
      <c r="I2106" s="636" t="s">
        <v>7793</v>
      </c>
      <c r="J2106" s="644" t="s">
        <v>642</v>
      </c>
      <c r="K2106" s="753">
        <v>5</v>
      </c>
      <c r="L2106" s="754">
        <v>12</v>
      </c>
      <c r="M2106" s="736">
        <v>67960.800000000003</v>
      </c>
      <c r="N2106" s="744"/>
      <c r="O2106" s="739"/>
      <c r="P2106" s="739"/>
      <c r="Q2106" s="214"/>
    </row>
    <row r="2107" spans="1:17" ht="12" customHeight="1" x14ac:dyDescent="0.2">
      <c r="A2107" s="735" t="s">
        <v>7733</v>
      </c>
      <c r="B2107" s="735" t="s">
        <v>2170</v>
      </c>
      <c r="C2107" s="735" t="s">
        <v>451</v>
      </c>
      <c r="D2107" s="644" t="s">
        <v>7740</v>
      </c>
      <c r="E2107" s="736">
        <v>2200</v>
      </c>
      <c r="F2107" s="737" t="s">
        <v>7794</v>
      </c>
      <c r="G2107" s="636" t="s">
        <v>7795</v>
      </c>
      <c r="H2107" s="636" t="s">
        <v>2979</v>
      </c>
      <c r="I2107" s="636" t="s">
        <v>2745</v>
      </c>
      <c r="J2107" s="644" t="s">
        <v>643</v>
      </c>
      <c r="K2107" s="753">
        <v>12</v>
      </c>
      <c r="L2107" s="754">
        <v>12</v>
      </c>
      <c r="M2107" s="736">
        <v>28360.799999999999</v>
      </c>
      <c r="N2107" s="744"/>
      <c r="O2107" s="739"/>
      <c r="P2107" s="739"/>
      <c r="Q2107" s="214"/>
    </row>
    <row r="2108" spans="1:17" ht="12" customHeight="1" x14ac:dyDescent="0.2">
      <c r="A2108" s="735" t="s">
        <v>7733</v>
      </c>
      <c r="B2108" s="735" t="s">
        <v>2170</v>
      </c>
      <c r="C2108" s="735" t="s">
        <v>451</v>
      </c>
      <c r="D2108" s="644" t="s">
        <v>7779</v>
      </c>
      <c r="E2108" s="736">
        <v>4000</v>
      </c>
      <c r="F2108" s="737" t="s">
        <v>7796</v>
      </c>
      <c r="G2108" s="636" t="s">
        <v>7797</v>
      </c>
      <c r="H2108" s="636"/>
      <c r="I2108" s="636"/>
      <c r="J2108" s="644" t="s">
        <v>642</v>
      </c>
      <c r="K2108" s="753">
        <v>12</v>
      </c>
      <c r="L2108" s="754">
        <v>12</v>
      </c>
      <c r="M2108" s="736">
        <v>49960.800000000003</v>
      </c>
      <c r="N2108" s="744"/>
      <c r="O2108" s="739"/>
      <c r="P2108" s="739"/>
      <c r="Q2108" s="214"/>
    </row>
    <row r="2109" spans="1:17" ht="12" customHeight="1" x14ac:dyDescent="0.2">
      <c r="A2109" s="735" t="s">
        <v>7733</v>
      </c>
      <c r="B2109" s="735" t="s">
        <v>2170</v>
      </c>
      <c r="C2109" s="735" t="s">
        <v>451</v>
      </c>
      <c r="D2109" s="644" t="s">
        <v>7779</v>
      </c>
      <c r="E2109" s="736">
        <v>4000</v>
      </c>
      <c r="F2109" s="737" t="s">
        <v>7798</v>
      </c>
      <c r="G2109" s="636" t="s">
        <v>7799</v>
      </c>
      <c r="H2109" s="636" t="s">
        <v>7782</v>
      </c>
      <c r="I2109" s="636" t="s">
        <v>2208</v>
      </c>
      <c r="J2109" s="644" t="s">
        <v>642</v>
      </c>
      <c r="K2109" s="753">
        <v>12</v>
      </c>
      <c r="L2109" s="754">
        <v>12</v>
      </c>
      <c r="M2109" s="736">
        <v>59960.800000000003</v>
      </c>
      <c r="N2109" s="744"/>
      <c r="O2109" s="739"/>
      <c r="P2109" s="739"/>
      <c r="Q2109" s="214"/>
    </row>
    <row r="2110" spans="1:17" ht="12" customHeight="1" x14ac:dyDescent="0.2">
      <c r="A2110" s="735" t="s">
        <v>7733</v>
      </c>
      <c r="B2110" s="735" t="s">
        <v>2170</v>
      </c>
      <c r="C2110" s="735" t="s">
        <v>451</v>
      </c>
      <c r="D2110" s="644" t="s">
        <v>7800</v>
      </c>
      <c r="E2110" s="736">
        <v>3500</v>
      </c>
      <c r="F2110" s="737" t="s">
        <v>7801</v>
      </c>
      <c r="G2110" s="636" t="s">
        <v>7802</v>
      </c>
      <c r="H2110" s="636"/>
      <c r="I2110" s="636"/>
      <c r="J2110" s="644" t="s">
        <v>642</v>
      </c>
      <c r="K2110" s="753">
        <v>10</v>
      </c>
      <c r="L2110" s="754">
        <v>10</v>
      </c>
      <c r="M2110" s="736">
        <v>36960.800000000003</v>
      </c>
      <c r="N2110" s="744"/>
      <c r="O2110" s="739"/>
      <c r="P2110" s="739"/>
      <c r="Q2110" s="214"/>
    </row>
    <row r="2111" spans="1:17" ht="12" customHeight="1" x14ac:dyDescent="0.2">
      <c r="A2111" s="735" t="s">
        <v>7733</v>
      </c>
      <c r="B2111" s="735" t="s">
        <v>2170</v>
      </c>
      <c r="C2111" s="735" t="s">
        <v>451</v>
      </c>
      <c r="D2111" s="644" t="s">
        <v>7803</v>
      </c>
      <c r="E2111" s="736">
        <v>5000</v>
      </c>
      <c r="F2111" s="737" t="s">
        <v>7804</v>
      </c>
      <c r="G2111" s="636" t="s">
        <v>7805</v>
      </c>
      <c r="H2111" s="636" t="s">
        <v>7752</v>
      </c>
      <c r="I2111" s="636" t="s">
        <v>2179</v>
      </c>
      <c r="J2111" s="644" t="s">
        <v>642</v>
      </c>
      <c r="K2111" s="753">
        <v>12</v>
      </c>
      <c r="L2111" s="754">
        <v>12</v>
      </c>
      <c r="M2111" s="736">
        <v>61960.800000000003</v>
      </c>
      <c r="N2111" s="744"/>
      <c r="O2111" s="739"/>
      <c r="P2111" s="739"/>
      <c r="Q2111" s="214"/>
    </row>
    <row r="2112" spans="1:17" ht="12" customHeight="1" x14ac:dyDescent="0.2">
      <c r="A2112" s="735" t="s">
        <v>7733</v>
      </c>
      <c r="B2112" s="735" t="s">
        <v>2170</v>
      </c>
      <c r="C2112" s="735" t="s">
        <v>451</v>
      </c>
      <c r="D2112" s="644" t="s">
        <v>7806</v>
      </c>
      <c r="E2112" s="736">
        <v>4500</v>
      </c>
      <c r="F2112" s="737" t="s">
        <v>7807</v>
      </c>
      <c r="G2112" s="636" t="s">
        <v>7808</v>
      </c>
      <c r="H2112" s="636" t="s">
        <v>2228</v>
      </c>
      <c r="I2112" s="636" t="s">
        <v>2228</v>
      </c>
      <c r="J2112" s="644"/>
      <c r="K2112" s="753">
        <v>4</v>
      </c>
      <c r="L2112" s="754">
        <v>7</v>
      </c>
      <c r="M2112" s="736">
        <v>33460.800000000003</v>
      </c>
      <c r="N2112" s="744"/>
      <c r="O2112" s="739"/>
      <c r="P2112" s="739"/>
      <c r="Q2112" s="214"/>
    </row>
    <row r="2113" spans="1:17" ht="12" customHeight="1" x14ac:dyDescent="0.2">
      <c r="A2113" s="735" t="s">
        <v>7733</v>
      </c>
      <c r="B2113" s="735" t="s">
        <v>2170</v>
      </c>
      <c r="C2113" s="735" t="s">
        <v>451</v>
      </c>
      <c r="D2113" s="644" t="s">
        <v>2261</v>
      </c>
      <c r="E2113" s="736">
        <v>2500</v>
      </c>
      <c r="F2113" s="737" t="s">
        <v>7809</v>
      </c>
      <c r="G2113" s="636" t="s">
        <v>7810</v>
      </c>
      <c r="H2113" s="636" t="s">
        <v>3092</v>
      </c>
      <c r="I2113" s="636" t="s">
        <v>3092</v>
      </c>
      <c r="J2113" s="644" t="s">
        <v>643</v>
      </c>
      <c r="K2113" s="753">
        <v>5</v>
      </c>
      <c r="L2113" s="754">
        <v>12</v>
      </c>
      <c r="M2113" s="736">
        <v>31960.799999999999</v>
      </c>
      <c r="N2113" s="744"/>
      <c r="O2113" s="739"/>
      <c r="P2113" s="739"/>
      <c r="Q2113" s="214"/>
    </row>
    <row r="2114" spans="1:17" ht="12" customHeight="1" x14ac:dyDescent="0.2">
      <c r="A2114" s="735" t="s">
        <v>7733</v>
      </c>
      <c r="B2114" s="735" t="s">
        <v>2170</v>
      </c>
      <c r="C2114" s="735" t="s">
        <v>451</v>
      </c>
      <c r="D2114" s="644" t="s">
        <v>5788</v>
      </c>
      <c r="E2114" s="736">
        <v>5000</v>
      </c>
      <c r="F2114" s="737" t="s">
        <v>7811</v>
      </c>
      <c r="G2114" s="636" t="s">
        <v>7812</v>
      </c>
      <c r="H2114" s="636" t="s">
        <v>2228</v>
      </c>
      <c r="I2114" s="636" t="s">
        <v>2228</v>
      </c>
      <c r="J2114" s="644"/>
      <c r="K2114" s="753">
        <v>7</v>
      </c>
      <c r="L2114" s="754">
        <v>7</v>
      </c>
      <c r="M2114" s="736">
        <v>36960.800000000003</v>
      </c>
      <c r="N2114" s="744"/>
      <c r="O2114" s="739"/>
      <c r="P2114" s="739"/>
      <c r="Q2114" s="214"/>
    </row>
    <row r="2115" spans="1:17" ht="12" customHeight="1" x14ac:dyDescent="0.2">
      <c r="A2115" s="735" t="s">
        <v>7733</v>
      </c>
      <c r="B2115" s="735" t="s">
        <v>2170</v>
      </c>
      <c r="C2115" s="735" t="s">
        <v>451</v>
      </c>
      <c r="D2115" s="644" t="s">
        <v>7813</v>
      </c>
      <c r="E2115" s="736">
        <v>1800</v>
      </c>
      <c r="F2115" s="737" t="s">
        <v>7814</v>
      </c>
      <c r="G2115" s="636" t="s">
        <v>7815</v>
      </c>
      <c r="H2115" s="636" t="s">
        <v>7816</v>
      </c>
      <c r="I2115" s="636" t="s">
        <v>2543</v>
      </c>
      <c r="J2115" s="644" t="s">
        <v>642</v>
      </c>
      <c r="K2115" s="753">
        <v>12</v>
      </c>
      <c r="L2115" s="754">
        <v>12</v>
      </c>
      <c r="M2115" s="736">
        <v>34144</v>
      </c>
      <c r="N2115" s="744"/>
      <c r="O2115" s="739"/>
      <c r="P2115" s="739"/>
      <c r="Q2115" s="214"/>
    </row>
    <row r="2116" spans="1:17" ht="12" customHeight="1" x14ac:dyDescent="0.2">
      <c r="A2116" s="735" t="s">
        <v>7733</v>
      </c>
      <c r="B2116" s="735" t="s">
        <v>2170</v>
      </c>
      <c r="C2116" s="735" t="s">
        <v>451</v>
      </c>
      <c r="D2116" s="644" t="s">
        <v>7817</v>
      </c>
      <c r="E2116" s="736">
        <v>1600</v>
      </c>
      <c r="F2116" s="737" t="s">
        <v>7818</v>
      </c>
      <c r="G2116" s="636" t="s">
        <v>7819</v>
      </c>
      <c r="H2116" s="636" t="s">
        <v>7820</v>
      </c>
      <c r="I2116" s="636" t="s">
        <v>7821</v>
      </c>
      <c r="J2116" s="644" t="s">
        <v>643</v>
      </c>
      <c r="K2116" s="753">
        <v>11</v>
      </c>
      <c r="L2116" s="754">
        <v>12</v>
      </c>
      <c r="M2116" s="736">
        <v>21528</v>
      </c>
      <c r="N2116" s="744"/>
      <c r="O2116" s="739"/>
      <c r="P2116" s="739"/>
      <c r="Q2116" s="214"/>
    </row>
    <row r="2117" spans="1:17" ht="12" customHeight="1" x14ac:dyDescent="0.2">
      <c r="A2117" s="735" t="s">
        <v>7733</v>
      </c>
      <c r="B2117" s="735" t="s">
        <v>2170</v>
      </c>
      <c r="C2117" s="735" t="s">
        <v>451</v>
      </c>
      <c r="D2117" s="644" t="s">
        <v>7822</v>
      </c>
      <c r="E2117" s="736">
        <v>5000</v>
      </c>
      <c r="F2117" s="737" t="s">
        <v>7823</v>
      </c>
      <c r="G2117" s="636" t="s">
        <v>7824</v>
      </c>
      <c r="H2117" s="636" t="s">
        <v>3915</v>
      </c>
      <c r="I2117" s="636" t="s">
        <v>3070</v>
      </c>
      <c r="J2117" s="644" t="s">
        <v>642</v>
      </c>
      <c r="K2117" s="753">
        <v>4</v>
      </c>
      <c r="L2117" s="754">
        <v>12</v>
      </c>
      <c r="M2117" s="736">
        <v>61960.800000000003</v>
      </c>
      <c r="N2117" s="744"/>
      <c r="O2117" s="739"/>
      <c r="P2117" s="739"/>
      <c r="Q2117" s="214"/>
    </row>
    <row r="2118" spans="1:17" ht="12" customHeight="1" x14ac:dyDescent="0.2">
      <c r="A2118" s="735" t="s">
        <v>7733</v>
      </c>
      <c r="B2118" s="735" t="s">
        <v>2170</v>
      </c>
      <c r="C2118" s="735" t="s">
        <v>451</v>
      </c>
      <c r="D2118" s="644" t="s">
        <v>7825</v>
      </c>
      <c r="E2118" s="736">
        <v>3000</v>
      </c>
      <c r="F2118" s="737" t="s">
        <v>7826</v>
      </c>
      <c r="G2118" s="636" t="s">
        <v>7827</v>
      </c>
      <c r="H2118" s="636" t="s">
        <v>7782</v>
      </c>
      <c r="I2118" s="636" t="s">
        <v>2208</v>
      </c>
      <c r="J2118" s="644" t="s">
        <v>642</v>
      </c>
      <c r="K2118" s="753">
        <v>12</v>
      </c>
      <c r="L2118" s="754">
        <v>12</v>
      </c>
      <c r="M2118" s="736">
        <v>37960.800000000003</v>
      </c>
      <c r="N2118" s="744"/>
      <c r="O2118" s="739"/>
      <c r="P2118" s="739"/>
      <c r="Q2118" s="214"/>
    </row>
    <row r="2119" spans="1:17" ht="12" customHeight="1" x14ac:dyDescent="0.2">
      <c r="A2119" s="735" t="s">
        <v>7733</v>
      </c>
      <c r="B2119" s="735" t="s">
        <v>2170</v>
      </c>
      <c r="C2119" s="735" t="s">
        <v>451</v>
      </c>
      <c r="D2119" s="644" t="s">
        <v>7828</v>
      </c>
      <c r="E2119" s="736">
        <v>1500</v>
      </c>
      <c r="F2119" s="737" t="s">
        <v>7829</v>
      </c>
      <c r="G2119" s="636" t="s">
        <v>7830</v>
      </c>
      <c r="H2119" s="636" t="s">
        <v>6778</v>
      </c>
      <c r="I2119" s="636" t="s">
        <v>2174</v>
      </c>
      <c r="J2119" s="644" t="s">
        <v>643</v>
      </c>
      <c r="K2119" s="753">
        <v>12</v>
      </c>
      <c r="L2119" s="754">
        <v>12</v>
      </c>
      <c r="M2119" s="736">
        <v>20220</v>
      </c>
      <c r="N2119" s="744"/>
      <c r="O2119" s="739"/>
      <c r="P2119" s="739"/>
      <c r="Q2119" s="214"/>
    </row>
    <row r="2120" spans="1:17" ht="12" customHeight="1" x14ac:dyDescent="0.2">
      <c r="A2120" s="735" t="s">
        <v>7733</v>
      </c>
      <c r="B2120" s="735" t="s">
        <v>2170</v>
      </c>
      <c r="C2120" s="735" t="s">
        <v>451</v>
      </c>
      <c r="D2120" s="644" t="s">
        <v>7831</v>
      </c>
      <c r="E2120" s="736">
        <v>1700</v>
      </c>
      <c r="F2120" s="737" t="s">
        <v>7832</v>
      </c>
      <c r="G2120" s="636" t="s">
        <v>7833</v>
      </c>
      <c r="H2120" s="636" t="s">
        <v>7834</v>
      </c>
      <c r="I2120" s="636" t="s">
        <v>7835</v>
      </c>
      <c r="J2120" s="644" t="s">
        <v>643</v>
      </c>
      <c r="K2120" s="753">
        <v>12</v>
      </c>
      <c r="L2120" s="754">
        <v>12</v>
      </c>
      <c r="M2120" s="736">
        <v>32836</v>
      </c>
      <c r="N2120" s="744"/>
      <c r="O2120" s="739"/>
      <c r="P2120" s="739"/>
      <c r="Q2120" s="214"/>
    </row>
    <row r="2121" spans="1:17" ht="12" customHeight="1" x14ac:dyDescent="0.2">
      <c r="A2121" s="735" t="s">
        <v>7733</v>
      </c>
      <c r="B2121" s="735" t="s">
        <v>2170</v>
      </c>
      <c r="C2121" s="735" t="s">
        <v>451</v>
      </c>
      <c r="D2121" s="644" t="s">
        <v>2179</v>
      </c>
      <c r="E2121" s="736">
        <v>6000</v>
      </c>
      <c r="F2121" s="737" t="s">
        <v>7836</v>
      </c>
      <c r="G2121" s="636" t="s">
        <v>7837</v>
      </c>
      <c r="H2121" s="636" t="s">
        <v>6571</v>
      </c>
      <c r="I2121" s="636" t="s">
        <v>2179</v>
      </c>
      <c r="J2121" s="644" t="s">
        <v>642</v>
      </c>
      <c r="K2121" s="753">
        <v>3</v>
      </c>
      <c r="L2121" s="754">
        <v>8</v>
      </c>
      <c r="M2121" s="736">
        <v>49960.800000000003</v>
      </c>
      <c r="N2121" s="744"/>
      <c r="O2121" s="739"/>
      <c r="P2121" s="739"/>
      <c r="Q2121" s="214"/>
    </row>
    <row r="2122" spans="1:17" ht="12" customHeight="1" x14ac:dyDescent="0.2">
      <c r="A2122" s="735" t="s">
        <v>7733</v>
      </c>
      <c r="B2122" s="735" t="s">
        <v>2170</v>
      </c>
      <c r="C2122" s="735" t="s">
        <v>451</v>
      </c>
      <c r="D2122" s="644" t="s">
        <v>7838</v>
      </c>
      <c r="E2122" s="736">
        <v>4000</v>
      </c>
      <c r="F2122" s="737" t="s">
        <v>7839</v>
      </c>
      <c r="G2122" s="636" t="s">
        <v>7840</v>
      </c>
      <c r="H2122" s="636" t="s">
        <v>7782</v>
      </c>
      <c r="I2122" s="636" t="s">
        <v>2208</v>
      </c>
      <c r="J2122" s="644" t="s">
        <v>642</v>
      </c>
      <c r="K2122" s="753">
        <v>1</v>
      </c>
      <c r="L2122" s="754">
        <v>2</v>
      </c>
      <c r="M2122" s="736">
        <v>9960.7999999999993</v>
      </c>
      <c r="N2122" s="744"/>
      <c r="O2122" s="739"/>
      <c r="P2122" s="739"/>
      <c r="Q2122" s="214"/>
    </row>
    <row r="2123" spans="1:17" ht="12" customHeight="1" x14ac:dyDescent="0.2">
      <c r="A2123" s="735" t="s">
        <v>7733</v>
      </c>
      <c r="B2123" s="735" t="s">
        <v>2170</v>
      </c>
      <c r="C2123" s="735" t="s">
        <v>451</v>
      </c>
      <c r="D2123" s="644" t="s">
        <v>7746</v>
      </c>
      <c r="E2123" s="736">
        <v>1700</v>
      </c>
      <c r="F2123" s="737" t="s">
        <v>7841</v>
      </c>
      <c r="G2123" s="636" t="s">
        <v>7842</v>
      </c>
      <c r="H2123" s="636"/>
      <c r="I2123" s="636"/>
      <c r="J2123" s="644" t="s">
        <v>643</v>
      </c>
      <c r="K2123" s="753">
        <v>1</v>
      </c>
      <c r="L2123" s="754">
        <v>12</v>
      </c>
      <c r="M2123" s="736">
        <v>32836</v>
      </c>
      <c r="N2123" s="744"/>
      <c r="O2123" s="739"/>
      <c r="P2123" s="739"/>
      <c r="Q2123" s="214"/>
    </row>
    <row r="2124" spans="1:17" ht="12" customHeight="1" x14ac:dyDescent="0.2">
      <c r="A2124" s="735" t="s">
        <v>7733</v>
      </c>
      <c r="B2124" s="735" t="s">
        <v>2170</v>
      </c>
      <c r="C2124" s="735" t="s">
        <v>451</v>
      </c>
      <c r="D2124" s="644" t="s">
        <v>7843</v>
      </c>
      <c r="E2124" s="736">
        <v>4000</v>
      </c>
      <c r="F2124" s="737" t="s">
        <v>7844</v>
      </c>
      <c r="G2124" s="636" t="s">
        <v>7845</v>
      </c>
      <c r="H2124" s="636" t="s">
        <v>7752</v>
      </c>
      <c r="I2124" s="636" t="s">
        <v>2179</v>
      </c>
      <c r="J2124" s="644" t="s">
        <v>642</v>
      </c>
      <c r="K2124" s="753">
        <v>12</v>
      </c>
      <c r="L2124" s="754">
        <v>12</v>
      </c>
      <c r="M2124" s="736">
        <v>59960.800000000003</v>
      </c>
      <c r="N2124" s="744"/>
      <c r="O2124" s="739"/>
      <c r="P2124" s="739"/>
      <c r="Q2124" s="214"/>
    </row>
    <row r="2125" spans="1:17" ht="12" customHeight="1" x14ac:dyDescent="0.2">
      <c r="A2125" s="735" t="s">
        <v>7733</v>
      </c>
      <c r="B2125" s="735" t="s">
        <v>2170</v>
      </c>
      <c r="C2125" s="735" t="s">
        <v>451</v>
      </c>
      <c r="D2125" s="644" t="s">
        <v>2772</v>
      </c>
      <c r="E2125" s="736">
        <v>2500</v>
      </c>
      <c r="F2125" s="737" t="s">
        <v>7846</v>
      </c>
      <c r="G2125" s="636" t="s">
        <v>7847</v>
      </c>
      <c r="H2125" s="636" t="s">
        <v>2228</v>
      </c>
      <c r="I2125" s="636" t="s">
        <v>2228</v>
      </c>
      <c r="J2125" s="644"/>
      <c r="K2125" s="753">
        <v>2</v>
      </c>
      <c r="L2125" s="754">
        <v>3</v>
      </c>
      <c r="M2125" s="736">
        <v>9460.7999999999993</v>
      </c>
      <c r="N2125" s="744"/>
      <c r="O2125" s="739"/>
      <c r="P2125" s="739"/>
      <c r="Q2125" s="214"/>
    </row>
    <row r="2126" spans="1:17" ht="12" customHeight="1" x14ac:dyDescent="0.2">
      <c r="A2126" s="735" t="s">
        <v>7733</v>
      </c>
      <c r="B2126" s="735" t="s">
        <v>2170</v>
      </c>
      <c r="C2126" s="735" t="s">
        <v>451</v>
      </c>
      <c r="D2126" s="644" t="s">
        <v>7746</v>
      </c>
      <c r="E2126" s="736">
        <v>2200</v>
      </c>
      <c r="F2126" s="737" t="s">
        <v>7848</v>
      </c>
      <c r="G2126" s="636" t="s">
        <v>7849</v>
      </c>
      <c r="H2126" s="636" t="s">
        <v>7850</v>
      </c>
      <c r="I2126" s="636" t="s">
        <v>7851</v>
      </c>
      <c r="J2126" s="644" t="s">
        <v>643</v>
      </c>
      <c r="K2126" s="753">
        <v>5</v>
      </c>
      <c r="L2126" s="754">
        <v>12</v>
      </c>
      <c r="M2126" s="736">
        <v>48360.800000000003</v>
      </c>
      <c r="N2126" s="744"/>
      <c r="O2126" s="739"/>
      <c r="P2126" s="739"/>
      <c r="Q2126" s="214"/>
    </row>
    <row r="2127" spans="1:17" ht="12" customHeight="1" x14ac:dyDescent="0.2">
      <c r="A2127" s="735" t="s">
        <v>7733</v>
      </c>
      <c r="B2127" s="735" t="s">
        <v>2170</v>
      </c>
      <c r="C2127" s="735" t="s">
        <v>451</v>
      </c>
      <c r="D2127" s="644" t="s">
        <v>2190</v>
      </c>
      <c r="E2127" s="736">
        <v>2200</v>
      </c>
      <c r="F2127" s="737" t="s">
        <v>7852</v>
      </c>
      <c r="G2127" s="636" t="s">
        <v>7853</v>
      </c>
      <c r="H2127" s="636" t="s">
        <v>7854</v>
      </c>
      <c r="I2127" s="636" t="s">
        <v>7854</v>
      </c>
      <c r="J2127" s="644" t="s">
        <v>643</v>
      </c>
      <c r="K2127" s="753">
        <v>1</v>
      </c>
      <c r="L2127" s="754">
        <v>3</v>
      </c>
      <c r="M2127" s="736">
        <v>8560.7999999999993</v>
      </c>
      <c r="N2127" s="744"/>
      <c r="O2127" s="739"/>
      <c r="P2127" s="739"/>
      <c r="Q2127" s="214"/>
    </row>
    <row r="2128" spans="1:17" ht="12" customHeight="1" x14ac:dyDescent="0.2">
      <c r="A2128" s="735" t="s">
        <v>7733</v>
      </c>
      <c r="B2128" s="735" t="s">
        <v>2170</v>
      </c>
      <c r="C2128" s="735" t="s">
        <v>451</v>
      </c>
      <c r="D2128" s="644" t="s">
        <v>7855</v>
      </c>
      <c r="E2128" s="736">
        <v>2200</v>
      </c>
      <c r="F2128" s="737" t="s">
        <v>7856</v>
      </c>
      <c r="G2128" s="636" t="s">
        <v>7857</v>
      </c>
      <c r="H2128" s="636" t="s">
        <v>7858</v>
      </c>
      <c r="I2128" s="636" t="s">
        <v>7859</v>
      </c>
      <c r="J2128" s="644" t="s">
        <v>644</v>
      </c>
      <c r="K2128" s="753">
        <v>12</v>
      </c>
      <c r="L2128" s="754">
        <v>12</v>
      </c>
      <c r="M2128" s="736">
        <v>28360.799999999999</v>
      </c>
      <c r="N2128" s="744"/>
      <c r="O2128" s="739"/>
      <c r="P2128" s="739"/>
      <c r="Q2128" s="214"/>
    </row>
    <row r="2129" spans="1:17" ht="12" customHeight="1" x14ac:dyDescent="0.2">
      <c r="A2129" s="735" t="s">
        <v>7733</v>
      </c>
      <c r="B2129" s="735" t="s">
        <v>2170</v>
      </c>
      <c r="C2129" s="735" t="s">
        <v>451</v>
      </c>
      <c r="D2129" s="644" t="s">
        <v>7779</v>
      </c>
      <c r="E2129" s="736">
        <v>4000</v>
      </c>
      <c r="F2129" s="737" t="s">
        <v>7860</v>
      </c>
      <c r="G2129" s="636" t="s">
        <v>7861</v>
      </c>
      <c r="H2129" s="636" t="s">
        <v>7782</v>
      </c>
      <c r="I2129" s="636" t="s">
        <v>2208</v>
      </c>
      <c r="J2129" s="644" t="s">
        <v>642</v>
      </c>
      <c r="K2129" s="753">
        <v>12</v>
      </c>
      <c r="L2129" s="754">
        <v>12</v>
      </c>
      <c r="M2129" s="736">
        <v>49960.800000000003</v>
      </c>
      <c r="N2129" s="744"/>
      <c r="O2129" s="739"/>
      <c r="P2129" s="739"/>
      <c r="Q2129" s="214"/>
    </row>
    <row r="2130" spans="1:17" ht="12" customHeight="1" x14ac:dyDescent="0.2">
      <c r="A2130" s="735" t="s">
        <v>7733</v>
      </c>
      <c r="B2130" s="735" t="s">
        <v>2170</v>
      </c>
      <c r="C2130" s="735" t="s">
        <v>451</v>
      </c>
      <c r="D2130" s="644" t="s">
        <v>3154</v>
      </c>
      <c r="E2130" s="736">
        <v>5000</v>
      </c>
      <c r="F2130" s="737" t="s">
        <v>7862</v>
      </c>
      <c r="G2130" s="636" t="s">
        <v>7863</v>
      </c>
      <c r="H2130" s="636" t="s">
        <v>7752</v>
      </c>
      <c r="I2130" s="636" t="s">
        <v>2179</v>
      </c>
      <c r="J2130" s="644" t="s">
        <v>642</v>
      </c>
      <c r="K2130" s="753">
        <v>6</v>
      </c>
      <c r="L2130" s="754">
        <v>12</v>
      </c>
      <c r="M2130" s="736">
        <v>61960.800000000003</v>
      </c>
      <c r="N2130" s="744"/>
      <c r="O2130" s="739"/>
      <c r="P2130" s="739"/>
      <c r="Q2130" s="214"/>
    </row>
    <row r="2131" spans="1:17" ht="12" customHeight="1" x14ac:dyDescent="0.2">
      <c r="A2131" s="735" t="s">
        <v>7733</v>
      </c>
      <c r="B2131" s="735" t="s">
        <v>2170</v>
      </c>
      <c r="C2131" s="735" t="s">
        <v>451</v>
      </c>
      <c r="D2131" s="644" t="s">
        <v>7831</v>
      </c>
      <c r="E2131" s="736">
        <v>1700</v>
      </c>
      <c r="F2131" s="737" t="s">
        <v>7864</v>
      </c>
      <c r="G2131" s="636" t="s">
        <v>7865</v>
      </c>
      <c r="H2131" s="636" t="s">
        <v>7866</v>
      </c>
      <c r="I2131" s="636" t="s">
        <v>7867</v>
      </c>
      <c r="J2131" s="644" t="s">
        <v>643</v>
      </c>
      <c r="K2131" s="753">
        <v>12</v>
      </c>
      <c r="L2131" s="754">
        <v>12</v>
      </c>
      <c r="M2131" s="736">
        <v>32836</v>
      </c>
      <c r="N2131" s="744"/>
      <c r="O2131" s="739"/>
      <c r="P2131" s="739"/>
      <c r="Q2131" s="214"/>
    </row>
    <row r="2132" spans="1:17" ht="12" customHeight="1" x14ac:dyDescent="0.2">
      <c r="A2132" s="735" t="s">
        <v>7733</v>
      </c>
      <c r="B2132" s="735" t="s">
        <v>2170</v>
      </c>
      <c r="C2132" s="735" t="s">
        <v>451</v>
      </c>
      <c r="D2132" s="644" t="s">
        <v>7868</v>
      </c>
      <c r="E2132" s="736">
        <v>4000</v>
      </c>
      <c r="F2132" s="737" t="s">
        <v>7869</v>
      </c>
      <c r="G2132" s="636" t="s">
        <v>7870</v>
      </c>
      <c r="H2132" s="636" t="s">
        <v>7752</v>
      </c>
      <c r="I2132" s="636" t="s">
        <v>2179</v>
      </c>
      <c r="J2132" s="644" t="s">
        <v>642</v>
      </c>
      <c r="K2132" s="753">
        <v>12</v>
      </c>
      <c r="L2132" s="754">
        <v>12</v>
      </c>
      <c r="M2132" s="736">
        <v>49960.800000000003</v>
      </c>
      <c r="N2132" s="744"/>
      <c r="O2132" s="739"/>
      <c r="P2132" s="739"/>
      <c r="Q2132" s="214"/>
    </row>
    <row r="2133" spans="1:17" ht="12" customHeight="1" x14ac:dyDescent="0.2">
      <c r="A2133" s="735" t="s">
        <v>7733</v>
      </c>
      <c r="B2133" s="735" t="s">
        <v>2170</v>
      </c>
      <c r="C2133" s="735" t="s">
        <v>451</v>
      </c>
      <c r="D2133" s="644" t="s">
        <v>7871</v>
      </c>
      <c r="E2133" s="736">
        <v>4000</v>
      </c>
      <c r="F2133" s="737" t="s">
        <v>7872</v>
      </c>
      <c r="G2133" s="636" t="s">
        <v>7873</v>
      </c>
      <c r="H2133" s="636" t="s">
        <v>7152</v>
      </c>
      <c r="I2133" s="636" t="s">
        <v>7874</v>
      </c>
      <c r="J2133" s="644" t="s">
        <v>642</v>
      </c>
      <c r="K2133" s="753">
        <v>1</v>
      </c>
      <c r="L2133" s="754">
        <v>2</v>
      </c>
      <c r="M2133" s="736">
        <v>9960.7999999999993</v>
      </c>
      <c r="N2133" s="744"/>
      <c r="O2133" s="739"/>
      <c r="P2133" s="739"/>
      <c r="Q2133" s="214"/>
    </row>
    <row r="2134" spans="1:17" ht="12" customHeight="1" x14ac:dyDescent="0.2">
      <c r="A2134" s="735" t="s">
        <v>7733</v>
      </c>
      <c r="B2134" s="735" t="s">
        <v>2170</v>
      </c>
      <c r="C2134" s="735" t="s">
        <v>451</v>
      </c>
      <c r="D2134" s="644" t="s">
        <v>7755</v>
      </c>
      <c r="E2134" s="736">
        <v>2500</v>
      </c>
      <c r="F2134" s="737" t="s">
        <v>7875</v>
      </c>
      <c r="G2134" s="636" t="s">
        <v>7876</v>
      </c>
      <c r="H2134" s="636"/>
      <c r="I2134" s="636"/>
      <c r="J2134" s="644" t="s">
        <v>643</v>
      </c>
      <c r="K2134" s="753">
        <v>12</v>
      </c>
      <c r="L2134" s="754">
        <v>12</v>
      </c>
      <c r="M2134" s="736">
        <v>31960.799999999999</v>
      </c>
      <c r="N2134" s="744"/>
      <c r="O2134" s="739"/>
      <c r="P2134" s="739"/>
      <c r="Q2134" s="214"/>
    </row>
    <row r="2135" spans="1:17" ht="12" customHeight="1" x14ac:dyDescent="0.2">
      <c r="A2135" s="735" t="s">
        <v>7733</v>
      </c>
      <c r="B2135" s="735" t="s">
        <v>2170</v>
      </c>
      <c r="C2135" s="735" t="s">
        <v>451</v>
      </c>
      <c r="D2135" s="644" t="s">
        <v>2190</v>
      </c>
      <c r="E2135" s="736">
        <v>2200</v>
      </c>
      <c r="F2135" s="737" t="s">
        <v>7877</v>
      </c>
      <c r="G2135" s="636" t="s">
        <v>7878</v>
      </c>
      <c r="H2135" s="636"/>
      <c r="I2135" s="636"/>
      <c r="J2135" s="644" t="s">
        <v>644</v>
      </c>
      <c r="K2135" s="753">
        <v>12</v>
      </c>
      <c r="L2135" s="754">
        <v>12</v>
      </c>
      <c r="M2135" s="736">
        <v>28360.799999999999</v>
      </c>
      <c r="N2135" s="744"/>
      <c r="O2135" s="739"/>
      <c r="P2135" s="739"/>
      <c r="Q2135" s="214"/>
    </row>
    <row r="2136" spans="1:17" ht="12" customHeight="1" x14ac:dyDescent="0.2">
      <c r="A2136" s="735" t="s">
        <v>7733</v>
      </c>
      <c r="B2136" s="735" t="s">
        <v>2170</v>
      </c>
      <c r="C2136" s="735" t="s">
        <v>451</v>
      </c>
      <c r="D2136" s="644" t="s">
        <v>7879</v>
      </c>
      <c r="E2136" s="736">
        <v>3000</v>
      </c>
      <c r="F2136" s="737" t="s">
        <v>7880</v>
      </c>
      <c r="G2136" s="636" t="s">
        <v>7881</v>
      </c>
      <c r="H2136" s="636" t="s">
        <v>7782</v>
      </c>
      <c r="I2136" s="636" t="s">
        <v>2208</v>
      </c>
      <c r="J2136" s="644" t="s">
        <v>642</v>
      </c>
      <c r="K2136" s="753">
        <v>12</v>
      </c>
      <c r="L2136" s="754">
        <v>12</v>
      </c>
      <c r="M2136" s="736">
        <v>47960.800000000003</v>
      </c>
      <c r="N2136" s="744"/>
      <c r="O2136" s="739"/>
      <c r="P2136" s="739"/>
      <c r="Q2136" s="214"/>
    </row>
    <row r="2137" spans="1:17" ht="12" customHeight="1" x14ac:dyDescent="0.2">
      <c r="A2137" s="735" t="s">
        <v>7733</v>
      </c>
      <c r="B2137" s="735" t="s">
        <v>2170</v>
      </c>
      <c r="C2137" s="735" t="s">
        <v>451</v>
      </c>
      <c r="D2137" s="644" t="s">
        <v>7882</v>
      </c>
      <c r="E2137" s="736">
        <v>6000</v>
      </c>
      <c r="F2137" s="737" t="s">
        <v>7883</v>
      </c>
      <c r="G2137" s="636" t="s">
        <v>7884</v>
      </c>
      <c r="H2137" s="636" t="s">
        <v>6707</v>
      </c>
      <c r="I2137" s="636" t="s">
        <v>2174</v>
      </c>
      <c r="J2137" s="644" t="s">
        <v>642</v>
      </c>
      <c r="K2137" s="753">
        <v>6</v>
      </c>
      <c r="L2137" s="754">
        <v>12</v>
      </c>
      <c r="M2137" s="736">
        <v>73960.800000000003</v>
      </c>
      <c r="N2137" s="744"/>
      <c r="O2137" s="739"/>
      <c r="P2137" s="739"/>
      <c r="Q2137" s="214"/>
    </row>
    <row r="2138" spans="1:17" ht="12" customHeight="1" x14ac:dyDescent="0.2">
      <c r="A2138" s="735" t="s">
        <v>7733</v>
      </c>
      <c r="B2138" s="735" t="s">
        <v>2170</v>
      </c>
      <c r="C2138" s="735" t="s">
        <v>451</v>
      </c>
      <c r="D2138" s="644" t="s">
        <v>2261</v>
      </c>
      <c r="E2138" s="736">
        <v>3000</v>
      </c>
      <c r="F2138" s="737" t="s">
        <v>7885</v>
      </c>
      <c r="G2138" s="636" t="s">
        <v>7886</v>
      </c>
      <c r="H2138" s="636" t="s">
        <v>7887</v>
      </c>
      <c r="I2138" s="636" t="s">
        <v>7887</v>
      </c>
      <c r="J2138" s="644" t="s">
        <v>642</v>
      </c>
      <c r="K2138" s="753">
        <v>1</v>
      </c>
      <c r="L2138" s="754">
        <v>3</v>
      </c>
      <c r="M2138" s="736">
        <v>20960.8</v>
      </c>
      <c r="N2138" s="744"/>
      <c r="O2138" s="739"/>
      <c r="P2138" s="739"/>
      <c r="Q2138" s="214"/>
    </row>
    <row r="2139" spans="1:17" ht="12" customHeight="1" x14ac:dyDescent="0.2">
      <c r="A2139" s="735" t="s">
        <v>7733</v>
      </c>
      <c r="B2139" s="735" t="s">
        <v>2170</v>
      </c>
      <c r="C2139" s="735" t="s">
        <v>451</v>
      </c>
      <c r="D2139" s="644" t="s">
        <v>2261</v>
      </c>
      <c r="E2139" s="736">
        <v>3000</v>
      </c>
      <c r="F2139" s="737" t="s">
        <v>7888</v>
      </c>
      <c r="G2139" s="636" t="s">
        <v>7889</v>
      </c>
      <c r="H2139" s="636" t="s">
        <v>3915</v>
      </c>
      <c r="I2139" s="636" t="s">
        <v>3070</v>
      </c>
      <c r="J2139" s="644" t="s">
        <v>642</v>
      </c>
      <c r="K2139" s="753">
        <v>1</v>
      </c>
      <c r="L2139" s="754">
        <v>3</v>
      </c>
      <c r="M2139" s="736">
        <v>20960.8</v>
      </c>
      <c r="N2139" s="744"/>
      <c r="O2139" s="739"/>
      <c r="P2139" s="739"/>
      <c r="Q2139" s="214"/>
    </row>
    <row r="2140" spans="1:17" ht="12" customHeight="1" x14ac:dyDescent="0.2">
      <c r="A2140" s="735" t="s">
        <v>7733</v>
      </c>
      <c r="B2140" s="735" t="s">
        <v>2170</v>
      </c>
      <c r="C2140" s="735" t="s">
        <v>451</v>
      </c>
      <c r="D2140" s="644" t="s">
        <v>2737</v>
      </c>
      <c r="E2140" s="736">
        <v>2000</v>
      </c>
      <c r="F2140" s="737" t="s">
        <v>7890</v>
      </c>
      <c r="G2140" s="636" t="s">
        <v>7891</v>
      </c>
      <c r="H2140" s="636" t="s">
        <v>2228</v>
      </c>
      <c r="I2140" s="636" t="s">
        <v>2228</v>
      </c>
      <c r="J2140" s="644"/>
      <c r="K2140" s="753">
        <v>1</v>
      </c>
      <c r="L2140" s="754">
        <v>1</v>
      </c>
      <c r="M2140" s="736">
        <v>3960.8</v>
      </c>
      <c r="N2140" s="744"/>
      <c r="O2140" s="739"/>
      <c r="P2140" s="739"/>
      <c r="Q2140" s="214"/>
    </row>
    <row r="2141" spans="1:17" ht="12" customHeight="1" x14ac:dyDescent="0.2">
      <c r="A2141" s="735" t="s">
        <v>7733</v>
      </c>
      <c r="B2141" s="735" t="s">
        <v>2170</v>
      </c>
      <c r="C2141" s="735" t="s">
        <v>451</v>
      </c>
      <c r="D2141" s="644" t="s">
        <v>5809</v>
      </c>
      <c r="E2141" s="736">
        <v>4300</v>
      </c>
      <c r="F2141" s="737" t="s">
        <v>7892</v>
      </c>
      <c r="G2141" s="636" t="s">
        <v>7893</v>
      </c>
      <c r="H2141" s="636" t="s">
        <v>6778</v>
      </c>
      <c r="I2141" s="636" t="s">
        <v>2174</v>
      </c>
      <c r="J2141" s="644" t="s">
        <v>642</v>
      </c>
      <c r="K2141" s="753">
        <v>3</v>
      </c>
      <c r="L2141" s="754">
        <v>8</v>
      </c>
      <c r="M2141" s="736">
        <v>36360.800000000003</v>
      </c>
      <c r="N2141" s="744"/>
      <c r="O2141" s="739"/>
      <c r="P2141" s="739"/>
      <c r="Q2141" s="214"/>
    </row>
    <row r="2142" spans="1:17" ht="12" customHeight="1" x14ac:dyDescent="0.2">
      <c r="A2142" s="735" t="s">
        <v>7733</v>
      </c>
      <c r="B2142" s="735" t="s">
        <v>2170</v>
      </c>
      <c r="C2142" s="735" t="s">
        <v>451</v>
      </c>
      <c r="D2142" s="644" t="s">
        <v>7894</v>
      </c>
      <c r="E2142" s="736">
        <v>3500</v>
      </c>
      <c r="F2142" s="737" t="s">
        <v>7895</v>
      </c>
      <c r="G2142" s="636" t="s">
        <v>7896</v>
      </c>
      <c r="H2142" s="636" t="s">
        <v>2228</v>
      </c>
      <c r="I2142" s="636" t="s">
        <v>2228</v>
      </c>
      <c r="J2142" s="644"/>
      <c r="K2142" s="753">
        <v>1</v>
      </c>
      <c r="L2142" s="754">
        <v>1</v>
      </c>
      <c r="M2142" s="736">
        <v>5460.8</v>
      </c>
      <c r="N2142" s="744"/>
      <c r="O2142" s="739"/>
      <c r="P2142" s="739"/>
      <c r="Q2142" s="214"/>
    </row>
    <row r="2143" spans="1:17" ht="12" customHeight="1" x14ac:dyDescent="0.2">
      <c r="A2143" s="735" t="s">
        <v>7733</v>
      </c>
      <c r="B2143" s="735" t="s">
        <v>2170</v>
      </c>
      <c r="C2143" s="735" t="s">
        <v>451</v>
      </c>
      <c r="D2143" s="644" t="s">
        <v>7897</v>
      </c>
      <c r="E2143" s="736">
        <v>3000</v>
      </c>
      <c r="F2143" s="737" t="s">
        <v>7898</v>
      </c>
      <c r="G2143" s="636" t="s">
        <v>7899</v>
      </c>
      <c r="H2143" s="636" t="s">
        <v>7900</v>
      </c>
      <c r="I2143" s="636" t="s">
        <v>2275</v>
      </c>
      <c r="J2143" s="644" t="s">
        <v>642</v>
      </c>
      <c r="K2143" s="753">
        <v>12</v>
      </c>
      <c r="L2143" s="754">
        <v>12</v>
      </c>
      <c r="M2143" s="736">
        <v>37960.800000000003</v>
      </c>
      <c r="N2143" s="744"/>
      <c r="O2143" s="739"/>
      <c r="P2143" s="739"/>
      <c r="Q2143" s="214"/>
    </row>
    <row r="2144" spans="1:17" ht="12" customHeight="1" x14ac:dyDescent="0.2">
      <c r="A2144" s="735" t="s">
        <v>7733</v>
      </c>
      <c r="B2144" s="735" t="s">
        <v>2170</v>
      </c>
      <c r="C2144" s="735" t="s">
        <v>451</v>
      </c>
      <c r="D2144" s="644" t="s">
        <v>7901</v>
      </c>
      <c r="E2144" s="736">
        <v>2500</v>
      </c>
      <c r="F2144" s="737" t="s">
        <v>7902</v>
      </c>
      <c r="G2144" s="636" t="s">
        <v>7903</v>
      </c>
      <c r="H2144" s="636" t="s">
        <v>6778</v>
      </c>
      <c r="I2144" s="636" t="s">
        <v>3092</v>
      </c>
      <c r="J2144" s="644" t="s">
        <v>644</v>
      </c>
      <c r="K2144" s="753">
        <v>12</v>
      </c>
      <c r="L2144" s="754">
        <v>12</v>
      </c>
      <c r="M2144" s="736">
        <v>31960.799999999999</v>
      </c>
      <c r="N2144" s="744"/>
      <c r="O2144" s="739"/>
      <c r="P2144" s="739"/>
      <c r="Q2144" s="214"/>
    </row>
    <row r="2145" spans="1:17" ht="12" customHeight="1" x14ac:dyDescent="0.2">
      <c r="A2145" s="735" t="s">
        <v>7733</v>
      </c>
      <c r="B2145" s="735" t="s">
        <v>2170</v>
      </c>
      <c r="C2145" s="735" t="s">
        <v>451</v>
      </c>
      <c r="D2145" s="644" t="s">
        <v>7904</v>
      </c>
      <c r="E2145" s="736">
        <v>1300</v>
      </c>
      <c r="F2145" s="737" t="s">
        <v>7905</v>
      </c>
      <c r="G2145" s="636" t="s">
        <v>7906</v>
      </c>
      <c r="H2145" s="636" t="s">
        <v>7858</v>
      </c>
      <c r="I2145" s="636" t="s">
        <v>7859</v>
      </c>
      <c r="J2145" s="644" t="s">
        <v>643</v>
      </c>
      <c r="K2145" s="753">
        <v>1</v>
      </c>
      <c r="L2145" s="754">
        <v>12</v>
      </c>
      <c r="M2145" s="736">
        <v>17604</v>
      </c>
      <c r="N2145" s="744"/>
      <c r="O2145" s="739"/>
      <c r="P2145" s="739"/>
      <c r="Q2145" s="214"/>
    </row>
    <row r="2146" spans="1:17" ht="12" customHeight="1" x14ac:dyDescent="0.2">
      <c r="A2146" s="735" t="s">
        <v>7733</v>
      </c>
      <c r="B2146" s="735" t="s">
        <v>2170</v>
      </c>
      <c r="C2146" s="735" t="s">
        <v>451</v>
      </c>
      <c r="D2146" s="644" t="s">
        <v>7907</v>
      </c>
      <c r="E2146" s="736">
        <v>3000</v>
      </c>
      <c r="F2146" s="737" t="s">
        <v>7908</v>
      </c>
      <c r="G2146" s="636" t="s">
        <v>7909</v>
      </c>
      <c r="H2146" s="636" t="s">
        <v>7910</v>
      </c>
      <c r="I2146" s="636" t="s">
        <v>7911</v>
      </c>
      <c r="J2146" s="644" t="s">
        <v>643</v>
      </c>
      <c r="K2146" s="753">
        <v>6</v>
      </c>
      <c r="L2146" s="754">
        <v>12</v>
      </c>
      <c r="M2146" s="736">
        <v>37960.800000000003</v>
      </c>
      <c r="N2146" s="744"/>
      <c r="O2146" s="739"/>
      <c r="P2146" s="739"/>
      <c r="Q2146" s="214"/>
    </row>
    <row r="2147" spans="1:17" ht="12" customHeight="1" x14ac:dyDescent="0.2">
      <c r="A2147" s="735" t="s">
        <v>7733</v>
      </c>
      <c r="B2147" s="735" t="s">
        <v>2170</v>
      </c>
      <c r="C2147" s="735" t="s">
        <v>451</v>
      </c>
      <c r="D2147" s="644" t="s">
        <v>7904</v>
      </c>
      <c r="E2147" s="736">
        <v>3000</v>
      </c>
      <c r="F2147" s="737" t="s">
        <v>7912</v>
      </c>
      <c r="G2147" s="636" t="s">
        <v>7913</v>
      </c>
      <c r="H2147" s="636" t="s">
        <v>6613</v>
      </c>
      <c r="I2147" s="636" t="s">
        <v>2745</v>
      </c>
      <c r="J2147" s="644" t="s">
        <v>643</v>
      </c>
      <c r="K2147" s="753">
        <v>12</v>
      </c>
      <c r="L2147" s="754">
        <v>12</v>
      </c>
      <c r="M2147" s="736">
        <v>47960.800000000003</v>
      </c>
      <c r="N2147" s="744"/>
      <c r="O2147" s="739"/>
      <c r="P2147" s="739"/>
      <c r="Q2147" s="214"/>
    </row>
    <row r="2148" spans="1:17" ht="12" customHeight="1" x14ac:dyDescent="0.2">
      <c r="A2148" s="735" t="s">
        <v>7733</v>
      </c>
      <c r="B2148" s="735" t="s">
        <v>2170</v>
      </c>
      <c r="C2148" s="735" t="s">
        <v>451</v>
      </c>
      <c r="D2148" s="644" t="s">
        <v>7855</v>
      </c>
      <c r="E2148" s="736">
        <v>2200</v>
      </c>
      <c r="F2148" s="737" t="s">
        <v>7914</v>
      </c>
      <c r="G2148" s="636" t="s">
        <v>7915</v>
      </c>
      <c r="H2148" s="636" t="s">
        <v>7916</v>
      </c>
      <c r="I2148" s="636" t="s">
        <v>7917</v>
      </c>
      <c r="J2148" s="644" t="s">
        <v>644</v>
      </c>
      <c r="K2148" s="753">
        <v>12</v>
      </c>
      <c r="L2148" s="754">
        <v>12</v>
      </c>
      <c r="M2148" s="736">
        <v>28360.799999999999</v>
      </c>
      <c r="N2148" s="744"/>
      <c r="O2148" s="739"/>
      <c r="P2148" s="739"/>
      <c r="Q2148" s="214"/>
    </row>
    <row r="2149" spans="1:17" ht="12" customHeight="1" x14ac:dyDescent="0.2">
      <c r="A2149" s="735" t="s">
        <v>7733</v>
      </c>
      <c r="B2149" s="735" t="s">
        <v>2170</v>
      </c>
      <c r="C2149" s="735" t="s">
        <v>451</v>
      </c>
      <c r="D2149" s="644" t="s">
        <v>7918</v>
      </c>
      <c r="E2149" s="736">
        <v>5000</v>
      </c>
      <c r="F2149" s="737" t="s">
        <v>7919</v>
      </c>
      <c r="G2149" s="636" t="s">
        <v>7920</v>
      </c>
      <c r="H2149" s="636" t="s">
        <v>7834</v>
      </c>
      <c r="I2149" s="636" t="s">
        <v>7835</v>
      </c>
      <c r="J2149" s="644" t="s">
        <v>642</v>
      </c>
      <c r="K2149" s="753">
        <v>5</v>
      </c>
      <c r="L2149" s="754">
        <v>12</v>
      </c>
      <c r="M2149" s="736">
        <v>61960.800000000003</v>
      </c>
      <c r="N2149" s="744"/>
      <c r="O2149" s="739"/>
      <c r="P2149" s="739"/>
      <c r="Q2149" s="214"/>
    </row>
    <row r="2150" spans="1:17" ht="12" customHeight="1" x14ac:dyDescent="0.2">
      <c r="A2150" s="735" t="s">
        <v>7733</v>
      </c>
      <c r="B2150" s="735" t="s">
        <v>2170</v>
      </c>
      <c r="C2150" s="735" t="s">
        <v>451</v>
      </c>
      <c r="D2150" s="644" t="s">
        <v>7921</v>
      </c>
      <c r="E2150" s="736">
        <v>4000</v>
      </c>
      <c r="F2150" s="737" t="s">
        <v>7922</v>
      </c>
      <c r="G2150" s="636" t="s">
        <v>7923</v>
      </c>
      <c r="H2150" s="636"/>
      <c r="I2150" s="636"/>
      <c r="J2150" s="644" t="s">
        <v>642</v>
      </c>
      <c r="K2150" s="753">
        <v>2</v>
      </c>
      <c r="L2150" s="754">
        <v>4</v>
      </c>
      <c r="M2150" s="736">
        <v>17960.8</v>
      </c>
      <c r="N2150" s="744"/>
      <c r="O2150" s="739"/>
      <c r="P2150" s="739"/>
      <c r="Q2150" s="214"/>
    </row>
    <row r="2151" spans="1:17" ht="12" customHeight="1" x14ac:dyDescent="0.2">
      <c r="A2151" s="735" t="s">
        <v>7733</v>
      </c>
      <c r="B2151" s="735" t="s">
        <v>2170</v>
      </c>
      <c r="C2151" s="735" t="s">
        <v>451</v>
      </c>
      <c r="D2151" s="644" t="s">
        <v>7924</v>
      </c>
      <c r="E2151" s="736">
        <v>6000</v>
      </c>
      <c r="F2151" s="737" t="s">
        <v>7925</v>
      </c>
      <c r="G2151" s="636" t="s">
        <v>7926</v>
      </c>
      <c r="H2151" s="636" t="s">
        <v>6633</v>
      </c>
      <c r="I2151" s="636" t="s">
        <v>2189</v>
      </c>
      <c r="J2151" s="644" t="s">
        <v>642</v>
      </c>
      <c r="K2151" s="753">
        <v>5</v>
      </c>
      <c r="L2151" s="754">
        <v>12</v>
      </c>
      <c r="M2151" s="736">
        <v>73960.800000000003</v>
      </c>
      <c r="N2151" s="744"/>
      <c r="O2151" s="739"/>
      <c r="P2151" s="739"/>
      <c r="Q2151" s="214"/>
    </row>
    <row r="2152" spans="1:17" ht="12" customHeight="1" x14ac:dyDescent="0.2">
      <c r="A2152" s="735" t="s">
        <v>7733</v>
      </c>
      <c r="B2152" s="735" t="s">
        <v>2170</v>
      </c>
      <c r="C2152" s="735" t="s">
        <v>451</v>
      </c>
      <c r="D2152" s="644" t="s">
        <v>2179</v>
      </c>
      <c r="E2152" s="736">
        <v>6000</v>
      </c>
      <c r="F2152" s="737" t="s">
        <v>7927</v>
      </c>
      <c r="G2152" s="636" t="s">
        <v>7928</v>
      </c>
      <c r="H2152" s="636" t="s">
        <v>6571</v>
      </c>
      <c r="I2152" s="636" t="s">
        <v>2179</v>
      </c>
      <c r="J2152" s="644" t="s">
        <v>642</v>
      </c>
      <c r="K2152" s="753">
        <v>5</v>
      </c>
      <c r="L2152" s="754">
        <v>12</v>
      </c>
      <c r="M2152" s="736">
        <v>73960.800000000003</v>
      </c>
      <c r="N2152" s="744"/>
      <c r="O2152" s="739"/>
      <c r="P2152" s="739"/>
      <c r="Q2152" s="214"/>
    </row>
    <row r="2153" spans="1:17" ht="12" customHeight="1" x14ac:dyDescent="0.2">
      <c r="A2153" s="735" t="s">
        <v>7733</v>
      </c>
      <c r="B2153" s="735" t="s">
        <v>2170</v>
      </c>
      <c r="C2153" s="735" t="s">
        <v>451</v>
      </c>
      <c r="D2153" s="644" t="s">
        <v>7929</v>
      </c>
      <c r="E2153" s="736">
        <v>3000</v>
      </c>
      <c r="F2153" s="737" t="s">
        <v>7930</v>
      </c>
      <c r="G2153" s="636" t="s">
        <v>7931</v>
      </c>
      <c r="H2153" s="636" t="s">
        <v>6778</v>
      </c>
      <c r="I2153" s="636" t="s">
        <v>2174</v>
      </c>
      <c r="J2153" s="644" t="s">
        <v>642</v>
      </c>
      <c r="K2153" s="753">
        <v>1</v>
      </c>
      <c r="L2153" s="754">
        <v>1</v>
      </c>
      <c r="M2153" s="736">
        <v>6960.8</v>
      </c>
      <c r="N2153" s="744"/>
      <c r="O2153" s="739"/>
      <c r="P2153" s="739"/>
      <c r="Q2153" s="214"/>
    </row>
    <row r="2154" spans="1:17" ht="12" customHeight="1" x14ac:dyDescent="0.2">
      <c r="A2154" s="735" t="s">
        <v>7733</v>
      </c>
      <c r="B2154" s="735" t="s">
        <v>2170</v>
      </c>
      <c r="C2154" s="735" t="s">
        <v>451</v>
      </c>
      <c r="D2154" s="644" t="s">
        <v>7932</v>
      </c>
      <c r="E2154" s="736">
        <v>2500</v>
      </c>
      <c r="F2154" s="737" t="s">
        <v>7933</v>
      </c>
      <c r="G2154" s="636" t="s">
        <v>7934</v>
      </c>
      <c r="H2154" s="636"/>
      <c r="I2154" s="636"/>
      <c r="J2154" s="644" t="s">
        <v>643</v>
      </c>
      <c r="K2154" s="753">
        <v>12</v>
      </c>
      <c r="L2154" s="754">
        <v>12</v>
      </c>
      <c r="M2154" s="736">
        <v>31960.799999999999</v>
      </c>
      <c r="N2154" s="744"/>
      <c r="O2154" s="739"/>
      <c r="P2154" s="739"/>
      <c r="Q2154" s="214"/>
    </row>
    <row r="2155" spans="1:17" ht="12" customHeight="1" x14ac:dyDescent="0.2">
      <c r="A2155" s="735" t="s">
        <v>7733</v>
      </c>
      <c r="B2155" s="735" t="s">
        <v>2170</v>
      </c>
      <c r="C2155" s="735" t="s">
        <v>451</v>
      </c>
      <c r="D2155" s="644" t="s">
        <v>7786</v>
      </c>
      <c r="E2155" s="736">
        <v>6000</v>
      </c>
      <c r="F2155" s="737" t="s">
        <v>7935</v>
      </c>
      <c r="G2155" s="636" t="s">
        <v>7936</v>
      </c>
      <c r="H2155" s="636" t="s">
        <v>6571</v>
      </c>
      <c r="I2155" s="636" t="s">
        <v>2179</v>
      </c>
      <c r="J2155" s="644" t="s">
        <v>642</v>
      </c>
      <c r="K2155" s="753">
        <v>2</v>
      </c>
      <c r="L2155" s="754">
        <v>6</v>
      </c>
      <c r="M2155" s="736">
        <v>37960.800000000003</v>
      </c>
      <c r="N2155" s="744"/>
      <c r="O2155" s="739"/>
      <c r="P2155" s="739"/>
      <c r="Q2155" s="214"/>
    </row>
    <row r="2156" spans="1:17" ht="12" customHeight="1" x14ac:dyDescent="0.2">
      <c r="A2156" s="735" t="s">
        <v>7733</v>
      </c>
      <c r="B2156" s="735" t="s">
        <v>2170</v>
      </c>
      <c r="C2156" s="735" t="s">
        <v>451</v>
      </c>
      <c r="D2156" s="644" t="s">
        <v>2788</v>
      </c>
      <c r="E2156" s="736">
        <v>1600</v>
      </c>
      <c r="F2156" s="737" t="s">
        <v>7937</v>
      </c>
      <c r="G2156" s="636" t="s">
        <v>7938</v>
      </c>
      <c r="H2156" s="636" t="s">
        <v>7939</v>
      </c>
      <c r="I2156" s="636" t="s">
        <v>7940</v>
      </c>
      <c r="J2156" s="644" t="s">
        <v>643</v>
      </c>
      <c r="K2156" s="753">
        <v>12</v>
      </c>
      <c r="L2156" s="754">
        <v>12</v>
      </c>
      <c r="M2156" s="736">
        <v>21528</v>
      </c>
      <c r="N2156" s="744"/>
      <c r="O2156" s="739"/>
      <c r="P2156" s="739"/>
      <c r="Q2156" s="214"/>
    </row>
    <row r="2157" spans="1:17" ht="12" customHeight="1" x14ac:dyDescent="0.2">
      <c r="A2157" s="735" t="s">
        <v>7733</v>
      </c>
      <c r="B2157" s="735" t="s">
        <v>2170</v>
      </c>
      <c r="C2157" s="735" t="s">
        <v>451</v>
      </c>
      <c r="D2157" s="644" t="s">
        <v>2179</v>
      </c>
      <c r="E2157" s="736">
        <v>6000</v>
      </c>
      <c r="F2157" s="737" t="s">
        <v>7941</v>
      </c>
      <c r="G2157" s="636" t="s">
        <v>7942</v>
      </c>
      <c r="H2157" s="636" t="s">
        <v>6571</v>
      </c>
      <c r="I2157" s="636" t="s">
        <v>2179</v>
      </c>
      <c r="J2157" s="644" t="s">
        <v>642</v>
      </c>
      <c r="K2157" s="753">
        <v>2</v>
      </c>
      <c r="L2157" s="754">
        <v>24</v>
      </c>
      <c r="M2157" s="736">
        <v>145960.79999999999</v>
      </c>
      <c r="N2157" s="744"/>
      <c r="O2157" s="739"/>
      <c r="P2157" s="739"/>
      <c r="Q2157" s="214"/>
    </row>
    <row r="2158" spans="1:17" ht="12" customHeight="1" x14ac:dyDescent="0.2">
      <c r="A2158" s="735" t="s">
        <v>7733</v>
      </c>
      <c r="B2158" s="735" t="s">
        <v>2170</v>
      </c>
      <c r="C2158" s="735" t="s">
        <v>451</v>
      </c>
      <c r="D2158" s="644" t="s">
        <v>7943</v>
      </c>
      <c r="E2158" s="736">
        <v>4500</v>
      </c>
      <c r="F2158" s="737" t="s">
        <v>7944</v>
      </c>
      <c r="G2158" s="636" t="s">
        <v>7945</v>
      </c>
      <c r="H2158" s="636" t="s">
        <v>6778</v>
      </c>
      <c r="I2158" s="636" t="s">
        <v>2174</v>
      </c>
      <c r="J2158" s="644" t="s">
        <v>642</v>
      </c>
      <c r="K2158" s="753">
        <v>5</v>
      </c>
      <c r="L2158" s="754">
        <v>12</v>
      </c>
      <c r="M2158" s="736">
        <v>55960.800000000003</v>
      </c>
      <c r="N2158" s="744"/>
      <c r="O2158" s="739"/>
      <c r="P2158" s="739"/>
      <c r="Q2158" s="214"/>
    </row>
    <row r="2159" spans="1:17" ht="12" customHeight="1" x14ac:dyDescent="0.2">
      <c r="A2159" s="735" t="s">
        <v>7733</v>
      </c>
      <c r="B2159" s="735" t="s">
        <v>2170</v>
      </c>
      <c r="C2159" s="735" t="s">
        <v>451</v>
      </c>
      <c r="D2159" s="644" t="s">
        <v>7946</v>
      </c>
      <c r="E2159" s="736">
        <v>4000</v>
      </c>
      <c r="F2159" s="737" t="s">
        <v>7947</v>
      </c>
      <c r="G2159" s="636" t="s">
        <v>7948</v>
      </c>
      <c r="H2159" s="636" t="s">
        <v>6571</v>
      </c>
      <c r="I2159" s="636" t="s">
        <v>2179</v>
      </c>
      <c r="J2159" s="644" t="s">
        <v>642</v>
      </c>
      <c r="K2159" s="753">
        <v>5</v>
      </c>
      <c r="L2159" s="754">
        <v>12</v>
      </c>
      <c r="M2159" s="736">
        <v>49960.800000000003</v>
      </c>
      <c r="N2159" s="744"/>
      <c r="O2159" s="739"/>
      <c r="P2159" s="739"/>
      <c r="Q2159" s="214"/>
    </row>
    <row r="2160" spans="1:17" ht="12" customHeight="1" x14ac:dyDescent="0.2">
      <c r="A2160" s="735" t="s">
        <v>7733</v>
      </c>
      <c r="B2160" s="735" t="s">
        <v>2170</v>
      </c>
      <c r="C2160" s="735" t="s">
        <v>451</v>
      </c>
      <c r="D2160" s="644" t="s">
        <v>7949</v>
      </c>
      <c r="E2160" s="736">
        <v>5000</v>
      </c>
      <c r="F2160" s="737" t="s">
        <v>7950</v>
      </c>
      <c r="G2160" s="636" t="s">
        <v>7951</v>
      </c>
      <c r="H2160" s="636"/>
      <c r="I2160" s="636"/>
      <c r="J2160" s="644" t="s">
        <v>642</v>
      </c>
      <c r="K2160" s="753">
        <v>6</v>
      </c>
      <c r="L2160" s="754">
        <v>11</v>
      </c>
      <c r="M2160" s="736">
        <v>56960.800000000003</v>
      </c>
      <c r="N2160" s="744"/>
      <c r="O2160" s="739"/>
      <c r="P2160" s="739"/>
      <c r="Q2160" s="214"/>
    </row>
    <row r="2161" spans="1:17" ht="12" customHeight="1" x14ac:dyDescent="0.2">
      <c r="A2161" s="735" t="s">
        <v>7733</v>
      </c>
      <c r="B2161" s="735" t="s">
        <v>2170</v>
      </c>
      <c r="C2161" s="735" t="s">
        <v>451</v>
      </c>
      <c r="D2161" s="644" t="s">
        <v>7932</v>
      </c>
      <c r="E2161" s="736">
        <v>2500</v>
      </c>
      <c r="F2161" s="737" t="s">
        <v>7952</v>
      </c>
      <c r="G2161" s="636" t="s">
        <v>7953</v>
      </c>
      <c r="H2161" s="636"/>
      <c r="I2161" s="636"/>
      <c r="J2161" s="644" t="s">
        <v>643</v>
      </c>
      <c r="K2161" s="753">
        <v>12</v>
      </c>
      <c r="L2161" s="754">
        <v>12</v>
      </c>
      <c r="M2161" s="736">
        <v>31960.799999999999</v>
      </c>
      <c r="N2161" s="744"/>
      <c r="O2161" s="739"/>
      <c r="P2161" s="739"/>
      <c r="Q2161" s="214"/>
    </row>
    <row r="2162" spans="1:17" ht="12" customHeight="1" x14ac:dyDescent="0.2">
      <c r="A2162" s="735" t="s">
        <v>7733</v>
      </c>
      <c r="B2162" s="735" t="s">
        <v>2170</v>
      </c>
      <c r="C2162" s="735" t="s">
        <v>451</v>
      </c>
      <c r="D2162" s="644" t="s">
        <v>7954</v>
      </c>
      <c r="E2162" s="736">
        <v>4000</v>
      </c>
      <c r="F2162" s="737" t="s">
        <v>7955</v>
      </c>
      <c r="G2162" s="636" t="s">
        <v>7956</v>
      </c>
      <c r="H2162" s="636" t="s">
        <v>6571</v>
      </c>
      <c r="I2162" s="636" t="s">
        <v>2179</v>
      </c>
      <c r="J2162" s="644" t="s">
        <v>642</v>
      </c>
      <c r="K2162" s="753">
        <v>5</v>
      </c>
      <c r="L2162" s="754">
        <v>12</v>
      </c>
      <c r="M2162" s="736">
        <v>49960.800000000003</v>
      </c>
      <c r="N2162" s="744"/>
      <c r="O2162" s="739"/>
      <c r="P2162" s="739"/>
      <c r="Q2162" s="214"/>
    </row>
    <row r="2163" spans="1:17" ht="12" customHeight="1" x14ac:dyDescent="0.2">
      <c r="A2163" s="735" t="s">
        <v>7733</v>
      </c>
      <c r="B2163" s="735" t="s">
        <v>2170</v>
      </c>
      <c r="C2163" s="735" t="s">
        <v>451</v>
      </c>
      <c r="D2163" s="644" t="s">
        <v>7957</v>
      </c>
      <c r="E2163" s="736">
        <v>4000</v>
      </c>
      <c r="F2163" s="737" t="s">
        <v>7958</v>
      </c>
      <c r="G2163" s="636" t="s">
        <v>7959</v>
      </c>
      <c r="H2163" s="636" t="s">
        <v>6571</v>
      </c>
      <c r="I2163" s="636" t="s">
        <v>2179</v>
      </c>
      <c r="J2163" s="644" t="s">
        <v>642</v>
      </c>
      <c r="K2163" s="753">
        <v>5</v>
      </c>
      <c r="L2163" s="754">
        <v>12</v>
      </c>
      <c r="M2163" s="736">
        <v>49960.800000000003</v>
      </c>
      <c r="N2163" s="744"/>
      <c r="O2163" s="739"/>
      <c r="P2163" s="739"/>
      <c r="Q2163" s="214"/>
    </row>
    <row r="2164" spans="1:17" ht="12" customHeight="1" x14ac:dyDescent="0.2">
      <c r="A2164" s="735" t="s">
        <v>7733</v>
      </c>
      <c r="B2164" s="735" t="s">
        <v>2170</v>
      </c>
      <c r="C2164" s="735" t="s">
        <v>451</v>
      </c>
      <c r="D2164" s="644" t="s">
        <v>7960</v>
      </c>
      <c r="E2164" s="736">
        <v>4500</v>
      </c>
      <c r="F2164" s="737" t="s">
        <v>7961</v>
      </c>
      <c r="G2164" s="636" t="s">
        <v>7962</v>
      </c>
      <c r="H2164" s="636" t="s">
        <v>7752</v>
      </c>
      <c r="I2164" s="636" t="s">
        <v>2179</v>
      </c>
      <c r="J2164" s="644" t="s">
        <v>642</v>
      </c>
      <c r="K2164" s="753">
        <v>5</v>
      </c>
      <c r="L2164" s="754">
        <v>12</v>
      </c>
      <c r="M2164" s="736">
        <v>55960.800000000003</v>
      </c>
      <c r="N2164" s="744"/>
      <c r="O2164" s="739"/>
      <c r="P2164" s="739"/>
      <c r="Q2164" s="214"/>
    </row>
    <row r="2165" spans="1:17" ht="12" customHeight="1" x14ac:dyDescent="0.2">
      <c r="A2165" s="735" t="s">
        <v>7733</v>
      </c>
      <c r="B2165" s="735" t="s">
        <v>2170</v>
      </c>
      <c r="C2165" s="735" t="s">
        <v>451</v>
      </c>
      <c r="D2165" s="644" t="s">
        <v>4428</v>
      </c>
      <c r="E2165" s="736">
        <v>4500</v>
      </c>
      <c r="F2165" s="737" t="s">
        <v>7963</v>
      </c>
      <c r="G2165" s="636" t="s">
        <v>7964</v>
      </c>
      <c r="H2165" s="636"/>
      <c r="I2165" s="636"/>
      <c r="J2165" s="644" t="s">
        <v>642</v>
      </c>
      <c r="K2165" s="753">
        <v>5</v>
      </c>
      <c r="L2165" s="754">
        <v>12</v>
      </c>
      <c r="M2165" s="736">
        <v>55960.800000000003</v>
      </c>
      <c r="N2165" s="744"/>
      <c r="O2165" s="739"/>
      <c r="P2165" s="739"/>
      <c r="Q2165" s="214"/>
    </row>
    <row r="2166" spans="1:17" ht="12" customHeight="1" x14ac:dyDescent="0.2">
      <c r="A2166" s="735" t="s">
        <v>7733</v>
      </c>
      <c r="B2166" s="735" t="s">
        <v>2170</v>
      </c>
      <c r="C2166" s="735" t="s">
        <v>451</v>
      </c>
      <c r="D2166" s="644" t="s">
        <v>7965</v>
      </c>
      <c r="E2166" s="736">
        <v>4000</v>
      </c>
      <c r="F2166" s="737" t="s">
        <v>7966</v>
      </c>
      <c r="G2166" s="636" t="s">
        <v>7967</v>
      </c>
      <c r="H2166" s="636" t="s">
        <v>6571</v>
      </c>
      <c r="I2166" s="636" t="s">
        <v>2179</v>
      </c>
      <c r="J2166" s="644" t="s">
        <v>642</v>
      </c>
      <c r="K2166" s="753">
        <v>1</v>
      </c>
      <c r="L2166" s="754">
        <v>3</v>
      </c>
      <c r="M2166" s="736">
        <v>23960.799999999999</v>
      </c>
      <c r="N2166" s="744"/>
      <c r="O2166" s="739"/>
      <c r="P2166" s="739"/>
      <c r="Q2166" s="214"/>
    </row>
    <row r="2167" spans="1:17" ht="12" customHeight="1" x14ac:dyDescent="0.2">
      <c r="A2167" s="735" t="s">
        <v>7733</v>
      </c>
      <c r="B2167" s="735" t="s">
        <v>2170</v>
      </c>
      <c r="C2167" s="735" t="s">
        <v>451</v>
      </c>
      <c r="D2167" s="644" t="s">
        <v>7968</v>
      </c>
      <c r="E2167" s="736">
        <v>4000</v>
      </c>
      <c r="F2167" s="737" t="s">
        <v>7969</v>
      </c>
      <c r="G2167" s="636" t="s">
        <v>7970</v>
      </c>
      <c r="H2167" s="636" t="s">
        <v>7752</v>
      </c>
      <c r="I2167" s="636" t="s">
        <v>2179</v>
      </c>
      <c r="J2167" s="644" t="s">
        <v>642</v>
      </c>
      <c r="K2167" s="753">
        <v>9</v>
      </c>
      <c r="L2167" s="754">
        <v>12</v>
      </c>
      <c r="M2167" s="736">
        <v>49960.800000000003</v>
      </c>
      <c r="N2167" s="744"/>
      <c r="O2167" s="739"/>
      <c r="P2167" s="739"/>
      <c r="Q2167" s="214"/>
    </row>
    <row r="2168" spans="1:17" ht="12" customHeight="1" x14ac:dyDescent="0.2">
      <c r="A2168" s="735" t="s">
        <v>7733</v>
      </c>
      <c r="B2168" s="735" t="s">
        <v>2170</v>
      </c>
      <c r="C2168" s="735" t="s">
        <v>451</v>
      </c>
      <c r="D2168" s="644" t="s">
        <v>7971</v>
      </c>
      <c r="E2168" s="736">
        <v>3000</v>
      </c>
      <c r="F2168" s="737" t="s">
        <v>7972</v>
      </c>
      <c r="G2168" s="636" t="s">
        <v>7973</v>
      </c>
      <c r="H2168" s="636" t="s">
        <v>3522</v>
      </c>
      <c r="I2168" s="636" t="s">
        <v>7974</v>
      </c>
      <c r="J2168" s="644" t="s">
        <v>642</v>
      </c>
      <c r="K2168" s="753">
        <v>12</v>
      </c>
      <c r="L2168" s="754">
        <v>12</v>
      </c>
      <c r="M2168" s="736">
        <v>37960.800000000003</v>
      </c>
      <c r="N2168" s="744"/>
      <c r="O2168" s="739"/>
      <c r="P2168" s="739"/>
      <c r="Q2168" s="214"/>
    </row>
    <row r="2169" spans="1:17" ht="12" customHeight="1" x14ac:dyDescent="0.2">
      <c r="A2169" s="735" t="s">
        <v>7733</v>
      </c>
      <c r="B2169" s="735" t="s">
        <v>2170</v>
      </c>
      <c r="C2169" s="735" t="s">
        <v>451</v>
      </c>
      <c r="D2169" s="644" t="s">
        <v>7779</v>
      </c>
      <c r="E2169" s="736">
        <v>3000</v>
      </c>
      <c r="F2169" s="737" t="s">
        <v>7975</v>
      </c>
      <c r="G2169" s="636" t="s">
        <v>7976</v>
      </c>
      <c r="H2169" s="636" t="s">
        <v>2228</v>
      </c>
      <c r="I2169" s="636" t="s">
        <v>2228</v>
      </c>
      <c r="J2169" s="644"/>
      <c r="K2169" s="753">
        <v>6</v>
      </c>
      <c r="L2169" s="754">
        <v>6</v>
      </c>
      <c r="M2169" s="736">
        <v>29960.799999999999</v>
      </c>
      <c r="N2169" s="744"/>
      <c r="O2169" s="739"/>
      <c r="P2169" s="739"/>
      <c r="Q2169" s="214"/>
    </row>
    <row r="2170" spans="1:17" ht="12" customHeight="1" x14ac:dyDescent="0.2">
      <c r="A2170" s="735" t="s">
        <v>7733</v>
      </c>
      <c r="B2170" s="735" t="s">
        <v>2170</v>
      </c>
      <c r="C2170" s="735" t="s">
        <v>451</v>
      </c>
      <c r="D2170" s="644" t="s">
        <v>7977</v>
      </c>
      <c r="E2170" s="736">
        <v>4000</v>
      </c>
      <c r="F2170" s="737" t="s">
        <v>7978</v>
      </c>
      <c r="G2170" s="636" t="s">
        <v>7979</v>
      </c>
      <c r="H2170" s="636" t="s">
        <v>7782</v>
      </c>
      <c r="I2170" s="636" t="s">
        <v>2208</v>
      </c>
      <c r="J2170" s="644" t="s">
        <v>642</v>
      </c>
      <c r="K2170" s="753">
        <v>12</v>
      </c>
      <c r="L2170" s="754">
        <v>12</v>
      </c>
      <c r="M2170" s="736">
        <v>49960.800000000003</v>
      </c>
      <c r="N2170" s="744"/>
      <c r="O2170" s="739"/>
      <c r="P2170" s="739"/>
      <c r="Q2170" s="214"/>
    </row>
    <row r="2171" spans="1:17" ht="12" customHeight="1" x14ac:dyDescent="0.2">
      <c r="A2171" s="735" t="s">
        <v>7733</v>
      </c>
      <c r="B2171" s="735" t="s">
        <v>2170</v>
      </c>
      <c r="C2171" s="735" t="s">
        <v>451</v>
      </c>
      <c r="D2171" s="644" t="s">
        <v>7946</v>
      </c>
      <c r="E2171" s="736">
        <v>4000</v>
      </c>
      <c r="F2171" s="737" t="s">
        <v>7980</v>
      </c>
      <c r="G2171" s="636" t="s">
        <v>7981</v>
      </c>
      <c r="H2171" s="636"/>
      <c r="I2171" s="636"/>
      <c r="J2171" s="644" t="s">
        <v>642</v>
      </c>
      <c r="K2171" s="753">
        <v>5</v>
      </c>
      <c r="L2171" s="754">
        <v>12</v>
      </c>
      <c r="M2171" s="736">
        <v>49960.800000000003</v>
      </c>
      <c r="N2171" s="744"/>
      <c r="O2171" s="739"/>
      <c r="P2171" s="739"/>
      <c r="Q2171" s="214"/>
    </row>
    <row r="2172" spans="1:17" ht="12" customHeight="1" x14ac:dyDescent="0.2">
      <c r="A2172" s="735" t="s">
        <v>7733</v>
      </c>
      <c r="B2172" s="735" t="s">
        <v>2170</v>
      </c>
      <c r="C2172" s="735" t="s">
        <v>451</v>
      </c>
      <c r="D2172" s="644" t="s">
        <v>7982</v>
      </c>
      <c r="E2172" s="736">
        <v>3500</v>
      </c>
      <c r="F2172" s="737" t="s">
        <v>7983</v>
      </c>
      <c r="G2172" s="636" t="s">
        <v>7984</v>
      </c>
      <c r="H2172" s="636" t="s">
        <v>7782</v>
      </c>
      <c r="I2172" s="636" t="s">
        <v>2208</v>
      </c>
      <c r="J2172" s="644" t="s">
        <v>642</v>
      </c>
      <c r="K2172" s="753">
        <v>12</v>
      </c>
      <c r="L2172" s="754">
        <v>12</v>
      </c>
      <c r="M2172" s="736">
        <v>43960.800000000003</v>
      </c>
      <c r="N2172" s="744"/>
      <c r="O2172" s="739"/>
      <c r="P2172" s="739"/>
      <c r="Q2172" s="214"/>
    </row>
    <row r="2173" spans="1:17" ht="12" customHeight="1" x14ac:dyDescent="0.2">
      <c r="A2173" s="735" t="s">
        <v>7733</v>
      </c>
      <c r="B2173" s="735" t="s">
        <v>2170</v>
      </c>
      <c r="C2173" s="735" t="s">
        <v>451</v>
      </c>
      <c r="D2173" s="644" t="s">
        <v>7985</v>
      </c>
      <c r="E2173" s="736">
        <v>2300</v>
      </c>
      <c r="F2173" s="737" t="s">
        <v>7986</v>
      </c>
      <c r="G2173" s="636" t="s">
        <v>7987</v>
      </c>
      <c r="H2173" s="636" t="s">
        <v>7816</v>
      </c>
      <c r="I2173" s="636" t="s">
        <v>2543</v>
      </c>
      <c r="J2173" s="644" t="s">
        <v>643</v>
      </c>
      <c r="K2173" s="753">
        <v>12</v>
      </c>
      <c r="L2173" s="754">
        <v>12</v>
      </c>
      <c r="M2173" s="736">
        <v>39560.800000000003</v>
      </c>
      <c r="N2173" s="744"/>
      <c r="O2173" s="739"/>
      <c r="P2173" s="739"/>
      <c r="Q2173" s="214"/>
    </row>
    <row r="2174" spans="1:17" ht="12" customHeight="1" x14ac:dyDescent="0.2">
      <c r="A2174" s="735" t="s">
        <v>7733</v>
      </c>
      <c r="B2174" s="735" t="s">
        <v>2170</v>
      </c>
      <c r="C2174" s="735" t="s">
        <v>451</v>
      </c>
      <c r="D2174" s="644" t="s">
        <v>7988</v>
      </c>
      <c r="E2174" s="736">
        <v>2000</v>
      </c>
      <c r="F2174" s="737" t="s">
        <v>7989</v>
      </c>
      <c r="G2174" s="636" t="s">
        <v>7990</v>
      </c>
      <c r="H2174" s="636"/>
      <c r="I2174" s="636"/>
      <c r="J2174" s="644" t="s">
        <v>7991</v>
      </c>
      <c r="K2174" s="753">
        <v>1</v>
      </c>
      <c r="L2174" s="754">
        <v>3</v>
      </c>
      <c r="M2174" s="736">
        <v>8960.7999999999993</v>
      </c>
      <c r="N2174" s="744"/>
      <c r="O2174" s="739"/>
      <c r="P2174" s="739"/>
      <c r="Q2174" s="214"/>
    </row>
    <row r="2175" spans="1:17" ht="12" customHeight="1" x14ac:dyDescent="0.2">
      <c r="A2175" s="735" t="s">
        <v>7733</v>
      </c>
      <c r="B2175" s="735" t="s">
        <v>2170</v>
      </c>
      <c r="C2175" s="735" t="s">
        <v>451</v>
      </c>
      <c r="D2175" s="644" t="s">
        <v>7904</v>
      </c>
      <c r="E2175" s="736">
        <v>3000</v>
      </c>
      <c r="F2175" s="737" t="s">
        <v>7992</v>
      </c>
      <c r="G2175" s="636" t="s">
        <v>7993</v>
      </c>
      <c r="H2175" s="636" t="s">
        <v>7152</v>
      </c>
      <c r="I2175" s="636" t="s">
        <v>2317</v>
      </c>
      <c r="J2175" s="644" t="s">
        <v>643</v>
      </c>
      <c r="K2175" s="753">
        <v>12</v>
      </c>
      <c r="L2175" s="754">
        <v>12</v>
      </c>
      <c r="M2175" s="736">
        <v>37960.800000000003</v>
      </c>
      <c r="N2175" s="744"/>
      <c r="O2175" s="739"/>
      <c r="P2175" s="739"/>
      <c r="Q2175" s="214"/>
    </row>
    <row r="2176" spans="1:17" ht="12" customHeight="1" x14ac:dyDescent="0.2">
      <c r="A2176" s="735" t="s">
        <v>7733</v>
      </c>
      <c r="B2176" s="735" t="s">
        <v>2170</v>
      </c>
      <c r="C2176" s="735" t="s">
        <v>451</v>
      </c>
      <c r="D2176" s="644" t="s">
        <v>7868</v>
      </c>
      <c r="E2176" s="736">
        <v>3000</v>
      </c>
      <c r="F2176" s="737" t="s">
        <v>7994</v>
      </c>
      <c r="G2176" s="636" t="s">
        <v>7995</v>
      </c>
      <c r="H2176" s="636" t="s">
        <v>6571</v>
      </c>
      <c r="I2176" s="636" t="s">
        <v>2179</v>
      </c>
      <c r="J2176" s="644" t="s">
        <v>642</v>
      </c>
      <c r="K2176" s="753">
        <v>12</v>
      </c>
      <c r="L2176" s="754">
        <v>12</v>
      </c>
      <c r="M2176" s="736">
        <v>37960.800000000003</v>
      </c>
      <c r="N2176" s="744"/>
      <c r="O2176" s="739"/>
      <c r="P2176" s="739"/>
      <c r="Q2176" s="214"/>
    </row>
    <row r="2177" spans="1:17" ht="12" customHeight="1" x14ac:dyDescent="0.2">
      <c r="A2177" s="735" t="s">
        <v>7733</v>
      </c>
      <c r="B2177" s="735" t="s">
        <v>2170</v>
      </c>
      <c r="C2177" s="735" t="s">
        <v>451</v>
      </c>
      <c r="D2177" s="644" t="s">
        <v>7904</v>
      </c>
      <c r="E2177" s="736">
        <v>3000</v>
      </c>
      <c r="F2177" s="737" t="s">
        <v>7996</v>
      </c>
      <c r="G2177" s="636" t="s">
        <v>7997</v>
      </c>
      <c r="H2177" s="636" t="s">
        <v>7904</v>
      </c>
      <c r="I2177" s="636" t="s">
        <v>7859</v>
      </c>
      <c r="J2177" s="644" t="s">
        <v>643</v>
      </c>
      <c r="K2177" s="753">
        <v>12</v>
      </c>
      <c r="L2177" s="754">
        <v>12</v>
      </c>
      <c r="M2177" s="736">
        <v>37960.800000000003</v>
      </c>
      <c r="N2177" s="744"/>
      <c r="O2177" s="739"/>
      <c r="P2177" s="739"/>
      <c r="Q2177" s="214"/>
    </row>
    <row r="2178" spans="1:17" ht="12" customHeight="1" x14ac:dyDescent="0.2">
      <c r="A2178" s="735" t="s">
        <v>7733</v>
      </c>
      <c r="B2178" s="735" t="s">
        <v>2170</v>
      </c>
      <c r="C2178" s="735" t="s">
        <v>451</v>
      </c>
      <c r="D2178" s="644" t="s">
        <v>7921</v>
      </c>
      <c r="E2178" s="736">
        <v>4000</v>
      </c>
      <c r="F2178" s="737" t="s">
        <v>7998</v>
      </c>
      <c r="G2178" s="636" t="s">
        <v>7999</v>
      </c>
      <c r="H2178" s="636" t="s">
        <v>8000</v>
      </c>
      <c r="I2178" s="636" t="s">
        <v>2478</v>
      </c>
      <c r="J2178" s="644" t="s">
        <v>642</v>
      </c>
      <c r="K2178" s="753">
        <v>12</v>
      </c>
      <c r="L2178" s="754">
        <v>12</v>
      </c>
      <c r="M2178" s="736">
        <v>49960.800000000003</v>
      </c>
      <c r="N2178" s="744"/>
      <c r="O2178" s="739"/>
      <c r="P2178" s="739"/>
      <c r="Q2178" s="214"/>
    </row>
    <row r="2179" spans="1:17" ht="12" customHeight="1" x14ac:dyDescent="0.2">
      <c r="A2179" s="735" t="s">
        <v>7733</v>
      </c>
      <c r="B2179" s="735" t="s">
        <v>2170</v>
      </c>
      <c r="C2179" s="735" t="s">
        <v>451</v>
      </c>
      <c r="D2179" s="644" t="s">
        <v>7746</v>
      </c>
      <c r="E2179" s="736">
        <v>1700</v>
      </c>
      <c r="F2179" s="737" t="s">
        <v>8001</v>
      </c>
      <c r="G2179" s="636" t="s">
        <v>8002</v>
      </c>
      <c r="H2179" s="636" t="s">
        <v>8003</v>
      </c>
      <c r="I2179" s="636" t="s">
        <v>8004</v>
      </c>
      <c r="J2179" s="644" t="s">
        <v>643</v>
      </c>
      <c r="K2179" s="753">
        <v>12</v>
      </c>
      <c r="L2179" s="754">
        <v>12</v>
      </c>
      <c r="M2179" s="736">
        <v>32836</v>
      </c>
      <c r="N2179" s="744"/>
      <c r="O2179" s="739"/>
      <c r="P2179" s="739"/>
      <c r="Q2179" s="214"/>
    </row>
    <row r="2180" spans="1:17" ht="12" customHeight="1" x14ac:dyDescent="0.2">
      <c r="A2180" s="735" t="s">
        <v>7733</v>
      </c>
      <c r="B2180" s="735" t="s">
        <v>2170</v>
      </c>
      <c r="C2180" s="735" t="s">
        <v>451</v>
      </c>
      <c r="D2180" s="644" t="s">
        <v>7104</v>
      </c>
      <c r="E2180" s="736">
        <v>3000</v>
      </c>
      <c r="F2180" s="737" t="s">
        <v>8005</v>
      </c>
      <c r="G2180" s="636" t="s">
        <v>8006</v>
      </c>
      <c r="H2180" s="636"/>
      <c r="I2180" s="636"/>
      <c r="J2180" s="644" t="s">
        <v>642</v>
      </c>
      <c r="K2180" s="753">
        <v>6</v>
      </c>
      <c r="L2180" s="754">
        <v>12</v>
      </c>
      <c r="M2180" s="736">
        <v>37960.800000000003</v>
      </c>
      <c r="N2180" s="744"/>
      <c r="O2180" s="739"/>
      <c r="P2180" s="739"/>
      <c r="Q2180" s="214"/>
    </row>
    <row r="2181" spans="1:17" ht="12" customHeight="1" x14ac:dyDescent="0.2">
      <c r="A2181" s="735" t="s">
        <v>7733</v>
      </c>
      <c r="B2181" s="735" t="s">
        <v>2170</v>
      </c>
      <c r="C2181" s="735" t="s">
        <v>451</v>
      </c>
      <c r="D2181" s="644" t="s">
        <v>8007</v>
      </c>
      <c r="E2181" s="736">
        <v>3500</v>
      </c>
      <c r="F2181" s="737" t="s">
        <v>8008</v>
      </c>
      <c r="G2181" s="636" t="s">
        <v>8009</v>
      </c>
      <c r="H2181" s="636" t="s">
        <v>6571</v>
      </c>
      <c r="I2181" s="636" t="s">
        <v>2179</v>
      </c>
      <c r="J2181" s="644" t="s">
        <v>642</v>
      </c>
      <c r="K2181" s="753">
        <v>12</v>
      </c>
      <c r="L2181" s="754">
        <v>12</v>
      </c>
      <c r="M2181" s="736">
        <v>43960.800000000003</v>
      </c>
      <c r="N2181" s="744"/>
      <c r="O2181" s="739"/>
      <c r="P2181" s="739"/>
      <c r="Q2181" s="214"/>
    </row>
    <row r="2182" spans="1:17" ht="12" customHeight="1" x14ac:dyDescent="0.2">
      <c r="A2182" s="735" t="s">
        <v>7733</v>
      </c>
      <c r="B2182" s="735" t="s">
        <v>2170</v>
      </c>
      <c r="C2182" s="735" t="s">
        <v>451</v>
      </c>
      <c r="D2182" s="644" t="s">
        <v>8010</v>
      </c>
      <c r="E2182" s="736">
        <v>2000</v>
      </c>
      <c r="F2182" s="737" t="s">
        <v>8011</v>
      </c>
      <c r="G2182" s="636" t="s">
        <v>8012</v>
      </c>
      <c r="H2182" s="636" t="s">
        <v>8013</v>
      </c>
      <c r="I2182" s="636" t="s">
        <v>8014</v>
      </c>
      <c r="J2182" s="644" t="s">
        <v>643</v>
      </c>
      <c r="K2182" s="753">
        <v>7</v>
      </c>
      <c r="L2182" s="754">
        <v>12</v>
      </c>
      <c r="M2182" s="736">
        <v>35960.800000000003</v>
      </c>
      <c r="N2182" s="744"/>
      <c r="O2182" s="739"/>
      <c r="P2182" s="739"/>
      <c r="Q2182" s="214"/>
    </row>
    <row r="2183" spans="1:17" ht="12" customHeight="1" x14ac:dyDescent="0.2">
      <c r="A2183" s="735" t="s">
        <v>7733</v>
      </c>
      <c r="B2183" s="735" t="s">
        <v>2170</v>
      </c>
      <c r="C2183" s="735" t="s">
        <v>451</v>
      </c>
      <c r="D2183" s="644" t="s">
        <v>7858</v>
      </c>
      <c r="E2183" s="736">
        <v>3000</v>
      </c>
      <c r="F2183" s="737" t="s">
        <v>8015</v>
      </c>
      <c r="G2183" s="636" t="s">
        <v>8016</v>
      </c>
      <c r="H2183" s="636"/>
      <c r="I2183" s="636"/>
      <c r="J2183" s="644" t="s">
        <v>643</v>
      </c>
      <c r="K2183" s="753">
        <v>12</v>
      </c>
      <c r="L2183" s="754">
        <v>12</v>
      </c>
      <c r="M2183" s="736">
        <v>37960.800000000003</v>
      </c>
      <c r="N2183" s="744"/>
      <c r="O2183" s="739"/>
      <c r="P2183" s="739"/>
      <c r="Q2183" s="214"/>
    </row>
    <row r="2184" spans="1:17" ht="12" customHeight="1" x14ac:dyDescent="0.2">
      <c r="A2184" s="735" t="s">
        <v>7733</v>
      </c>
      <c r="B2184" s="735" t="s">
        <v>2170</v>
      </c>
      <c r="C2184" s="735" t="s">
        <v>451</v>
      </c>
      <c r="D2184" s="644" t="s">
        <v>7871</v>
      </c>
      <c r="E2184" s="736">
        <v>4000</v>
      </c>
      <c r="F2184" s="737" t="s">
        <v>8017</v>
      </c>
      <c r="G2184" s="636" t="s">
        <v>8018</v>
      </c>
      <c r="H2184" s="636" t="s">
        <v>8000</v>
      </c>
      <c r="I2184" s="636" t="s">
        <v>2478</v>
      </c>
      <c r="J2184" s="644" t="s">
        <v>642</v>
      </c>
      <c r="K2184" s="753">
        <v>1</v>
      </c>
      <c r="L2184" s="754">
        <v>3</v>
      </c>
      <c r="M2184" s="736">
        <v>23960.799999999999</v>
      </c>
      <c r="N2184" s="744"/>
      <c r="O2184" s="739"/>
      <c r="P2184" s="739"/>
      <c r="Q2184" s="214"/>
    </row>
    <row r="2185" spans="1:17" ht="12" customHeight="1" x14ac:dyDescent="0.2">
      <c r="A2185" s="735" t="s">
        <v>7733</v>
      </c>
      <c r="B2185" s="735" t="s">
        <v>2170</v>
      </c>
      <c r="C2185" s="735" t="s">
        <v>451</v>
      </c>
      <c r="D2185" s="644" t="s">
        <v>8019</v>
      </c>
      <c r="E2185" s="736">
        <v>3500</v>
      </c>
      <c r="F2185" s="737" t="s">
        <v>8020</v>
      </c>
      <c r="G2185" s="636" t="s">
        <v>8021</v>
      </c>
      <c r="H2185" s="636" t="s">
        <v>8022</v>
      </c>
      <c r="I2185" s="636" t="s">
        <v>2766</v>
      </c>
      <c r="J2185" s="644" t="s">
        <v>644</v>
      </c>
      <c r="K2185" s="753">
        <v>5</v>
      </c>
      <c r="L2185" s="754">
        <v>12</v>
      </c>
      <c r="M2185" s="736">
        <v>43960.800000000003</v>
      </c>
      <c r="N2185" s="744"/>
      <c r="O2185" s="739"/>
      <c r="P2185" s="739"/>
      <c r="Q2185" s="214"/>
    </row>
    <row r="2186" spans="1:17" ht="12" customHeight="1" x14ac:dyDescent="0.2">
      <c r="A2186" s="735" t="s">
        <v>7733</v>
      </c>
      <c r="B2186" s="735" t="s">
        <v>2170</v>
      </c>
      <c r="C2186" s="735" t="s">
        <v>451</v>
      </c>
      <c r="D2186" s="644" t="s">
        <v>8023</v>
      </c>
      <c r="E2186" s="736">
        <v>2500</v>
      </c>
      <c r="F2186" s="737" t="s">
        <v>8024</v>
      </c>
      <c r="G2186" s="636" t="s">
        <v>8025</v>
      </c>
      <c r="H2186" s="636" t="s">
        <v>7752</v>
      </c>
      <c r="I2186" s="636" t="s">
        <v>2179</v>
      </c>
      <c r="J2186" s="644" t="s">
        <v>642</v>
      </c>
      <c r="K2186" s="753">
        <v>12</v>
      </c>
      <c r="L2186" s="754">
        <v>12</v>
      </c>
      <c r="M2186" s="736">
        <v>31960.799999999999</v>
      </c>
      <c r="N2186" s="744"/>
      <c r="O2186" s="739"/>
      <c r="P2186" s="739"/>
      <c r="Q2186" s="214"/>
    </row>
    <row r="2187" spans="1:17" ht="12" customHeight="1" x14ac:dyDescent="0.2">
      <c r="A2187" s="735" t="s">
        <v>7733</v>
      </c>
      <c r="B2187" s="735" t="s">
        <v>2170</v>
      </c>
      <c r="C2187" s="735" t="s">
        <v>451</v>
      </c>
      <c r="D2187" s="644" t="s">
        <v>8026</v>
      </c>
      <c r="E2187" s="736">
        <v>5000</v>
      </c>
      <c r="F2187" s="737" t="s">
        <v>8027</v>
      </c>
      <c r="G2187" s="636" t="s">
        <v>8028</v>
      </c>
      <c r="H2187" s="636" t="s">
        <v>6571</v>
      </c>
      <c r="I2187" s="636" t="s">
        <v>2179</v>
      </c>
      <c r="J2187" s="644" t="s">
        <v>642</v>
      </c>
      <c r="K2187" s="753">
        <v>12</v>
      </c>
      <c r="L2187" s="754">
        <v>12</v>
      </c>
      <c r="M2187" s="736">
        <v>61960.800000000003</v>
      </c>
      <c r="N2187" s="744"/>
      <c r="O2187" s="739"/>
      <c r="P2187" s="739"/>
      <c r="Q2187" s="214"/>
    </row>
    <row r="2188" spans="1:17" ht="12" customHeight="1" x14ac:dyDescent="0.2">
      <c r="A2188" s="735" t="s">
        <v>7733</v>
      </c>
      <c r="B2188" s="735" t="s">
        <v>2170</v>
      </c>
      <c r="C2188" s="735" t="s">
        <v>451</v>
      </c>
      <c r="D2188" s="644" t="s">
        <v>8029</v>
      </c>
      <c r="E2188" s="736">
        <v>4000</v>
      </c>
      <c r="F2188" s="737" t="s">
        <v>8030</v>
      </c>
      <c r="G2188" s="636" t="s">
        <v>8031</v>
      </c>
      <c r="H2188" s="636" t="s">
        <v>2228</v>
      </c>
      <c r="I2188" s="636" t="s">
        <v>2228</v>
      </c>
      <c r="J2188" s="644"/>
      <c r="K2188" s="753">
        <v>7</v>
      </c>
      <c r="L2188" s="754">
        <v>7</v>
      </c>
      <c r="M2188" s="736">
        <v>29960.799999999999</v>
      </c>
      <c r="N2188" s="744"/>
      <c r="O2188" s="739"/>
      <c r="P2188" s="739"/>
      <c r="Q2188" s="214"/>
    </row>
    <row r="2189" spans="1:17" ht="12" customHeight="1" x14ac:dyDescent="0.2">
      <c r="A2189" s="735" t="s">
        <v>7733</v>
      </c>
      <c r="B2189" s="735" t="s">
        <v>2170</v>
      </c>
      <c r="C2189" s="735" t="s">
        <v>451</v>
      </c>
      <c r="D2189" s="644" t="s">
        <v>8032</v>
      </c>
      <c r="E2189" s="736">
        <v>1800</v>
      </c>
      <c r="F2189" s="737" t="s">
        <v>8033</v>
      </c>
      <c r="G2189" s="636" t="s">
        <v>8034</v>
      </c>
      <c r="H2189" s="636" t="s">
        <v>8035</v>
      </c>
      <c r="I2189" s="636" t="s">
        <v>8036</v>
      </c>
      <c r="J2189" s="644" t="s">
        <v>643</v>
      </c>
      <c r="K2189" s="753">
        <v>12</v>
      </c>
      <c r="L2189" s="754">
        <v>12</v>
      </c>
      <c r="M2189" s="736">
        <v>24144</v>
      </c>
      <c r="N2189" s="744"/>
      <c r="O2189" s="739"/>
      <c r="P2189" s="739"/>
      <c r="Q2189" s="214"/>
    </row>
    <row r="2190" spans="1:17" ht="12" customHeight="1" x14ac:dyDescent="0.2">
      <c r="A2190" s="735" t="s">
        <v>7733</v>
      </c>
      <c r="B2190" s="735" t="s">
        <v>2170</v>
      </c>
      <c r="C2190" s="735" t="s">
        <v>451</v>
      </c>
      <c r="D2190" s="644" t="s">
        <v>8037</v>
      </c>
      <c r="E2190" s="736">
        <v>2500</v>
      </c>
      <c r="F2190" s="737" t="s">
        <v>8038</v>
      </c>
      <c r="G2190" s="636" t="s">
        <v>8039</v>
      </c>
      <c r="H2190" s="636" t="s">
        <v>8040</v>
      </c>
      <c r="I2190" s="636" t="s">
        <v>7835</v>
      </c>
      <c r="J2190" s="644" t="s">
        <v>642</v>
      </c>
      <c r="K2190" s="753">
        <v>5</v>
      </c>
      <c r="L2190" s="754">
        <v>12</v>
      </c>
      <c r="M2190" s="736">
        <v>31960.799999999999</v>
      </c>
      <c r="N2190" s="744"/>
      <c r="O2190" s="739"/>
      <c r="P2190" s="739"/>
      <c r="Q2190" s="214"/>
    </row>
    <row r="2191" spans="1:17" ht="12" customHeight="1" x14ac:dyDescent="0.2">
      <c r="A2191" s="735" t="s">
        <v>7733</v>
      </c>
      <c r="B2191" s="735" t="s">
        <v>2170</v>
      </c>
      <c r="C2191" s="735" t="s">
        <v>451</v>
      </c>
      <c r="D2191" s="644" t="s">
        <v>8041</v>
      </c>
      <c r="E2191" s="736">
        <v>2000</v>
      </c>
      <c r="F2191" s="737" t="s">
        <v>8042</v>
      </c>
      <c r="G2191" s="636" t="s">
        <v>8043</v>
      </c>
      <c r="H2191" s="636" t="s">
        <v>8044</v>
      </c>
      <c r="I2191" s="636" t="s">
        <v>7874</v>
      </c>
      <c r="J2191" s="644" t="s">
        <v>644</v>
      </c>
      <c r="K2191" s="753">
        <v>12</v>
      </c>
      <c r="L2191" s="754">
        <v>12</v>
      </c>
      <c r="M2191" s="736">
        <v>25960.799999999999</v>
      </c>
      <c r="N2191" s="744"/>
      <c r="O2191" s="739"/>
      <c r="P2191" s="739"/>
      <c r="Q2191" s="214"/>
    </row>
    <row r="2192" spans="1:17" ht="12" customHeight="1" x14ac:dyDescent="0.2">
      <c r="A2192" s="735" t="s">
        <v>7733</v>
      </c>
      <c r="B2192" s="735" t="s">
        <v>2170</v>
      </c>
      <c r="C2192" s="735" t="s">
        <v>451</v>
      </c>
      <c r="D2192" s="644" t="s">
        <v>8045</v>
      </c>
      <c r="E2192" s="736">
        <v>3200</v>
      </c>
      <c r="F2192" s="737" t="s">
        <v>8046</v>
      </c>
      <c r="G2192" s="636" t="s">
        <v>8047</v>
      </c>
      <c r="H2192" s="636" t="s">
        <v>6633</v>
      </c>
      <c r="I2192" s="636" t="s">
        <v>4559</v>
      </c>
      <c r="J2192" s="644" t="s">
        <v>642</v>
      </c>
      <c r="K2192" s="753">
        <v>3</v>
      </c>
      <c r="L2192" s="754">
        <v>9</v>
      </c>
      <c r="M2192" s="736">
        <v>30760.799999999999</v>
      </c>
      <c r="N2192" s="744"/>
      <c r="O2192" s="739"/>
      <c r="P2192" s="739"/>
      <c r="Q2192" s="214"/>
    </row>
    <row r="2193" spans="1:17" ht="12" customHeight="1" x14ac:dyDescent="0.2">
      <c r="A2193" s="735" t="s">
        <v>7733</v>
      </c>
      <c r="B2193" s="735" t="s">
        <v>2170</v>
      </c>
      <c r="C2193" s="735" t="s">
        <v>451</v>
      </c>
      <c r="D2193" s="644" t="s">
        <v>7746</v>
      </c>
      <c r="E2193" s="736">
        <v>1700</v>
      </c>
      <c r="F2193" s="737" t="s">
        <v>8048</v>
      </c>
      <c r="G2193" s="636" t="s">
        <v>8049</v>
      </c>
      <c r="H2193" s="636"/>
      <c r="I2193" s="636"/>
      <c r="J2193" s="644" t="s">
        <v>643</v>
      </c>
      <c r="K2193" s="753">
        <v>12</v>
      </c>
      <c r="L2193" s="754">
        <v>12</v>
      </c>
      <c r="M2193" s="736">
        <v>32836</v>
      </c>
      <c r="N2193" s="744"/>
      <c r="O2193" s="739"/>
      <c r="P2193" s="739"/>
      <c r="Q2193" s="214"/>
    </row>
    <row r="2194" spans="1:17" ht="12" customHeight="1" x14ac:dyDescent="0.2">
      <c r="A2194" s="735" t="s">
        <v>7733</v>
      </c>
      <c r="B2194" s="735" t="s">
        <v>2170</v>
      </c>
      <c r="C2194" s="735" t="s">
        <v>451</v>
      </c>
      <c r="D2194" s="644" t="s">
        <v>7932</v>
      </c>
      <c r="E2194" s="736">
        <v>2500</v>
      </c>
      <c r="F2194" s="737" t="s">
        <v>8050</v>
      </c>
      <c r="G2194" s="636" t="s">
        <v>8051</v>
      </c>
      <c r="H2194" s="636" t="s">
        <v>7152</v>
      </c>
      <c r="I2194" s="636" t="s">
        <v>6536</v>
      </c>
      <c r="J2194" s="644" t="s">
        <v>643</v>
      </c>
      <c r="K2194" s="753">
        <v>12</v>
      </c>
      <c r="L2194" s="754">
        <v>12</v>
      </c>
      <c r="M2194" s="736">
        <v>31960.799999999999</v>
      </c>
      <c r="N2194" s="744"/>
      <c r="O2194" s="739"/>
      <c r="P2194" s="739"/>
      <c r="Q2194" s="214"/>
    </row>
    <row r="2195" spans="1:17" ht="12" customHeight="1" x14ac:dyDescent="0.2">
      <c r="A2195" s="735" t="s">
        <v>7733</v>
      </c>
      <c r="B2195" s="735" t="s">
        <v>2170</v>
      </c>
      <c r="C2195" s="735" t="s">
        <v>451</v>
      </c>
      <c r="D2195" s="644" t="s">
        <v>7932</v>
      </c>
      <c r="E2195" s="736">
        <v>2500</v>
      </c>
      <c r="F2195" s="737" t="s">
        <v>8052</v>
      </c>
      <c r="G2195" s="636" t="s">
        <v>8053</v>
      </c>
      <c r="H2195" s="636"/>
      <c r="I2195" s="636"/>
      <c r="J2195" s="644" t="s">
        <v>642</v>
      </c>
      <c r="K2195" s="753">
        <v>10</v>
      </c>
      <c r="L2195" s="754">
        <v>10</v>
      </c>
      <c r="M2195" s="736">
        <v>26960.799999999999</v>
      </c>
      <c r="N2195" s="744"/>
      <c r="O2195" s="739"/>
      <c r="P2195" s="739"/>
      <c r="Q2195" s="214"/>
    </row>
    <row r="2196" spans="1:17" ht="12" customHeight="1" x14ac:dyDescent="0.2">
      <c r="A2196" s="735" t="s">
        <v>7733</v>
      </c>
      <c r="B2196" s="735" t="s">
        <v>2170</v>
      </c>
      <c r="C2196" s="735" t="s">
        <v>451</v>
      </c>
      <c r="D2196" s="644" t="s">
        <v>6668</v>
      </c>
      <c r="E2196" s="736">
        <v>3500</v>
      </c>
      <c r="F2196" s="737" t="s">
        <v>8054</v>
      </c>
      <c r="G2196" s="636" t="s">
        <v>8055</v>
      </c>
      <c r="H2196" s="636" t="s">
        <v>8056</v>
      </c>
      <c r="I2196" s="636" t="s">
        <v>2174</v>
      </c>
      <c r="J2196" s="644" t="s">
        <v>642</v>
      </c>
      <c r="K2196" s="753">
        <v>12</v>
      </c>
      <c r="L2196" s="754">
        <v>12</v>
      </c>
      <c r="M2196" s="736">
        <v>43960.800000000003</v>
      </c>
      <c r="N2196" s="744"/>
      <c r="O2196" s="739"/>
      <c r="P2196" s="739"/>
      <c r="Q2196" s="214"/>
    </row>
    <row r="2197" spans="1:17" ht="12" customHeight="1" x14ac:dyDescent="0.2">
      <c r="A2197" s="735" t="s">
        <v>7733</v>
      </c>
      <c r="B2197" s="735" t="s">
        <v>2170</v>
      </c>
      <c r="C2197" s="735" t="s">
        <v>451</v>
      </c>
      <c r="D2197" s="644" t="s">
        <v>7901</v>
      </c>
      <c r="E2197" s="736">
        <v>2500</v>
      </c>
      <c r="F2197" s="737" t="s">
        <v>8057</v>
      </c>
      <c r="G2197" s="636" t="s">
        <v>8058</v>
      </c>
      <c r="H2197" s="636" t="s">
        <v>7782</v>
      </c>
      <c r="I2197" s="636" t="s">
        <v>7782</v>
      </c>
      <c r="J2197" s="644" t="s">
        <v>642</v>
      </c>
      <c r="K2197" s="753">
        <v>12</v>
      </c>
      <c r="L2197" s="754">
        <v>12</v>
      </c>
      <c r="M2197" s="736">
        <v>31960.799999999999</v>
      </c>
      <c r="N2197" s="744"/>
      <c r="O2197" s="739"/>
      <c r="P2197" s="739"/>
      <c r="Q2197" s="214"/>
    </row>
    <row r="2198" spans="1:17" ht="12" customHeight="1" x14ac:dyDescent="0.2">
      <c r="A2198" s="735" t="s">
        <v>7733</v>
      </c>
      <c r="B2198" s="735" t="s">
        <v>2170</v>
      </c>
      <c r="C2198" s="735" t="s">
        <v>451</v>
      </c>
      <c r="D2198" s="644" t="s">
        <v>2179</v>
      </c>
      <c r="E2198" s="736">
        <v>6000</v>
      </c>
      <c r="F2198" s="737" t="s">
        <v>8059</v>
      </c>
      <c r="G2198" s="636" t="s">
        <v>8060</v>
      </c>
      <c r="H2198" s="636" t="s">
        <v>7752</v>
      </c>
      <c r="I2198" s="636" t="s">
        <v>2179</v>
      </c>
      <c r="J2198" s="644" t="s">
        <v>642</v>
      </c>
      <c r="K2198" s="753">
        <v>8</v>
      </c>
      <c r="L2198" s="754">
        <v>12</v>
      </c>
      <c r="M2198" s="736">
        <v>73960.800000000003</v>
      </c>
      <c r="N2198" s="744"/>
      <c r="O2198" s="739"/>
      <c r="P2198" s="739"/>
      <c r="Q2198" s="214"/>
    </row>
    <row r="2199" spans="1:17" ht="12" customHeight="1" x14ac:dyDescent="0.2">
      <c r="A2199" s="735" t="s">
        <v>7733</v>
      </c>
      <c r="B2199" s="735" t="s">
        <v>2170</v>
      </c>
      <c r="C2199" s="735" t="s">
        <v>451</v>
      </c>
      <c r="D2199" s="644" t="s">
        <v>8061</v>
      </c>
      <c r="E2199" s="736">
        <v>4000</v>
      </c>
      <c r="F2199" s="737" t="s">
        <v>8062</v>
      </c>
      <c r="G2199" s="636" t="s">
        <v>8063</v>
      </c>
      <c r="H2199" s="636" t="s">
        <v>8064</v>
      </c>
      <c r="I2199" s="636" t="s">
        <v>8064</v>
      </c>
      <c r="J2199" s="644" t="s">
        <v>642</v>
      </c>
      <c r="K2199" s="753">
        <v>6</v>
      </c>
      <c r="L2199" s="754">
        <v>12</v>
      </c>
      <c r="M2199" s="736">
        <v>49960.800000000003</v>
      </c>
      <c r="N2199" s="744"/>
      <c r="O2199" s="739"/>
      <c r="P2199" s="739"/>
      <c r="Q2199" s="214"/>
    </row>
    <row r="2200" spans="1:17" ht="12" customHeight="1" x14ac:dyDescent="0.2">
      <c r="A2200" s="735" t="s">
        <v>7733</v>
      </c>
      <c r="B2200" s="735" t="s">
        <v>2170</v>
      </c>
      <c r="C2200" s="735" t="s">
        <v>451</v>
      </c>
      <c r="D2200" s="644" t="s">
        <v>2261</v>
      </c>
      <c r="E2200" s="736">
        <v>3000</v>
      </c>
      <c r="F2200" s="737" t="s">
        <v>8065</v>
      </c>
      <c r="G2200" s="636" t="s">
        <v>8066</v>
      </c>
      <c r="H2200" s="636" t="s">
        <v>8067</v>
      </c>
      <c r="I2200" s="636" t="s">
        <v>6668</v>
      </c>
      <c r="J2200" s="644" t="s">
        <v>644</v>
      </c>
      <c r="K2200" s="753">
        <v>5</v>
      </c>
      <c r="L2200" s="754">
        <v>12</v>
      </c>
      <c r="M2200" s="736">
        <v>37960.800000000003</v>
      </c>
      <c r="N2200" s="744"/>
      <c r="O2200" s="739"/>
      <c r="P2200" s="739"/>
      <c r="Q2200" s="214"/>
    </row>
    <row r="2201" spans="1:17" ht="12" customHeight="1" x14ac:dyDescent="0.2">
      <c r="A2201" s="735" t="s">
        <v>7733</v>
      </c>
      <c r="B2201" s="735" t="s">
        <v>2170</v>
      </c>
      <c r="C2201" s="735" t="s">
        <v>451</v>
      </c>
      <c r="D2201" s="644" t="s">
        <v>7932</v>
      </c>
      <c r="E2201" s="736">
        <v>2500</v>
      </c>
      <c r="F2201" s="737" t="s">
        <v>8068</v>
      </c>
      <c r="G2201" s="636" t="s">
        <v>8069</v>
      </c>
      <c r="H2201" s="636" t="s">
        <v>7782</v>
      </c>
      <c r="I2201" s="636" t="s">
        <v>7782</v>
      </c>
      <c r="J2201" s="644" t="s">
        <v>642</v>
      </c>
      <c r="K2201" s="753">
        <v>11</v>
      </c>
      <c r="L2201" s="754">
        <v>12</v>
      </c>
      <c r="M2201" s="736">
        <v>31960.799999999999</v>
      </c>
      <c r="N2201" s="744"/>
      <c r="O2201" s="739"/>
      <c r="P2201" s="739"/>
      <c r="Q2201" s="214"/>
    </row>
    <row r="2202" spans="1:17" ht="12" customHeight="1" x14ac:dyDescent="0.2">
      <c r="A2202" s="735" t="s">
        <v>7733</v>
      </c>
      <c r="B2202" s="735" t="s">
        <v>2170</v>
      </c>
      <c r="C2202" s="735" t="s">
        <v>451</v>
      </c>
      <c r="D2202" s="644" t="s">
        <v>8041</v>
      </c>
      <c r="E2202" s="736">
        <v>2000</v>
      </c>
      <c r="F2202" s="737" t="s">
        <v>8070</v>
      </c>
      <c r="G2202" s="636" t="s">
        <v>8071</v>
      </c>
      <c r="H2202" s="636"/>
      <c r="I2202" s="636"/>
      <c r="J2202" s="644" t="s">
        <v>644</v>
      </c>
      <c r="K2202" s="753">
        <v>10</v>
      </c>
      <c r="L2202" s="754">
        <v>10</v>
      </c>
      <c r="M2202" s="736">
        <v>21960.799999999999</v>
      </c>
      <c r="N2202" s="744"/>
      <c r="O2202" s="739"/>
      <c r="P2202" s="739"/>
      <c r="Q2202" s="214"/>
    </row>
    <row r="2203" spans="1:17" ht="12" customHeight="1" x14ac:dyDescent="0.2">
      <c r="A2203" s="735" t="s">
        <v>7733</v>
      </c>
      <c r="B2203" s="735" t="s">
        <v>2170</v>
      </c>
      <c r="C2203" s="735" t="s">
        <v>451</v>
      </c>
      <c r="D2203" s="644" t="s">
        <v>8072</v>
      </c>
      <c r="E2203" s="736">
        <v>4500</v>
      </c>
      <c r="F2203" s="737" t="s">
        <v>8073</v>
      </c>
      <c r="G2203" s="636" t="s">
        <v>8074</v>
      </c>
      <c r="H2203" s="636" t="s">
        <v>7772</v>
      </c>
      <c r="I2203" s="636" t="s">
        <v>8075</v>
      </c>
      <c r="J2203" s="644" t="s">
        <v>642</v>
      </c>
      <c r="K2203" s="753">
        <v>5</v>
      </c>
      <c r="L2203" s="754">
        <v>12</v>
      </c>
      <c r="M2203" s="736">
        <v>55960.800000000003</v>
      </c>
      <c r="N2203" s="744"/>
      <c r="O2203" s="739"/>
      <c r="P2203" s="739"/>
      <c r="Q2203" s="214"/>
    </row>
    <row r="2204" spans="1:17" ht="12" customHeight="1" x14ac:dyDescent="0.2">
      <c r="A2204" s="735" t="s">
        <v>7733</v>
      </c>
      <c r="B2204" s="735" t="s">
        <v>2170</v>
      </c>
      <c r="C2204" s="735" t="s">
        <v>451</v>
      </c>
      <c r="D2204" s="644" t="s">
        <v>3908</v>
      </c>
      <c r="E2204" s="736">
        <v>3000</v>
      </c>
      <c r="F2204" s="737" t="s">
        <v>8076</v>
      </c>
      <c r="G2204" s="636" t="s">
        <v>8077</v>
      </c>
      <c r="H2204" s="636"/>
      <c r="I2204" s="636"/>
      <c r="J2204" s="644" t="s">
        <v>644</v>
      </c>
      <c r="K2204" s="753">
        <v>6</v>
      </c>
      <c r="L2204" s="754">
        <v>11</v>
      </c>
      <c r="M2204" s="736">
        <v>34960.800000000003</v>
      </c>
      <c r="N2204" s="744"/>
      <c r="O2204" s="739"/>
      <c r="P2204" s="739"/>
      <c r="Q2204" s="214"/>
    </row>
    <row r="2205" spans="1:17" ht="12" customHeight="1" x14ac:dyDescent="0.2">
      <c r="A2205" s="735" t="s">
        <v>7733</v>
      </c>
      <c r="B2205" s="735" t="s">
        <v>2170</v>
      </c>
      <c r="C2205" s="735" t="s">
        <v>451</v>
      </c>
      <c r="D2205" s="644" t="s">
        <v>8078</v>
      </c>
      <c r="E2205" s="736">
        <v>2500</v>
      </c>
      <c r="F2205" s="737" t="s">
        <v>8079</v>
      </c>
      <c r="G2205" s="636" t="s">
        <v>8080</v>
      </c>
      <c r="H2205" s="636" t="s">
        <v>2228</v>
      </c>
      <c r="I2205" s="636" t="s">
        <v>2228</v>
      </c>
      <c r="J2205" s="644"/>
      <c r="K2205" s="753">
        <v>4</v>
      </c>
      <c r="L2205" s="754">
        <v>4</v>
      </c>
      <c r="M2205" s="736">
        <v>11960.8</v>
      </c>
      <c r="N2205" s="744"/>
      <c r="O2205" s="739"/>
      <c r="P2205" s="739"/>
      <c r="Q2205" s="214"/>
    </row>
    <row r="2206" spans="1:17" ht="12" customHeight="1" x14ac:dyDescent="0.2">
      <c r="A2206" s="735" t="s">
        <v>7733</v>
      </c>
      <c r="B2206" s="735" t="s">
        <v>2170</v>
      </c>
      <c r="C2206" s="735" t="s">
        <v>451</v>
      </c>
      <c r="D2206" s="644" t="s">
        <v>7843</v>
      </c>
      <c r="E2206" s="736">
        <v>4000</v>
      </c>
      <c r="F2206" s="737" t="s">
        <v>8081</v>
      </c>
      <c r="G2206" s="636" t="s">
        <v>8082</v>
      </c>
      <c r="H2206" s="636" t="s">
        <v>6571</v>
      </c>
      <c r="I2206" s="636" t="s">
        <v>2179</v>
      </c>
      <c r="J2206" s="644" t="s">
        <v>642</v>
      </c>
      <c r="K2206" s="753">
        <v>12</v>
      </c>
      <c r="L2206" s="754">
        <v>12</v>
      </c>
      <c r="M2206" s="736">
        <v>49960.800000000003</v>
      </c>
      <c r="N2206" s="744"/>
      <c r="O2206" s="739"/>
      <c r="P2206" s="739"/>
      <c r="Q2206" s="214"/>
    </row>
    <row r="2207" spans="1:17" ht="12" customHeight="1" x14ac:dyDescent="0.2">
      <c r="A2207" s="735" t="s">
        <v>7733</v>
      </c>
      <c r="B2207" s="735" t="s">
        <v>2170</v>
      </c>
      <c r="C2207" s="735" t="s">
        <v>451</v>
      </c>
      <c r="D2207" s="644" t="s">
        <v>5832</v>
      </c>
      <c r="E2207" s="736">
        <v>3500</v>
      </c>
      <c r="F2207" s="737" t="s">
        <v>8083</v>
      </c>
      <c r="G2207" s="636" t="s">
        <v>8084</v>
      </c>
      <c r="H2207" s="636" t="s">
        <v>6778</v>
      </c>
      <c r="I2207" s="636" t="s">
        <v>2174</v>
      </c>
      <c r="J2207" s="644" t="s">
        <v>643</v>
      </c>
      <c r="K2207" s="753">
        <v>5</v>
      </c>
      <c r="L2207" s="754">
        <v>12</v>
      </c>
      <c r="M2207" s="736">
        <v>43960.800000000003</v>
      </c>
      <c r="N2207" s="744"/>
      <c r="O2207" s="739"/>
      <c r="P2207" s="739"/>
      <c r="Q2207" s="214"/>
    </row>
    <row r="2208" spans="1:17" ht="12" customHeight="1" x14ac:dyDescent="0.2">
      <c r="A2208" s="735" t="s">
        <v>7733</v>
      </c>
      <c r="B2208" s="735" t="s">
        <v>2170</v>
      </c>
      <c r="C2208" s="735" t="s">
        <v>451</v>
      </c>
      <c r="D2208" s="644" t="s">
        <v>7746</v>
      </c>
      <c r="E2208" s="736">
        <v>2200</v>
      </c>
      <c r="F2208" s="737" t="s">
        <v>8085</v>
      </c>
      <c r="G2208" s="636" t="s">
        <v>8086</v>
      </c>
      <c r="H2208" s="636"/>
      <c r="I2208" s="636"/>
      <c r="J2208" s="644" t="s">
        <v>643</v>
      </c>
      <c r="K2208" s="753">
        <v>5</v>
      </c>
      <c r="L2208" s="754">
        <v>12</v>
      </c>
      <c r="M2208" s="736">
        <v>28360.799999999999</v>
      </c>
      <c r="N2208" s="744"/>
      <c r="O2208" s="739"/>
      <c r="P2208" s="739"/>
      <c r="Q2208" s="214"/>
    </row>
    <row r="2209" spans="1:17" ht="12" customHeight="1" x14ac:dyDescent="0.2">
      <c r="A2209" s="735" t="s">
        <v>7733</v>
      </c>
      <c r="B2209" s="735" t="s">
        <v>2170</v>
      </c>
      <c r="C2209" s="735" t="s">
        <v>451</v>
      </c>
      <c r="D2209" s="644" t="s">
        <v>7817</v>
      </c>
      <c r="E2209" s="736">
        <v>2500</v>
      </c>
      <c r="F2209" s="737" t="s">
        <v>8087</v>
      </c>
      <c r="G2209" s="636" t="s">
        <v>8088</v>
      </c>
      <c r="H2209" s="636" t="s">
        <v>8089</v>
      </c>
      <c r="I2209" s="636" t="s">
        <v>8090</v>
      </c>
      <c r="J2209" s="644" t="s">
        <v>643</v>
      </c>
      <c r="K2209" s="753">
        <v>12</v>
      </c>
      <c r="L2209" s="754">
        <v>12</v>
      </c>
      <c r="M2209" s="736">
        <v>31960.799999999999</v>
      </c>
      <c r="N2209" s="744"/>
      <c r="O2209" s="739"/>
      <c r="P2209" s="739"/>
      <c r="Q2209" s="214"/>
    </row>
    <row r="2210" spans="1:17" ht="12" customHeight="1" x14ac:dyDescent="0.2">
      <c r="A2210" s="735" t="s">
        <v>7733</v>
      </c>
      <c r="B2210" s="735" t="s">
        <v>2170</v>
      </c>
      <c r="C2210" s="735" t="s">
        <v>451</v>
      </c>
      <c r="D2210" s="644" t="s">
        <v>3057</v>
      </c>
      <c r="E2210" s="736">
        <v>2250</v>
      </c>
      <c r="F2210" s="737" t="s">
        <v>8091</v>
      </c>
      <c r="G2210" s="636" t="s">
        <v>8092</v>
      </c>
      <c r="H2210" s="636" t="s">
        <v>2228</v>
      </c>
      <c r="I2210" s="636" t="s">
        <v>2228</v>
      </c>
      <c r="J2210" s="644"/>
      <c r="K2210" s="753">
        <v>3</v>
      </c>
      <c r="L2210" s="754">
        <v>3</v>
      </c>
      <c r="M2210" s="736">
        <v>8710.7999999999993</v>
      </c>
      <c r="N2210" s="744"/>
      <c r="O2210" s="739"/>
      <c r="P2210" s="739"/>
      <c r="Q2210" s="214"/>
    </row>
    <row r="2211" spans="1:17" ht="12" customHeight="1" x14ac:dyDescent="0.2">
      <c r="A2211" s="735" t="s">
        <v>7733</v>
      </c>
      <c r="B2211" s="735" t="s">
        <v>2170</v>
      </c>
      <c r="C2211" s="735" t="s">
        <v>451</v>
      </c>
      <c r="D2211" s="644" t="s">
        <v>8093</v>
      </c>
      <c r="E2211" s="736">
        <v>1500</v>
      </c>
      <c r="F2211" s="737" t="s">
        <v>8094</v>
      </c>
      <c r="G2211" s="636" t="s">
        <v>8095</v>
      </c>
      <c r="H2211" s="636" t="s">
        <v>8096</v>
      </c>
      <c r="I2211" s="636" t="s">
        <v>4559</v>
      </c>
      <c r="J2211" s="644" t="s">
        <v>7991</v>
      </c>
      <c r="K2211" s="753">
        <v>1</v>
      </c>
      <c r="L2211" s="754">
        <v>3</v>
      </c>
      <c r="M2211" s="736">
        <v>6720</v>
      </c>
      <c r="N2211" s="744"/>
      <c r="O2211" s="739"/>
      <c r="P2211" s="739"/>
      <c r="Q2211" s="214"/>
    </row>
    <row r="2212" spans="1:17" ht="12" customHeight="1" x14ac:dyDescent="0.2">
      <c r="A2212" s="735" t="s">
        <v>7733</v>
      </c>
      <c r="B2212" s="735" t="s">
        <v>2170</v>
      </c>
      <c r="C2212" s="735" t="s">
        <v>451</v>
      </c>
      <c r="D2212" s="644" t="s">
        <v>8097</v>
      </c>
      <c r="E2212" s="736">
        <v>6000</v>
      </c>
      <c r="F2212" s="737" t="s">
        <v>8098</v>
      </c>
      <c r="G2212" s="636" t="s">
        <v>8099</v>
      </c>
      <c r="H2212" s="636" t="s">
        <v>6571</v>
      </c>
      <c r="I2212" s="636" t="s">
        <v>2569</v>
      </c>
      <c r="J2212" s="644" t="s">
        <v>642</v>
      </c>
      <c r="K2212" s="753">
        <v>12</v>
      </c>
      <c r="L2212" s="754">
        <v>12</v>
      </c>
      <c r="M2212" s="736">
        <v>73960.800000000003</v>
      </c>
      <c r="N2212" s="744"/>
      <c r="O2212" s="739"/>
      <c r="P2212" s="739"/>
      <c r="Q2212" s="214"/>
    </row>
    <row r="2213" spans="1:17" ht="12" customHeight="1" x14ac:dyDescent="0.2">
      <c r="A2213" s="735" t="s">
        <v>7733</v>
      </c>
      <c r="B2213" s="735" t="s">
        <v>2170</v>
      </c>
      <c r="C2213" s="735" t="s">
        <v>451</v>
      </c>
      <c r="D2213" s="644" t="s">
        <v>7897</v>
      </c>
      <c r="E2213" s="736">
        <v>3000</v>
      </c>
      <c r="F2213" s="737" t="s">
        <v>8100</v>
      </c>
      <c r="G2213" s="636" t="s">
        <v>8101</v>
      </c>
      <c r="H2213" s="636" t="s">
        <v>7782</v>
      </c>
      <c r="I2213" s="636" t="s">
        <v>2208</v>
      </c>
      <c r="J2213" s="644" t="s">
        <v>642</v>
      </c>
      <c r="K2213" s="753">
        <v>1</v>
      </c>
      <c r="L2213" s="754">
        <v>2</v>
      </c>
      <c r="M2213" s="736">
        <v>7960.8</v>
      </c>
      <c r="N2213" s="744"/>
      <c r="O2213" s="739"/>
      <c r="P2213" s="739"/>
      <c r="Q2213" s="214"/>
    </row>
    <row r="2214" spans="1:17" ht="12" customHeight="1" x14ac:dyDescent="0.2">
      <c r="A2214" s="735" t="s">
        <v>7733</v>
      </c>
      <c r="B2214" s="735" t="s">
        <v>2170</v>
      </c>
      <c r="C2214" s="735" t="s">
        <v>451</v>
      </c>
      <c r="D2214" s="644" t="s">
        <v>8102</v>
      </c>
      <c r="E2214" s="736">
        <v>3000</v>
      </c>
      <c r="F2214" s="737" t="s">
        <v>8103</v>
      </c>
      <c r="G2214" s="636" t="s">
        <v>8104</v>
      </c>
      <c r="H2214" s="636" t="s">
        <v>8105</v>
      </c>
      <c r="I2214" s="636" t="s">
        <v>8105</v>
      </c>
      <c r="J2214" s="644" t="s">
        <v>643</v>
      </c>
      <c r="K2214" s="753">
        <v>12</v>
      </c>
      <c r="L2214" s="754">
        <v>12</v>
      </c>
      <c r="M2214" s="736">
        <v>37960.800000000003</v>
      </c>
      <c r="N2214" s="744"/>
      <c r="O2214" s="739"/>
      <c r="P2214" s="739"/>
      <c r="Q2214" s="214"/>
    </row>
    <row r="2215" spans="1:17" ht="12" customHeight="1" x14ac:dyDescent="0.2">
      <c r="A2215" s="735" t="s">
        <v>7733</v>
      </c>
      <c r="B2215" s="735" t="s">
        <v>2170</v>
      </c>
      <c r="C2215" s="735" t="s">
        <v>451</v>
      </c>
      <c r="D2215" s="644" t="s">
        <v>7921</v>
      </c>
      <c r="E2215" s="736">
        <v>4000</v>
      </c>
      <c r="F2215" s="737" t="s">
        <v>8106</v>
      </c>
      <c r="G2215" s="636" t="s">
        <v>8107</v>
      </c>
      <c r="H2215" s="636" t="s">
        <v>7152</v>
      </c>
      <c r="I2215" s="636" t="s">
        <v>2317</v>
      </c>
      <c r="J2215" s="644" t="s">
        <v>642</v>
      </c>
      <c r="K2215" s="753">
        <v>12</v>
      </c>
      <c r="L2215" s="754">
        <v>12</v>
      </c>
      <c r="M2215" s="736">
        <v>49960.800000000003</v>
      </c>
      <c r="N2215" s="744"/>
      <c r="O2215" s="739"/>
      <c r="P2215" s="739"/>
      <c r="Q2215" s="214"/>
    </row>
    <row r="2216" spans="1:17" ht="12" customHeight="1" x14ac:dyDescent="0.2">
      <c r="A2216" s="735" t="s">
        <v>7733</v>
      </c>
      <c r="B2216" s="735" t="s">
        <v>2170</v>
      </c>
      <c r="C2216" s="735" t="s">
        <v>451</v>
      </c>
      <c r="D2216" s="644" t="s">
        <v>7901</v>
      </c>
      <c r="E2216" s="736">
        <v>2500</v>
      </c>
      <c r="F2216" s="737" t="s">
        <v>8108</v>
      </c>
      <c r="G2216" s="636" t="s">
        <v>8109</v>
      </c>
      <c r="H2216" s="636" t="s">
        <v>6625</v>
      </c>
      <c r="I2216" s="636" t="s">
        <v>8036</v>
      </c>
      <c r="J2216" s="644" t="s">
        <v>644</v>
      </c>
      <c r="K2216" s="753">
        <v>10</v>
      </c>
      <c r="L2216" s="754">
        <v>10</v>
      </c>
      <c r="M2216" s="736">
        <v>26960.799999999999</v>
      </c>
      <c r="N2216" s="744"/>
      <c r="O2216" s="739"/>
      <c r="P2216" s="739"/>
      <c r="Q2216" s="214"/>
    </row>
    <row r="2217" spans="1:17" ht="12" customHeight="1" x14ac:dyDescent="0.2">
      <c r="A2217" s="735" t="s">
        <v>7733</v>
      </c>
      <c r="B2217" s="735" t="s">
        <v>2170</v>
      </c>
      <c r="C2217" s="735" t="s">
        <v>451</v>
      </c>
      <c r="D2217" s="644" t="s">
        <v>2772</v>
      </c>
      <c r="E2217" s="736">
        <v>3500</v>
      </c>
      <c r="F2217" s="737" t="s">
        <v>8110</v>
      </c>
      <c r="G2217" s="636" t="s">
        <v>8111</v>
      </c>
      <c r="H2217" s="636" t="s">
        <v>6571</v>
      </c>
      <c r="I2217" s="636" t="s">
        <v>8036</v>
      </c>
      <c r="J2217" s="644" t="s">
        <v>642</v>
      </c>
      <c r="K2217" s="753">
        <v>12</v>
      </c>
      <c r="L2217" s="754">
        <v>12</v>
      </c>
      <c r="M2217" s="736">
        <v>43960.800000000003</v>
      </c>
      <c r="N2217" s="744"/>
      <c r="O2217" s="739"/>
      <c r="P2217" s="739"/>
      <c r="Q2217" s="214"/>
    </row>
    <row r="2218" spans="1:17" ht="12" customHeight="1" x14ac:dyDescent="0.2">
      <c r="A2218" s="735" t="s">
        <v>7733</v>
      </c>
      <c r="B2218" s="735" t="s">
        <v>2170</v>
      </c>
      <c r="C2218" s="735" t="s">
        <v>451</v>
      </c>
      <c r="D2218" s="644" t="s">
        <v>2261</v>
      </c>
      <c r="E2218" s="736">
        <v>3000</v>
      </c>
      <c r="F2218" s="737" t="s">
        <v>8112</v>
      </c>
      <c r="G2218" s="636" t="s">
        <v>8113</v>
      </c>
      <c r="H2218" s="636" t="s">
        <v>2745</v>
      </c>
      <c r="I2218" s="636" t="s">
        <v>8036</v>
      </c>
      <c r="J2218" s="644" t="s">
        <v>643</v>
      </c>
      <c r="K2218" s="753">
        <v>6</v>
      </c>
      <c r="L2218" s="754">
        <v>12</v>
      </c>
      <c r="M2218" s="736">
        <v>37960.800000000003</v>
      </c>
      <c r="N2218" s="744"/>
      <c r="O2218" s="739"/>
      <c r="P2218" s="739"/>
      <c r="Q2218" s="214"/>
    </row>
    <row r="2219" spans="1:17" ht="12" customHeight="1" x14ac:dyDescent="0.2">
      <c r="A2219" s="735" t="s">
        <v>7733</v>
      </c>
      <c r="B2219" s="735" t="s">
        <v>2170</v>
      </c>
      <c r="C2219" s="735" t="s">
        <v>451</v>
      </c>
      <c r="D2219" s="644" t="s">
        <v>8114</v>
      </c>
      <c r="E2219" s="736">
        <v>3800</v>
      </c>
      <c r="F2219" s="737" t="s">
        <v>8115</v>
      </c>
      <c r="G2219" s="636" t="s">
        <v>8116</v>
      </c>
      <c r="H2219" s="636" t="s">
        <v>2228</v>
      </c>
      <c r="I2219" s="636" t="s">
        <v>2228</v>
      </c>
      <c r="J2219" s="644"/>
      <c r="K2219" s="753">
        <v>1</v>
      </c>
      <c r="L2219" s="754">
        <v>6</v>
      </c>
      <c r="M2219" s="736">
        <v>24760.799999999999</v>
      </c>
      <c r="N2219" s="744"/>
      <c r="O2219" s="739"/>
      <c r="P2219" s="739"/>
      <c r="Q2219" s="214"/>
    </row>
    <row r="2220" spans="1:17" ht="12" customHeight="1" x14ac:dyDescent="0.2">
      <c r="A2220" s="735" t="s">
        <v>7733</v>
      </c>
      <c r="B2220" s="735" t="s">
        <v>2170</v>
      </c>
      <c r="C2220" s="735" t="s">
        <v>451</v>
      </c>
      <c r="D2220" s="644" t="s">
        <v>8117</v>
      </c>
      <c r="E2220" s="736">
        <v>2300</v>
      </c>
      <c r="F2220" s="737" t="s">
        <v>8118</v>
      </c>
      <c r="G2220" s="636" t="s">
        <v>8119</v>
      </c>
      <c r="H2220" s="636" t="s">
        <v>3915</v>
      </c>
      <c r="I2220" s="636" t="s">
        <v>6668</v>
      </c>
      <c r="J2220" s="644" t="s">
        <v>642</v>
      </c>
      <c r="K2220" s="753">
        <v>1</v>
      </c>
      <c r="L2220" s="754">
        <v>2</v>
      </c>
      <c r="M2220" s="736">
        <v>6560.8</v>
      </c>
      <c r="N2220" s="744"/>
      <c r="O2220" s="739"/>
      <c r="P2220" s="739"/>
      <c r="Q2220" s="214"/>
    </row>
    <row r="2221" spans="1:17" ht="12" customHeight="1" x14ac:dyDescent="0.2">
      <c r="A2221" s="735" t="s">
        <v>7733</v>
      </c>
      <c r="B2221" s="735" t="s">
        <v>2170</v>
      </c>
      <c r="C2221" s="735" t="s">
        <v>451</v>
      </c>
      <c r="D2221" s="644" t="s">
        <v>7954</v>
      </c>
      <c r="E2221" s="736">
        <v>4000</v>
      </c>
      <c r="F2221" s="737" t="s">
        <v>8120</v>
      </c>
      <c r="G2221" s="636" t="s">
        <v>8121</v>
      </c>
      <c r="H2221" s="636" t="s">
        <v>6571</v>
      </c>
      <c r="I2221" s="636" t="s">
        <v>2179</v>
      </c>
      <c r="J2221" s="644" t="s">
        <v>642</v>
      </c>
      <c r="K2221" s="753">
        <v>5</v>
      </c>
      <c r="L2221" s="754">
        <v>12</v>
      </c>
      <c r="M2221" s="736">
        <v>49960.800000000003</v>
      </c>
      <c r="N2221" s="744"/>
      <c r="O2221" s="739"/>
      <c r="P2221" s="739"/>
      <c r="Q2221" s="214"/>
    </row>
    <row r="2222" spans="1:17" ht="12" customHeight="1" x14ac:dyDescent="0.2">
      <c r="A2222" s="735" t="s">
        <v>7733</v>
      </c>
      <c r="B2222" s="735" t="s">
        <v>2170</v>
      </c>
      <c r="C2222" s="735" t="s">
        <v>451</v>
      </c>
      <c r="D2222" s="644" t="s">
        <v>8122</v>
      </c>
      <c r="E2222" s="736">
        <v>4500</v>
      </c>
      <c r="F2222" s="737" t="s">
        <v>8123</v>
      </c>
      <c r="G2222" s="636" t="s">
        <v>8124</v>
      </c>
      <c r="H2222" s="636" t="s">
        <v>6778</v>
      </c>
      <c r="I2222" s="636" t="s">
        <v>2174</v>
      </c>
      <c r="J2222" s="644" t="s">
        <v>642</v>
      </c>
      <c r="K2222" s="753">
        <v>5</v>
      </c>
      <c r="L2222" s="754">
        <v>12</v>
      </c>
      <c r="M2222" s="736">
        <v>55960.800000000003</v>
      </c>
      <c r="N2222" s="744"/>
      <c r="O2222" s="739"/>
      <c r="P2222" s="739"/>
      <c r="Q2222" s="214"/>
    </row>
    <row r="2223" spans="1:17" ht="12" customHeight="1" x14ac:dyDescent="0.2">
      <c r="A2223" s="735" t="s">
        <v>7733</v>
      </c>
      <c r="B2223" s="735" t="s">
        <v>2170</v>
      </c>
      <c r="C2223" s="735" t="s">
        <v>451</v>
      </c>
      <c r="D2223" s="644" t="s">
        <v>8125</v>
      </c>
      <c r="E2223" s="736">
        <v>3500</v>
      </c>
      <c r="F2223" s="737" t="s">
        <v>8126</v>
      </c>
      <c r="G2223" s="636" t="s">
        <v>8127</v>
      </c>
      <c r="H2223" s="636" t="s">
        <v>7752</v>
      </c>
      <c r="I2223" s="636" t="s">
        <v>2569</v>
      </c>
      <c r="J2223" s="644" t="s">
        <v>642</v>
      </c>
      <c r="K2223" s="753">
        <v>5</v>
      </c>
      <c r="L2223" s="754">
        <v>12</v>
      </c>
      <c r="M2223" s="736">
        <v>43960.800000000003</v>
      </c>
      <c r="N2223" s="744"/>
      <c r="O2223" s="739"/>
      <c r="P2223" s="739"/>
      <c r="Q2223" s="214"/>
    </row>
    <row r="2224" spans="1:17" ht="12" customHeight="1" x14ac:dyDescent="0.2">
      <c r="A2224" s="735" t="s">
        <v>7733</v>
      </c>
      <c r="B2224" s="735" t="s">
        <v>2170</v>
      </c>
      <c r="C2224" s="735" t="s">
        <v>451</v>
      </c>
      <c r="D2224" s="644" t="s">
        <v>7904</v>
      </c>
      <c r="E2224" s="736">
        <v>1800</v>
      </c>
      <c r="F2224" s="737" t="s">
        <v>8128</v>
      </c>
      <c r="G2224" s="636" t="s">
        <v>8129</v>
      </c>
      <c r="H2224" s="636" t="s">
        <v>2228</v>
      </c>
      <c r="I2224" s="636" t="s">
        <v>2228</v>
      </c>
      <c r="J2224" s="644"/>
      <c r="K2224" s="753">
        <v>3</v>
      </c>
      <c r="L2224" s="754">
        <v>3</v>
      </c>
      <c r="M2224" s="736">
        <v>7944</v>
      </c>
      <c r="N2224" s="744"/>
      <c r="O2224" s="739"/>
      <c r="P2224" s="739"/>
      <c r="Q2224" s="214"/>
    </row>
    <row r="2225" spans="1:17" ht="12" customHeight="1" x14ac:dyDescent="0.2">
      <c r="A2225" s="735" t="s">
        <v>7733</v>
      </c>
      <c r="B2225" s="735" t="s">
        <v>2170</v>
      </c>
      <c r="C2225" s="735" t="s">
        <v>451</v>
      </c>
      <c r="D2225" s="644" t="s">
        <v>2560</v>
      </c>
      <c r="E2225" s="736">
        <v>2500</v>
      </c>
      <c r="F2225" s="737" t="s">
        <v>8130</v>
      </c>
      <c r="G2225" s="636" t="s">
        <v>8131</v>
      </c>
      <c r="H2225" s="636"/>
      <c r="I2225" s="636"/>
      <c r="J2225" s="644" t="s">
        <v>642</v>
      </c>
      <c r="K2225" s="753">
        <v>5</v>
      </c>
      <c r="L2225" s="754">
        <v>12</v>
      </c>
      <c r="M2225" s="736">
        <v>31960.799999999999</v>
      </c>
      <c r="N2225" s="744"/>
      <c r="O2225" s="739"/>
      <c r="P2225" s="739"/>
      <c r="Q2225" s="214"/>
    </row>
    <row r="2226" spans="1:17" ht="12" customHeight="1" x14ac:dyDescent="0.2">
      <c r="A2226" s="735" t="s">
        <v>7733</v>
      </c>
      <c r="B2226" s="735" t="s">
        <v>2170</v>
      </c>
      <c r="C2226" s="735" t="s">
        <v>451</v>
      </c>
      <c r="D2226" s="644" t="s">
        <v>8132</v>
      </c>
      <c r="E2226" s="736">
        <v>4000</v>
      </c>
      <c r="F2226" s="737" t="s">
        <v>8133</v>
      </c>
      <c r="G2226" s="636" t="s">
        <v>8134</v>
      </c>
      <c r="H2226" s="636" t="s">
        <v>8135</v>
      </c>
      <c r="I2226" s="636" t="s">
        <v>7835</v>
      </c>
      <c r="J2226" s="644" t="s">
        <v>642</v>
      </c>
      <c r="K2226" s="753">
        <v>12</v>
      </c>
      <c r="L2226" s="754">
        <v>12</v>
      </c>
      <c r="M2226" s="736">
        <v>49960.800000000003</v>
      </c>
      <c r="N2226" s="744"/>
      <c r="O2226" s="739"/>
      <c r="P2226" s="739"/>
      <c r="Q2226" s="214"/>
    </row>
    <row r="2227" spans="1:17" ht="12" customHeight="1" x14ac:dyDescent="0.2">
      <c r="A2227" s="735" t="s">
        <v>7733</v>
      </c>
      <c r="B2227" s="735" t="s">
        <v>2170</v>
      </c>
      <c r="C2227" s="735" t="s">
        <v>451</v>
      </c>
      <c r="D2227" s="644" t="s">
        <v>7838</v>
      </c>
      <c r="E2227" s="736">
        <v>2500</v>
      </c>
      <c r="F2227" s="737" t="s">
        <v>8136</v>
      </c>
      <c r="G2227" s="636" t="s">
        <v>8137</v>
      </c>
      <c r="H2227" s="636"/>
      <c r="I2227" s="636"/>
      <c r="J2227" s="644" t="s">
        <v>642</v>
      </c>
      <c r="K2227" s="753">
        <v>12</v>
      </c>
      <c r="L2227" s="754">
        <v>12</v>
      </c>
      <c r="M2227" s="736">
        <v>31960.799999999999</v>
      </c>
      <c r="N2227" s="744"/>
      <c r="O2227" s="739"/>
      <c r="P2227" s="739"/>
      <c r="Q2227" s="214"/>
    </row>
    <row r="2228" spans="1:17" ht="12" customHeight="1" x14ac:dyDescent="0.2">
      <c r="A2228" s="735" t="s">
        <v>7733</v>
      </c>
      <c r="B2228" s="735" t="s">
        <v>2170</v>
      </c>
      <c r="C2228" s="735" t="s">
        <v>451</v>
      </c>
      <c r="D2228" s="644" t="s">
        <v>2560</v>
      </c>
      <c r="E2228" s="736">
        <v>2500</v>
      </c>
      <c r="F2228" s="737" t="s">
        <v>8138</v>
      </c>
      <c r="G2228" s="636" t="s">
        <v>8139</v>
      </c>
      <c r="H2228" s="636" t="s">
        <v>8140</v>
      </c>
      <c r="I2228" s="636" t="s">
        <v>8036</v>
      </c>
      <c r="J2228" s="644" t="s">
        <v>643</v>
      </c>
      <c r="K2228" s="753">
        <v>5</v>
      </c>
      <c r="L2228" s="754">
        <v>12</v>
      </c>
      <c r="M2228" s="736">
        <v>31960.799999999999</v>
      </c>
      <c r="N2228" s="744"/>
      <c r="O2228" s="739"/>
      <c r="P2228" s="739"/>
      <c r="Q2228" s="214"/>
    </row>
    <row r="2229" spans="1:17" ht="12" customHeight="1" x14ac:dyDescent="0.2">
      <c r="A2229" s="735" t="s">
        <v>7733</v>
      </c>
      <c r="B2229" s="735" t="s">
        <v>2170</v>
      </c>
      <c r="C2229" s="735" t="s">
        <v>451</v>
      </c>
      <c r="D2229" s="644" t="s">
        <v>7855</v>
      </c>
      <c r="E2229" s="736">
        <v>1800</v>
      </c>
      <c r="F2229" s="737" t="s">
        <v>8141</v>
      </c>
      <c r="G2229" s="636" t="s">
        <v>8142</v>
      </c>
      <c r="H2229" s="636" t="s">
        <v>8143</v>
      </c>
      <c r="I2229" s="636" t="s">
        <v>8004</v>
      </c>
      <c r="J2229" s="644" t="s">
        <v>644</v>
      </c>
      <c r="K2229" s="753">
        <v>12</v>
      </c>
      <c r="L2229" s="754">
        <v>12</v>
      </c>
      <c r="M2229" s="736">
        <v>34144</v>
      </c>
      <c r="N2229" s="744"/>
      <c r="O2229" s="739"/>
      <c r="P2229" s="739"/>
      <c r="Q2229" s="214"/>
    </row>
    <row r="2230" spans="1:17" ht="12" customHeight="1" x14ac:dyDescent="0.2">
      <c r="A2230" s="735" t="s">
        <v>7733</v>
      </c>
      <c r="B2230" s="735" t="s">
        <v>2170</v>
      </c>
      <c r="C2230" s="735" t="s">
        <v>451</v>
      </c>
      <c r="D2230" s="644" t="s">
        <v>8144</v>
      </c>
      <c r="E2230" s="736">
        <v>2000</v>
      </c>
      <c r="F2230" s="737" t="s">
        <v>8145</v>
      </c>
      <c r="G2230" s="636" t="s">
        <v>8146</v>
      </c>
      <c r="H2230" s="636" t="s">
        <v>7152</v>
      </c>
      <c r="I2230" s="636" t="s">
        <v>4884</v>
      </c>
      <c r="J2230" s="644" t="s">
        <v>643</v>
      </c>
      <c r="K2230" s="753">
        <v>12</v>
      </c>
      <c r="L2230" s="754">
        <v>12</v>
      </c>
      <c r="M2230" s="736">
        <v>25960.799999999999</v>
      </c>
      <c r="N2230" s="744"/>
      <c r="O2230" s="739"/>
      <c r="P2230" s="739"/>
      <c r="Q2230" s="214"/>
    </row>
    <row r="2231" spans="1:17" ht="12" customHeight="1" x14ac:dyDescent="0.2">
      <c r="A2231" s="735" t="s">
        <v>7733</v>
      </c>
      <c r="B2231" s="735" t="s">
        <v>2170</v>
      </c>
      <c r="C2231" s="735" t="s">
        <v>451</v>
      </c>
      <c r="D2231" s="644" t="s">
        <v>7779</v>
      </c>
      <c r="E2231" s="736">
        <v>4000</v>
      </c>
      <c r="F2231" s="737" t="s">
        <v>8147</v>
      </c>
      <c r="G2231" s="636" t="s">
        <v>8148</v>
      </c>
      <c r="H2231" s="636" t="s">
        <v>7152</v>
      </c>
      <c r="I2231" s="636" t="s">
        <v>2317</v>
      </c>
      <c r="J2231" s="644" t="s">
        <v>642</v>
      </c>
      <c r="K2231" s="753">
        <v>12</v>
      </c>
      <c r="L2231" s="754">
        <v>12</v>
      </c>
      <c r="M2231" s="736">
        <v>49960.800000000003</v>
      </c>
      <c r="N2231" s="744"/>
      <c r="O2231" s="739"/>
      <c r="P2231" s="739"/>
      <c r="Q2231" s="214"/>
    </row>
    <row r="2232" spans="1:17" ht="12" customHeight="1" x14ac:dyDescent="0.2">
      <c r="A2232" s="735" t="s">
        <v>7733</v>
      </c>
      <c r="B2232" s="735" t="s">
        <v>2170</v>
      </c>
      <c r="C2232" s="735" t="s">
        <v>451</v>
      </c>
      <c r="D2232" s="644" t="s">
        <v>8149</v>
      </c>
      <c r="E2232" s="736">
        <v>2300</v>
      </c>
      <c r="F2232" s="737" t="s">
        <v>8150</v>
      </c>
      <c r="G2232" s="636" t="s">
        <v>8151</v>
      </c>
      <c r="H2232" s="636" t="s">
        <v>8135</v>
      </c>
      <c r="I2232" s="636" t="s">
        <v>8152</v>
      </c>
      <c r="J2232" s="644" t="s">
        <v>642</v>
      </c>
      <c r="K2232" s="753">
        <v>1</v>
      </c>
      <c r="L2232" s="754">
        <v>3</v>
      </c>
      <c r="M2232" s="736">
        <v>10860.8</v>
      </c>
      <c r="N2232" s="744"/>
      <c r="O2232" s="739"/>
      <c r="P2232" s="739"/>
      <c r="Q2232" s="214"/>
    </row>
    <row r="2233" spans="1:17" ht="12" customHeight="1" x14ac:dyDescent="0.2">
      <c r="A2233" s="735" t="s">
        <v>7733</v>
      </c>
      <c r="B2233" s="735" t="s">
        <v>2170</v>
      </c>
      <c r="C2233" s="735" t="s">
        <v>451</v>
      </c>
      <c r="D2233" s="644" t="s">
        <v>7901</v>
      </c>
      <c r="E2233" s="736">
        <v>2500</v>
      </c>
      <c r="F2233" s="737" t="s">
        <v>8153</v>
      </c>
      <c r="G2233" s="636" t="s">
        <v>8154</v>
      </c>
      <c r="H2233" s="636" t="s">
        <v>6571</v>
      </c>
      <c r="I2233" s="636" t="s">
        <v>2179</v>
      </c>
      <c r="J2233" s="644" t="s">
        <v>642</v>
      </c>
      <c r="K2233" s="753">
        <v>1</v>
      </c>
      <c r="L2233" s="754">
        <v>1</v>
      </c>
      <c r="M2233" s="736">
        <v>4460.8</v>
      </c>
      <c r="N2233" s="744"/>
      <c r="O2233" s="739"/>
      <c r="P2233" s="739"/>
      <c r="Q2233" s="214"/>
    </row>
    <row r="2234" spans="1:17" ht="12" customHeight="1" x14ac:dyDescent="0.2">
      <c r="A2234" s="735" t="s">
        <v>7733</v>
      </c>
      <c r="B2234" s="735" t="s">
        <v>2170</v>
      </c>
      <c r="C2234" s="735" t="s">
        <v>451</v>
      </c>
      <c r="D2234" s="644" t="s">
        <v>8155</v>
      </c>
      <c r="E2234" s="736">
        <v>5000</v>
      </c>
      <c r="F2234" s="737" t="s">
        <v>8156</v>
      </c>
      <c r="G2234" s="636" t="s">
        <v>8157</v>
      </c>
      <c r="H2234" s="636"/>
      <c r="I2234" s="636"/>
      <c r="J2234" s="644" t="s">
        <v>642</v>
      </c>
      <c r="K2234" s="753">
        <v>4</v>
      </c>
      <c r="L2234" s="754">
        <v>6</v>
      </c>
      <c r="M2234" s="736">
        <v>31960.799999999999</v>
      </c>
      <c r="N2234" s="744"/>
      <c r="O2234" s="739"/>
      <c r="P2234" s="739"/>
      <c r="Q2234" s="214"/>
    </row>
    <row r="2235" spans="1:17" ht="12" customHeight="1" x14ac:dyDescent="0.2">
      <c r="A2235" s="735" t="s">
        <v>7733</v>
      </c>
      <c r="B2235" s="735" t="s">
        <v>2170</v>
      </c>
      <c r="C2235" s="735" t="s">
        <v>451</v>
      </c>
      <c r="D2235" s="644" t="s">
        <v>8158</v>
      </c>
      <c r="E2235" s="736">
        <v>2000</v>
      </c>
      <c r="F2235" s="737" t="s">
        <v>8159</v>
      </c>
      <c r="G2235" s="636" t="s">
        <v>8160</v>
      </c>
      <c r="H2235" s="636"/>
      <c r="I2235" s="636"/>
      <c r="J2235" s="644" t="s">
        <v>643</v>
      </c>
      <c r="K2235" s="753">
        <v>7</v>
      </c>
      <c r="L2235" s="754">
        <v>12</v>
      </c>
      <c r="M2235" s="736">
        <v>25960.799999999999</v>
      </c>
      <c r="N2235" s="744"/>
      <c r="O2235" s="739"/>
      <c r="P2235" s="739"/>
      <c r="Q2235" s="214"/>
    </row>
    <row r="2236" spans="1:17" ht="12" customHeight="1" x14ac:dyDescent="0.2">
      <c r="A2236" s="735" t="s">
        <v>7733</v>
      </c>
      <c r="B2236" s="735" t="s">
        <v>2170</v>
      </c>
      <c r="C2236" s="735" t="s">
        <v>451</v>
      </c>
      <c r="D2236" s="644" t="s">
        <v>2208</v>
      </c>
      <c r="E2236" s="736">
        <v>3000</v>
      </c>
      <c r="F2236" s="737" t="s">
        <v>8161</v>
      </c>
      <c r="G2236" s="636" t="s">
        <v>8162</v>
      </c>
      <c r="H2236" s="636" t="s">
        <v>7782</v>
      </c>
      <c r="I2236" s="636" t="s">
        <v>2208</v>
      </c>
      <c r="J2236" s="644" t="s">
        <v>642</v>
      </c>
      <c r="K2236" s="753">
        <v>12</v>
      </c>
      <c r="L2236" s="754">
        <v>12</v>
      </c>
      <c r="M2236" s="736">
        <v>37960.800000000003</v>
      </c>
      <c r="N2236" s="744"/>
      <c r="O2236" s="739"/>
      <c r="P2236" s="739"/>
      <c r="Q2236" s="214"/>
    </row>
    <row r="2237" spans="1:17" ht="12" customHeight="1" x14ac:dyDescent="0.2">
      <c r="A2237" s="735" t="s">
        <v>7733</v>
      </c>
      <c r="B2237" s="735" t="s">
        <v>2170</v>
      </c>
      <c r="C2237" s="735" t="s">
        <v>451</v>
      </c>
      <c r="D2237" s="644" t="s">
        <v>7746</v>
      </c>
      <c r="E2237" s="736">
        <v>1700</v>
      </c>
      <c r="F2237" s="737" t="s">
        <v>8163</v>
      </c>
      <c r="G2237" s="636" t="s">
        <v>8164</v>
      </c>
      <c r="H2237" s="636"/>
      <c r="I2237" s="636"/>
      <c r="J2237" s="644" t="s">
        <v>643</v>
      </c>
      <c r="K2237" s="753">
        <v>12</v>
      </c>
      <c r="L2237" s="754">
        <v>12</v>
      </c>
      <c r="M2237" s="736">
        <v>22836</v>
      </c>
      <c r="N2237" s="744"/>
      <c r="O2237" s="739"/>
      <c r="P2237" s="739"/>
      <c r="Q2237" s="214"/>
    </row>
    <row r="2238" spans="1:17" ht="12" customHeight="1" x14ac:dyDescent="0.2">
      <c r="A2238" s="735" t="s">
        <v>7733</v>
      </c>
      <c r="B2238" s="735" t="s">
        <v>2170</v>
      </c>
      <c r="C2238" s="735" t="s">
        <v>451</v>
      </c>
      <c r="D2238" s="644" t="s">
        <v>8165</v>
      </c>
      <c r="E2238" s="736">
        <v>3500</v>
      </c>
      <c r="F2238" s="737" t="s">
        <v>8166</v>
      </c>
      <c r="G2238" s="636" t="s">
        <v>8167</v>
      </c>
      <c r="H2238" s="636" t="s">
        <v>7834</v>
      </c>
      <c r="I2238" s="636" t="s">
        <v>7835</v>
      </c>
      <c r="J2238" s="644" t="s">
        <v>642</v>
      </c>
      <c r="K2238" s="753">
        <v>12</v>
      </c>
      <c r="L2238" s="754">
        <v>12</v>
      </c>
      <c r="M2238" s="736">
        <v>43960.800000000003</v>
      </c>
      <c r="N2238" s="744"/>
      <c r="O2238" s="739"/>
      <c r="P2238" s="739"/>
      <c r="Q2238" s="214"/>
    </row>
    <row r="2239" spans="1:17" ht="12" customHeight="1" x14ac:dyDescent="0.2">
      <c r="A2239" s="735" t="s">
        <v>7733</v>
      </c>
      <c r="B2239" s="735" t="s">
        <v>2170</v>
      </c>
      <c r="C2239" s="735" t="s">
        <v>451</v>
      </c>
      <c r="D2239" s="644" t="s">
        <v>8168</v>
      </c>
      <c r="E2239" s="736">
        <v>4500</v>
      </c>
      <c r="F2239" s="737" t="s">
        <v>8169</v>
      </c>
      <c r="G2239" s="636" t="s">
        <v>8170</v>
      </c>
      <c r="H2239" s="636" t="s">
        <v>8171</v>
      </c>
      <c r="I2239" s="636" t="s">
        <v>2543</v>
      </c>
      <c r="J2239" s="644" t="s">
        <v>642</v>
      </c>
      <c r="K2239" s="753">
        <v>4</v>
      </c>
      <c r="L2239" s="754">
        <v>12</v>
      </c>
      <c r="M2239" s="736">
        <v>55960.800000000003</v>
      </c>
      <c r="N2239" s="744"/>
      <c r="O2239" s="739"/>
      <c r="P2239" s="739"/>
      <c r="Q2239" s="214"/>
    </row>
    <row r="2240" spans="1:17" ht="12" customHeight="1" x14ac:dyDescent="0.2">
      <c r="A2240" s="735" t="s">
        <v>7733</v>
      </c>
      <c r="B2240" s="735" t="s">
        <v>2170</v>
      </c>
      <c r="C2240" s="735" t="s">
        <v>451</v>
      </c>
      <c r="D2240" s="644" t="s">
        <v>8172</v>
      </c>
      <c r="E2240" s="736">
        <v>3500</v>
      </c>
      <c r="F2240" s="737" t="s">
        <v>8173</v>
      </c>
      <c r="G2240" s="636" t="s">
        <v>8174</v>
      </c>
      <c r="H2240" s="636"/>
      <c r="I2240" s="636"/>
      <c r="J2240" s="644" t="s">
        <v>642</v>
      </c>
      <c r="K2240" s="753">
        <v>12</v>
      </c>
      <c r="L2240" s="754">
        <v>12</v>
      </c>
      <c r="M2240" s="736">
        <v>43960.800000000003</v>
      </c>
      <c r="N2240" s="744"/>
      <c r="O2240" s="739"/>
      <c r="P2240" s="739"/>
      <c r="Q2240" s="214"/>
    </row>
    <row r="2241" spans="1:17" ht="12" customHeight="1" x14ac:dyDescent="0.2">
      <c r="A2241" s="735" t="s">
        <v>7733</v>
      </c>
      <c r="B2241" s="735" t="s">
        <v>2170</v>
      </c>
      <c r="C2241" s="735" t="s">
        <v>451</v>
      </c>
      <c r="D2241" s="644" t="s">
        <v>7932</v>
      </c>
      <c r="E2241" s="736">
        <v>3000</v>
      </c>
      <c r="F2241" s="737" t="s">
        <v>8175</v>
      </c>
      <c r="G2241" s="636" t="s">
        <v>8176</v>
      </c>
      <c r="H2241" s="636" t="s">
        <v>8000</v>
      </c>
      <c r="I2241" s="636"/>
      <c r="J2241" s="644" t="s">
        <v>642</v>
      </c>
      <c r="K2241" s="753">
        <v>12</v>
      </c>
      <c r="L2241" s="754">
        <v>12</v>
      </c>
      <c r="M2241" s="736">
        <v>37960.800000000003</v>
      </c>
      <c r="N2241" s="744"/>
      <c r="O2241" s="739"/>
      <c r="P2241" s="739"/>
      <c r="Q2241" s="214"/>
    </row>
    <row r="2242" spans="1:17" ht="12" customHeight="1" x14ac:dyDescent="0.2">
      <c r="A2242" s="735" t="s">
        <v>7733</v>
      </c>
      <c r="B2242" s="735" t="s">
        <v>2170</v>
      </c>
      <c r="C2242" s="735" t="s">
        <v>451</v>
      </c>
      <c r="D2242" s="644" t="s">
        <v>8177</v>
      </c>
      <c r="E2242" s="736">
        <v>7000</v>
      </c>
      <c r="F2242" s="737" t="s">
        <v>8178</v>
      </c>
      <c r="G2242" s="636" t="s">
        <v>8179</v>
      </c>
      <c r="H2242" s="636" t="s">
        <v>2228</v>
      </c>
      <c r="I2242" s="636" t="s">
        <v>2228</v>
      </c>
      <c r="J2242" s="644"/>
      <c r="K2242" s="753">
        <v>1</v>
      </c>
      <c r="L2242" s="754">
        <v>3</v>
      </c>
      <c r="M2242" s="736">
        <v>22960.799999999999</v>
      </c>
      <c r="N2242" s="744"/>
      <c r="O2242" s="739"/>
      <c r="P2242" s="739"/>
      <c r="Q2242" s="214"/>
    </row>
    <row r="2243" spans="1:17" ht="12" customHeight="1" x14ac:dyDescent="0.2">
      <c r="A2243" s="735" t="s">
        <v>7733</v>
      </c>
      <c r="B2243" s="735" t="s">
        <v>2170</v>
      </c>
      <c r="C2243" s="735" t="s">
        <v>451</v>
      </c>
      <c r="D2243" s="644" t="s">
        <v>2261</v>
      </c>
      <c r="E2243" s="736">
        <v>2000</v>
      </c>
      <c r="F2243" s="737" t="s">
        <v>8180</v>
      </c>
      <c r="G2243" s="636" t="s">
        <v>8181</v>
      </c>
      <c r="H2243" s="636" t="s">
        <v>6571</v>
      </c>
      <c r="I2243" s="636" t="s">
        <v>2569</v>
      </c>
      <c r="J2243" s="644" t="s">
        <v>642</v>
      </c>
      <c r="K2243" s="753">
        <v>6</v>
      </c>
      <c r="L2243" s="754">
        <v>12</v>
      </c>
      <c r="M2243" s="736">
        <v>25960.799999999999</v>
      </c>
      <c r="N2243" s="744"/>
      <c r="O2243" s="739"/>
      <c r="P2243" s="739"/>
      <c r="Q2243" s="214"/>
    </row>
    <row r="2244" spans="1:17" ht="12" customHeight="1" x14ac:dyDescent="0.2">
      <c r="A2244" s="735" t="s">
        <v>7733</v>
      </c>
      <c r="B2244" s="735" t="s">
        <v>2170</v>
      </c>
      <c r="C2244" s="735" t="s">
        <v>451</v>
      </c>
      <c r="D2244" s="644" t="s">
        <v>8182</v>
      </c>
      <c r="E2244" s="736">
        <v>6000</v>
      </c>
      <c r="F2244" s="737" t="s">
        <v>8183</v>
      </c>
      <c r="G2244" s="636" t="s">
        <v>8184</v>
      </c>
      <c r="H2244" s="636" t="s">
        <v>2228</v>
      </c>
      <c r="I2244" s="636" t="s">
        <v>2228</v>
      </c>
      <c r="J2244" s="644"/>
      <c r="K2244" s="753">
        <v>6</v>
      </c>
      <c r="L2244" s="754">
        <v>8</v>
      </c>
      <c r="M2244" s="736">
        <v>49960.800000000003</v>
      </c>
      <c r="N2244" s="744"/>
      <c r="O2244" s="739"/>
      <c r="P2244" s="739"/>
      <c r="Q2244" s="214"/>
    </row>
    <row r="2245" spans="1:17" ht="12" customHeight="1" x14ac:dyDescent="0.2">
      <c r="A2245" s="735" t="s">
        <v>7733</v>
      </c>
      <c r="B2245" s="735" t="s">
        <v>2170</v>
      </c>
      <c r="C2245" s="735" t="s">
        <v>451</v>
      </c>
      <c r="D2245" s="644" t="s">
        <v>8185</v>
      </c>
      <c r="E2245" s="736">
        <v>4000</v>
      </c>
      <c r="F2245" s="737" t="s">
        <v>8186</v>
      </c>
      <c r="G2245" s="636" t="s">
        <v>8187</v>
      </c>
      <c r="H2245" s="636" t="s">
        <v>8000</v>
      </c>
      <c r="I2245" s="636" t="s">
        <v>2478</v>
      </c>
      <c r="J2245" s="644" t="s">
        <v>642</v>
      </c>
      <c r="K2245" s="753">
        <v>12</v>
      </c>
      <c r="L2245" s="754">
        <v>12</v>
      </c>
      <c r="M2245" s="736">
        <v>49960.800000000003</v>
      </c>
      <c r="N2245" s="744"/>
      <c r="O2245" s="739"/>
      <c r="P2245" s="739"/>
      <c r="Q2245" s="214"/>
    </row>
    <row r="2246" spans="1:17" ht="12" customHeight="1" x14ac:dyDescent="0.2">
      <c r="A2246" s="735" t="s">
        <v>7733</v>
      </c>
      <c r="B2246" s="735" t="s">
        <v>2170</v>
      </c>
      <c r="C2246" s="735" t="s">
        <v>451</v>
      </c>
      <c r="D2246" s="644" t="s">
        <v>2179</v>
      </c>
      <c r="E2246" s="736">
        <v>8000</v>
      </c>
      <c r="F2246" s="737" t="s">
        <v>8188</v>
      </c>
      <c r="G2246" s="636" t="s">
        <v>8189</v>
      </c>
      <c r="H2246" s="636" t="s">
        <v>2228</v>
      </c>
      <c r="I2246" s="636" t="s">
        <v>2228</v>
      </c>
      <c r="J2246" s="644"/>
      <c r="K2246" s="753">
        <v>3</v>
      </c>
      <c r="L2246" s="754">
        <v>5</v>
      </c>
      <c r="M2246" s="736">
        <v>41960.800000000003</v>
      </c>
      <c r="N2246" s="744"/>
      <c r="O2246" s="739"/>
      <c r="P2246" s="739"/>
      <c r="Q2246" s="214"/>
    </row>
    <row r="2247" spans="1:17" ht="12" customHeight="1" x14ac:dyDescent="0.2">
      <c r="A2247" s="735" t="s">
        <v>7733</v>
      </c>
      <c r="B2247" s="735" t="s">
        <v>2170</v>
      </c>
      <c r="C2247" s="735" t="s">
        <v>451</v>
      </c>
      <c r="D2247" s="644" t="s">
        <v>7921</v>
      </c>
      <c r="E2247" s="736">
        <v>4000</v>
      </c>
      <c r="F2247" s="737" t="s">
        <v>8190</v>
      </c>
      <c r="G2247" s="636" t="s">
        <v>8191</v>
      </c>
      <c r="H2247" s="636" t="s">
        <v>7782</v>
      </c>
      <c r="I2247" s="636" t="s">
        <v>2208</v>
      </c>
      <c r="J2247" s="644" t="s">
        <v>642</v>
      </c>
      <c r="K2247" s="753">
        <v>2</v>
      </c>
      <c r="L2247" s="754">
        <v>4</v>
      </c>
      <c r="M2247" s="736">
        <v>17960.8</v>
      </c>
      <c r="N2247" s="744"/>
      <c r="O2247" s="739"/>
      <c r="P2247" s="739"/>
      <c r="Q2247" s="214"/>
    </row>
    <row r="2248" spans="1:17" ht="12" customHeight="1" x14ac:dyDescent="0.2">
      <c r="A2248" s="735" t="s">
        <v>7733</v>
      </c>
      <c r="B2248" s="735" t="s">
        <v>2170</v>
      </c>
      <c r="C2248" s="735" t="s">
        <v>451</v>
      </c>
      <c r="D2248" s="644" t="s">
        <v>8168</v>
      </c>
      <c r="E2248" s="736">
        <v>4500</v>
      </c>
      <c r="F2248" s="737" t="s">
        <v>8192</v>
      </c>
      <c r="G2248" s="636" t="s">
        <v>8193</v>
      </c>
      <c r="H2248" s="636" t="s">
        <v>8135</v>
      </c>
      <c r="I2248" s="636" t="s">
        <v>8135</v>
      </c>
      <c r="J2248" s="644" t="s">
        <v>643</v>
      </c>
      <c r="K2248" s="753">
        <v>6</v>
      </c>
      <c r="L2248" s="754">
        <v>12</v>
      </c>
      <c r="M2248" s="736">
        <v>55960.800000000003</v>
      </c>
      <c r="N2248" s="744"/>
      <c r="O2248" s="739"/>
      <c r="P2248" s="739"/>
      <c r="Q2248" s="214"/>
    </row>
    <row r="2249" spans="1:17" ht="12" customHeight="1" x14ac:dyDescent="0.2">
      <c r="A2249" s="735" t="s">
        <v>7733</v>
      </c>
      <c r="B2249" s="735" t="s">
        <v>2170</v>
      </c>
      <c r="C2249" s="735" t="s">
        <v>451</v>
      </c>
      <c r="D2249" s="644" t="s">
        <v>8194</v>
      </c>
      <c r="E2249" s="736">
        <v>4500</v>
      </c>
      <c r="F2249" s="737" t="s">
        <v>8195</v>
      </c>
      <c r="G2249" s="636" t="s">
        <v>8196</v>
      </c>
      <c r="H2249" s="636"/>
      <c r="I2249" s="636"/>
      <c r="J2249" s="644" t="s">
        <v>642</v>
      </c>
      <c r="K2249" s="753">
        <v>1</v>
      </c>
      <c r="L2249" s="754">
        <v>1</v>
      </c>
      <c r="M2249" s="736">
        <v>7460.8</v>
      </c>
      <c r="N2249" s="744"/>
      <c r="O2249" s="739"/>
      <c r="P2249" s="739"/>
      <c r="Q2249" s="214"/>
    </row>
    <row r="2250" spans="1:17" ht="12" customHeight="1" x14ac:dyDescent="0.2">
      <c r="A2250" s="735" t="s">
        <v>7733</v>
      </c>
      <c r="B2250" s="735" t="s">
        <v>2170</v>
      </c>
      <c r="C2250" s="735" t="s">
        <v>451</v>
      </c>
      <c r="D2250" s="644" t="s">
        <v>2772</v>
      </c>
      <c r="E2250" s="736">
        <v>1500</v>
      </c>
      <c r="F2250" s="737" t="s">
        <v>8197</v>
      </c>
      <c r="G2250" s="636" t="s">
        <v>8198</v>
      </c>
      <c r="H2250" s="636"/>
      <c r="I2250" s="636"/>
      <c r="J2250" s="644" t="s">
        <v>642</v>
      </c>
      <c r="K2250" s="753">
        <v>1</v>
      </c>
      <c r="L2250" s="754">
        <v>1</v>
      </c>
      <c r="M2250" s="736">
        <v>3720</v>
      </c>
      <c r="N2250" s="744"/>
      <c r="O2250" s="739"/>
      <c r="P2250" s="739"/>
      <c r="Q2250" s="214"/>
    </row>
    <row r="2251" spans="1:17" ht="12" customHeight="1" x14ac:dyDescent="0.2">
      <c r="A2251" s="735" t="s">
        <v>7733</v>
      </c>
      <c r="B2251" s="735" t="s">
        <v>2170</v>
      </c>
      <c r="C2251" s="735" t="s">
        <v>451</v>
      </c>
      <c r="D2251" s="644" t="s">
        <v>7817</v>
      </c>
      <c r="E2251" s="736">
        <v>2500</v>
      </c>
      <c r="F2251" s="737" t="s">
        <v>8199</v>
      </c>
      <c r="G2251" s="636" t="s">
        <v>8200</v>
      </c>
      <c r="H2251" s="636" t="s">
        <v>2228</v>
      </c>
      <c r="I2251" s="636" t="s">
        <v>2228</v>
      </c>
      <c r="J2251" s="644"/>
      <c r="K2251" s="753">
        <v>7</v>
      </c>
      <c r="L2251" s="754">
        <v>7</v>
      </c>
      <c r="M2251" s="736">
        <v>19460.8</v>
      </c>
      <c r="N2251" s="744"/>
      <c r="O2251" s="739"/>
      <c r="P2251" s="739"/>
      <c r="Q2251" s="214"/>
    </row>
    <row r="2252" spans="1:17" ht="12" customHeight="1" x14ac:dyDescent="0.2">
      <c r="A2252" s="735" t="s">
        <v>7733</v>
      </c>
      <c r="B2252" s="735" t="s">
        <v>2170</v>
      </c>
      <c r="C2252" s="735" t="s">
        <v>451</v>
      </c>
      <c r="D2252" s="644" t="s">
        <v>7904</v>
      </c>
      <c r="E2252" s="736">
        <v>3000</v>
      </c>
      <c r="F2252" s="737" t="s">
        <v>8201</v>
      </c>
      <c r="G2252" s="636" t="s">
        <v>8202</v>
      </c>
      <c r="H2252" s="636" t="s">
        <v>7916</v>
      </c>
      <c r="I2252" s="636" t="s">
        <v>7917</v>
      </c>
      <c r="J2252" s="644" t="s">
        <v>643</v>
      </c>
      <c r="K2252" s="753">
        <v>12</v>
      </c>
      <c r="L2252" s="754">
        <v>12</v>
      </c>
      <c r="M2252" s="736">
        <v>37960.800000000003</v>
      </c>
      <c r="N2252" s="744"/>
      <c r="O2252" s="739"/>
      <c r="P2252" s="739"/>
      <c r="Q2252" s="214"/>
    </row>
    <row r="2253" spans="1:17" ht="12" customHeight="1" x14ac:dyDescent="0.2">
      <c r="A2253" s="735" t="s">
        <v>7733</v>
      </c>
      <c r="B2253" s="735" t="s">
        <v>2170</v>
      </c>
      <c r="C2253" s="735" t="s">
        <v>451</v>
      </c>
      <c r="D2253" s="644" t="s">
        <v>7843</v>
      </c>
      <c r="E2253" s="736">
        <v>4000</v>
      </c>
      <c r="F2253" s="737" t="s">
        <v>8203</v>
      </c>
      <c r="G2253" s="636" t="s">
        <v>8204</v>
      </c>
      <c r="H2253" s="636" t="s">
        <v>2228</v>
      </c>
      <c r="I2253" s="636" t="s">
        <v>2228</v>
      </c>
      <c r="J2253" s="644"/>
      <c r="K2253" s="753">
        <v>2</v>
      </c>
      <c r="L2253" s="754">
        <v>2</v>
      </c>
      <c r="M2253" s="736">
        <v>15960.8</v>
      </c>
      <c r="N2253" s="744"/>
      <c r="O2253" s="739"/>
      <c r="P2253" s="739"/>
      <c r="Q2253" s="214"/>
    </row>
    <row r="2254" spans="1:17" ht="12" customHeight="1" x14ac:dyDescent="0.2">
      <c r="A2254" s="735" t="s">
        <v>7733</v>
      </c>
      <c r="B2254" s="735" t="s">
        <v>2170</v>
      </c>
      <c r="C2254" s="735" t="s">
        <v>451</v>
      </c>
      <c r="D2254" s="644" t="s">
        <v>7946</v>
      </c>
      <c r="E2254" s="736">
        <v>4000</v>
      </c>
      <c r="F2254" s="737" t="s">
        <v>8205</v>
      </c>
      <c r="G2254" s="636" t="s">
        <v>8206</v>
      </c>
      <c r="H2254" s="636"/>
      <c r="I2254" s="636"/>
      <c r="J2254" s="644" t="s">
        <v>642</v>
      </c>
      <c r="K2254" s="753">
        <v>5</v>
      </c>
      <c r="L2254" s="754">
        <v>12</v>
      </c>
      <c r="M2254" s="736">
        <v>49960.800000000003</v>
      </c>
      <c r="N2254" s="744"/>
      <c r="O2254" s="739"/>
      <c r="P2254" s="739"/>
      <c r="Q2254" s="214"/>
    </row>
    <row r="2255" spans="1:17" ht="12" customHeight="1" x14ac:dyDescent="0.2">
      <c r="A2255" s="735" t="s">
        <v>7733</v>
      </c>
      <c r="B2255" s="735" t="s">
        <v>2170</v>
      </c>
      <c r="C2255" s="735" t="s">
        <v>451</v>
      </c>
      <c r="D2255" s="644" t="s">
        <v>8207</v>
      </c>
      <c r="E2255" s="736">
        <v>5500</v>
      </c>
      <c r="F2255" s="737" t="s">
        <v>8208</v>
      </c>
      <c r="G2255" s="636" t="s">
        <v>8209</v>
      </c>
      <c r="H2255" s="636" t="s">
        <v>6778</v>
      </c>
      <c r="I2255" s="636" t="s">
        <v>8210</v>
      </c>
      <c r="J2255" s="644" t="s">
        <v>642</v>
      </c>
      <c r="K2255" s="753">
        <v>3</v>
      </c>
      <c r="L2255" s="754">
        <v>9</v>
      </c>
      <c r="M2255" s="736">
        <v>51460.800000000003</v>
      </c>
      <c r="N2255" s="744"/>
      <c r="O2255" s="739"/>
      <c r="P2255" s="739"/>
      <c r="Q2255" s="214"/>
    </row>
    <row r="2256" spans="1:17" ht="12" customHeight="1" x14ac:dyDescent="0.2">
      <c r="A2256" s="735" t="s">
        <v>7733</v>
      </c>
      <c r="B2256" s="735" t="s">
        <v>2170</v>
      </c>
      <c r="C2256" s="735" t="s">
        <v>451</v>
      </c>
      <c r="D2256" s="644" t="s">
        <v>8211</v>
      </c>
      <c r="E2256" s="736">
        <v>3000</v>
      </c>
      <c r="F2256" s="737" t="s">
        <v>8212</v>
      </c>
      <c r="G2256" s="636" t="s">
        <v>8213</v>
      </c>
      <c r="H2256" s="636"/>
      <c r="I2256" s="636"/>
      <c r="J2256" s="644" t="s">
        <v>644</v>
      </c>
      <c r="K2256" s="753">
        <v>12</v>
      </c>
      <c r="L2256" s="754">
        <v>12</v>
      </c>
      <c r="M2256" s="736">
        <v>37960.800000000003</v>
      </c>
      <c r="N2256" s="744"/>
      <c r="O2256" s="739"/>
      <c r="P2256" s="739"/>
      <c r="Q2256" s="214"/>
    </row>
    <row r="2257" spans="1:17" ht="12" customHeight="1" x14ac:dyDescent="0.2">
      <c r="A2257" s="735" t="s">
        <v>7733</v>
      </c>
      <c r="B2257" s="735" t="s">
        <v>2170</v>
      </c>
      <c r="C2257" s="735" t="s">
        <v>451</v>
      </c>
      <c r="D2257" s="644" t="s">
        <v>8214</v>
      </c>
      <c r="E2257" s="736">
        <v>5000</v>
      </c>
      <c r="F2257" s="737" t="s">
        <v>8215</v>
      </c>
      <c r="G2257" s="636" t="s">
        <v>8216</v>
      </c>
      <c r="H2257" s="636"/>
      <c r="I2257" s="636"/>
      <c r="J2257" s="644" t="s">
        <v>642</v>
      </c>
      <c r="K2257" s="753">
        <v>1</v>
      </c>
      <c r="L2257" s="754">
        <v>1</v>
      </c>
      <c r="M2257" s="736">
        <v>8960.7999999999993</v>
      </c>
      <c r="N2257" s="744"/>
      <c r="O2257" s="739"/>
      <c r="P2257" s="739"/>
      <c r="Q2257" s="214"/>
    </row>
    <row r="2258" spans="1:17" ht="12" customHeight="1" x14ac:dyDescent="0.2">
      <c r="A2258" s="735" t="s">
        <v>7733</v>
      </c>
      <c r="B2258" s="735" t="s">
        <v>2170</v>
      </c>
      <c r="C2258" s="735" t="s">
        <v>451</v>
      </c>
      <c r="D2258" s="644" t="s">
        <v>8045</v>
      </c>
      <c r="E2258" s="736">
        <v>3000</v>
      </c>
      <c r="F2258" s="737" t="s">
        <v>8217</v>
      </c>
      <c r="G2258" s="636" t="s">
        <v>8218</v>
      </c>
      <c r="H2258" s="636"/>
      <c r="I2258" s="636"/>
      <c r="J2258" s="644" t="s">
        <v>643</v>
      </c>
      <c r="K2258" s="753">
        <v>5</v>
      </c>
      <c r="L2258" s="754">
        <v>12</v>
      </c>
      <c r="M2258" s="736">
        <v>37960.800000000003</v>
      </c>
      <c r="N2258" s="744"/>
      <c r="O2258" s="739"/>
      <c r="P2258" s="739"/>
      <c r="Q2258" s="214"/>
    </row>
    <row r="2259" spans="1:17" ht="12" customHeight="1" x14ac:dyDescent="0.2">
      <c r="A2259" s="735" t="s">
        <v>7733</v>
      </c>
      <c r="B2259" s="735" t="s">
        <v>2170</v>
      </c>
      <c r="C2259" s="735" t="s">
        <v>451</v>
      </c>
      <c r="D2259" s="644" t="s">
        <v>8219</v>
      </c>
      <c r="E2259" s="736">
        <v>6500</v>
      </c>
      <c r="F2259" s="737" t="s">
        <v>8220</v>
      </c>
      <c r="G2259" s="636" t="s">
        <v>8221</v>
      </c>
      <c r="H2259" s="636" t="s">
        <v>6571</v>
      </c>
      <c r="I2259" s="636" t="s">
        <v>2179</v>
      </c>
      <c r="J2259" s="644" t="s">
        <v>642</v>
      </c>
      <c r="K2259" s="753">
        <v>9</v>
      </c>
      <c r="L2259" s="754">
        <v>12</v>
      </c>
      <c r="M2259" s="736">
        <v>79960.800000000003</v>
      </c>
      <c r="N2259" s="744"/>
      <c r="O2259" s="739"/>
      <c r="P2259" s="739"/>
      <c r="Q2259" s="214"/>
    </row>
    <row r="2260" spans="1:17" ht="12" customHeight="1" x14ac:dyDescent="0.2">
      <c r="A2260" s="735" t="s">
        <v>7733</v>
      </c>
      <c r="B2260" s="735" t="s">
        <v>2170</v>
      </c>
      <c r="C2260" s="735" t="s">
        <v>451</v>
      </c>
      <c r="D2260" s="644" t="s">
        <v>8045</v>
      </c>
      <c r="E2260" s="736">
        <v>2000</v>
      </c>
      <c r="F2260" s="737" t="s">
        <v>8222</v>
      </c>
      <c r="G2260" s="636" t="s">
        <v>8223</v>
      </c>
      <c r="H2260" s="636" t="s">
        <v>8224</v>
      </c>
      <c r="I2260" s="636" t="s">
        <v>3760</v>
      </c>
      <c r="J2260" s="644" t="s">
        <v>644</v>
      </c>
      <c r="K2260" s="753">
        <v>12</v>
      </c>
      <c r="L2260" s="754">
        <v>12</v>
      </c>
      <c r="M2260" s="736">
        <v>25960.799999999999</v>
      </c>
      <c r="N2260" s="744"/>
      <c r="O2260" s="739"/>
      <c r="P2260" s="739"/>
      <c r="Q2260" s="214"/>
    </row>
    <row r="2261" spans="1:17" ht="12" customHeight="1" x14ac:dyDescent="0.2">
      <c r="A2261" s="735" t="s">
        <v>7733</v>
      </c>
      <c r="B2261" s="735" t="s">
        <v>2170</v>
      </c>
      <c r="C2261" s="735" t="s">
        <v>451</v>
      </c>
      <c r="D2261" s="644" t="s">
        <v>7904</v>
      </c>
      <c r="E2261" s="736">
        <v>3000</v>
      </c>
      <c r="F2261" s="737" t="s">
        <v>8225</v>
      </c>
      <c r="G2261" s="636" t="s">
        <v>8226</v>
      </c>
      <c r="H2261" s="636" t="s">
        <v>8227</v>
      </c>
      <c r="I2261" s="636" t="s">
        <v>8228</v>
      </c>
      <c r="J2261" s="644" t="s">
        <v>643</v>
      </c>
      <c r="K2261" s="753">
        <v>12</v>
      </c>
      <c r="L2261" s="754">
        <v>12</v>
      </c>
      <c r="M2261" s="736">
        <v>37960.800000000003</v>
      </c>
      <c r="N2261" s="744"/>
      <c r="O2261" s="739"/>
      <c r="P2261" s="739"/>
      <c r="Q2261" s="214"/>
    </row>
    <row r="2262" spans="1:17" ht="12" customHeight="1" x14ac:dyDescent="0.2">
      <c r="A2262" s="735" t="s">
        <v>7733</v>
      </c>
      <c r="B2262" s="735" t="s">
        <v>2170</v>
      </c>
      <c r="C2262" s="735" t="s">
        <v>451</v>
      </c>
      <c r="D2262" s="644" t="s">
        <v>7904</v>
      </c>
      <c r="E2262" s="736">
        <v>1800</v>
      </c>
      <c r="F2262" s="737" t="s">
        <v>8229</v>
      </c>
      <c r="G2262" s="636" t="s">
        <v>8230</v>
      </c>
      <c r="H2262" s="636" t="s">
        <v>6633</v>
      </c>
      <c r="I2262" s="636" t="s">
        <v>8231</v>
      </c>
      <c r="J2262" s="644" t="s">
        <v>643</v>
      </c>
      <c r="K2262" s="753">
        <v>12</v>
      </c>
      <c r="L2262" s="754">
        <v>12</v>
      </c>
      <c r="M2262" s="736">
        <v>44144</v>
      </c>
      <c r="N2262" s="744"/>
      <c r="O2262" s="739"/>
      <c r="P2262" s="739"/>
      <c r="Q2262" s="214"/>
    </row>
    <row r="2263" spans="1:17" ht="12" customHeight="1" x14ac:dyDescent="0.2">
      <c r="A2263" s="735" t="s">
        <v>7733</v>
      </c>
      <c r="B2263" s="735" t="s">
        <v>2170</v>
      </c>
      <c r="C2263" s="735" t="s">
        <v>451</v>
      </c>
      <c r="D2263" s="644" t="s">
        <v>7764</v>
      </c>
      <c r="E2263" s="736">
        <v>3000</v>
      </c>
      <c r="F2263" s="737" t="s">
        <v>8232</v>
      </c>
      <c r="G2263" s="636" t="s">
        <v>8233</v>
      </c>
      <c r="H2263" s="636" t="s">
        <v>2228</v>
      </c>
      <c r="I2263" s="636" t="s">
        <v>2228</v>
      </c>
      <c r="J2263" s="644"/>
      <c r="K2263" s="753">
        <v>8</v>
      </c>
      <c r="L2263" s="754">
        <v>8</v>
      </c>
      <c r="M2263" s="736">
        <v>25960.799999999999</v>
      </c>
      <c r="N2263" s="744"/>
      <c r="O2263" s="739"/>
      <c r="P2263" s="739"/>
      <c r="Q2263" s="214"/>
    </row>
    <row r="2264" spans="1:17" ht="12" customHeight="1" x14ac:dyDescent="0.2">
      <c r="A2264" s="735" t="s">
        <v>7733</v>
      </c>
      <c r="B2264" s="735" t="s">
        <v>2170</v>
      </c>
      <c r="C2264" s="735" t="s">
        <v>451</v>
      </c>
      <c r="D2264" s="644" t="s">
        <v>3345</v>
      </c>
      <c r="E2264" s="736">
        <v>4000</v>
      </c>
      <c r="F2264" s="737" t="s">
        <v>8234</v>
      </c>
      <c r="G2264" s="636" t="s">
        <v>8235</v>
      </c>
      <c r="H2264" s="636" t="s">
        <v>8022</v>
      </c>
      <c r="I2264" s="636" t="s">
        <v>2712</v>
      </c>
      <c r="J2264" s="644" t="s">
        <v>642</v>
      </c>
      <c r="K2264" s="753">
        <v>5</v>
      </c>
      <c r="L2264" s="754">
        <v>12</v>
      </c>
      <c r="M2264" s="736">
        <v>49960.800000000003</v>
      </c>
      <c r="N2264" s="744"/>
      <c r="O2264" s="739"/>
      <c r="P2264" s="739"/>
      <c r="Q2264" s="214"/>
    </row>
    <row r="2265" spans="1:17" ht="12" customHeight="1" x14ac:dyDescent="0.2">
      <c r="A2265" s="735" t="s">
        <v>7733</v>
      </c>
      <c r="B2265" s="735" t="s">
        <v>2170</v>
      </c>
      <c r="C2265" s="735" t="s">
        <v>451</v>
      </c>
      <c r="D2265" s="644" t="s">
        <v>8236</v>
      </c>
      <c r="E2265" s="736">
        <v>4000</v>
      </c>
      <c r="F2265" s="737" t="s">
        <v>8237</v>
      </c>
      <c r="G2265" s="636" t="s">
        <v>8238</v>
      </c>
      <c r="H2265" s="636" t="s">
        <v>7782</v>
      </c>
      <c r="I2265" s="636" t="s">
        <v>2208</v>
      </c>
      <c r="J2265" s="644" t="s">
        <v>642</v>
      </c>
      <c r="K2265" s="753">
        <v>9</v>
      </c>
      <c r="L2265" s="754">
        <v>12</v>
      </c>
      <c r="M2265" s="736">
        <v>49960.800000000003</v>
      </c>
      <c r="N2265" s="744"/>
      <c r="O2265" s="739"/>
      <c r="P2265" s="739"/>
      <c r="Q2265" s="214"/>
    </row>
    <row r="2266" spans="1:17" ht="12" customHeight="1" x14ac:dyDescent="0.2">
      <c r="A2266" s="735" t="s">
        <v>7733</v>
      </c>
      <c r="B2266" s="735" t="s">
        <v>2170</v>
      </c>
      <c r="C2266" s="735" t="s">
        <v>451</v>
      </c>
      <c r="D2266" s="644" t="s">
        <v>7901</v>
      </c>
      <c r="E2266" s="736">
        <v>2500</v>
      </c>
      <c r="F2266" s="737" t="s">
        <v>8239</v>
      </c>
      <c r="G2266" s="636" t="s">
        <v>8240</v>
      </c>
      <c r="H2266" s="636"/>
      <c r="I2266" s="636"/>
      <c r="J2266" s="644" t="s">
        <v>644</v>
      </c>
      <c r="K2266" s="753">
        <v>12</v>
      </c>
      <c r="L2266" s="754">
        <v>12</v>
      </c>
      <c r="M2266" s="736">
        <v>31960.799999999999</v>
      </c>
      <c r="N2266" s="744"/>
      <c r="O2266" s="739"/>
      <c r="P2266" s="739"/>
      <c r="Q2266" s="214"/>
    </row>
    <row r="2267" spans="1:17" ht="12" customHeight="1" x14ac:dyDescent="0.2">
      <c r="A2267" s="735" t="s">
        <v>7733</v>
      </c>
      <c r="B2267" s="735" t="s">
        <v>2170</v>
      </c>
      <c r="C2267" s="735" t="s">
        <v>451</v>
      </c>
      <c r="D2267" s="644" t="s">
        <v>2381</v>
      </c>
      <c r="E2267" s="736">
        <v>1800</v>
      </c>
      <c r="F2267" s="737" t="s">
        <v>8241</v>
      </c>
      <c r="G2267" s="636" t="s">
        <v>8242</v>
      </c>
      <c r="H2267" s="636" t="s">
        <v>8243</v>
      </c>
      <c r="I2267" s="636" t="s">
        <v>8243</v>
      </c>
      <c r="J2267" s="644" t="s">
        <v>643</v>
      </c>
      <c r="K2267" s="753">
        <v>12</v>
      </c>
      <c r="L2267" s="754">
        <v>12</v>
      </c>
      <c r="M2267" s="736">
        <v>24144</v>
      </c>
      <c r="N2267" s="744"/>
      <c r="O2267" s="739"/>
      <c r="P2267" s="739"/>
      <c r="Q2267" s="214"/>
    </row>
    <row r="2268" spans="1:17" ht="12" customHeight="1" x14ac:dyDescent="0.2">
      <c r="A2268" s="735" t="s">
        <v>7733</v>
      </c>
      <c r="B2268" s="735" t="s">
        <v>2170</v>
      </c>
      <c r="C2268" s="735" t="s">
        <v>451</v>
      </c>
      <c r="D2268" s="644" t="s">
        <v>7779</v>
      </c>
      <c r="E2268" s="736">
        <v>4000</v>
      </c>
      <c r="F2268" s="737" t="s">
        <v>8244</v>
      </c>
      <c r="G2268" s="636" t="s">
        <v>8245</v>
      </c>
      <c r="H2268" s="636" t="s">
        <v>8000</v>
      </c>
      <c r="I2268" s="636" t="s">
        <v>8246</v>
      </c>
      <c r="J2268" s="644" t="s">
        <v>642</v>
      </c>
      <c r="K2268" s="753">
        <v>12</v>
      </c>
      <c r="L2268" s="754">
        <v>12</v>
      </c>
      <c r="M2268" s="736">
        <v>49960.800000000003</v>
      </c>
      <c r="N2268" s="744"/>
      <c r="O2268" s="739"/>
      <c r="P2268" s="739"/>
      <c r="Q2268" s="214"/>
    </row>
    <row r="2269" spans="1:17" ht="12" customHeight="1" x14ac:dyDescent="0.2">
      <c r="A2269" s="735" t="s">
        <v>7733</v>
      </c>
      <c r="B2269" s="735" t="s">
        <v>2170</v>
      </c>
      <c r="C2269" s="735" t="s">
        <v>451</v>
      </c>
      <c r="D2269" s="644" t="s">
        <v>8247</v>
      </c>
      <c r="E2269" s="736">
        <v>4000</v>
      </c>
      <c r="F2269" s="737" t="s">
        <v>8248</v>
      </c>
      <c r="G2269" s="636" t="s">
        <v>8249</v>
      </c>
      <c r="H2269" s="636" t="s">
        <v>8250</v>
      </c>
      <c r="I2269" s="636" t="s">
        <v>8251</v>
      </c>
      <c r="J2269" s="644" t="s">
        <v>642</v>
      </c>
      <c r="K2269" s="753">
        <v>5</v>
      </c>
      <c r="L2269" s="754">
        <v>12</v>
      </c>
      <c r="M2269" s="736">
        <v>69960.800000000003</v>
      </c>
      <c r="N2269" s="744"/>
      <c r="O2269" s="739"/>
      <c r="P2269" s="739"/>
      <c r="Q2269" s="214"/>
    </row>
    <row r="2270" spans="1:17" ht="12" customHeight="1" x14ac:dyDescent="0.2">
      <c r="A2270" s="735" t="s">
        <v>7733</v>
      </c>
      <c r="B2270" s="735" t="s">
        <v>2170</v>
      </c>
      <c r="C2270" s="735" t="s">
        <v>451</v>
      </c>
      <c r="D2270" s="644" t="s">
        <v>8252</v>
      </c>
      <c r="E2270" s="736">
        <v>3500</v>
      </c>
      <c r="F2270" s="737" t="s">
        <v>8253</v>
      </c>
      <c r="G2270" s="636" t="s">
        <v>8254</v>
      </c>
      <c r="H2270" s="636" t="s">
        <v>2228</v>
      </c>
      <c r="I2270" s="636" t="s">
        <v>2228</v>
      </c>
      <c r="J2270" s="644"/>
      <c r="K2270" s="753">
        <v>1</v>
      </c>
      <c r="L2270" s="754">
        <v>1</v>
      </c>
      <c r="M2270" s="736">
        <v>5460.8</v>
      </c>
      <c r="N2270" s="744"/>
      <c r="O2270" s="739"/>
      <c r="P2270" s="739"/>
      <c r="Q2270" s="214"/>
    </row>
    <row r="2271" spans="1:17" ht="12" customHeight="1" x14ac:dyDescent="0.2">
      <c r="A2271" s="735" t="s">
        <v>7733</v>
      </c>
      <c r="B2271" s="735" t="s">
        <v>2170</v>
      </c>
      <c r="C2271" s="735" t="s">
        <v>451</v>
      </c>
      <c r="D2271" s="644" t="s">
        <v>7894</v>
      </c>
      <c r="E2271" s="736">
        <v>3500</v>
      </c>
      <c r="F2271" s="737" t="s">
        <v>8255</v>
      </c>
      <c r="G2271" s="636" t="s">
        <v>8256</v>
      </c>
      <c r="H2271" s="636" t="s">
        <v>2979</v>
      </c>
      <c r="I2271" s="636" t="s">
        <v>8257</v>
      </c>
      <c r="J2271" s="644" t="s">
        <v>642</v>
      </c>
      <c r="K2271" s="753">
        <v>1</v>
      </c>
      <c r="L2271" s="754">
        <v>1</v>
      </c>
      <c r="M2271" s="736">
        <v>5460.8</v>
      </c>
      <c r="N2271" s="744"/>
      <c r="O2271" s="739"/>
      <c r="P2271" s="739"/>
      <c r="Q2271" s="214"/>
    </row>
    <row r="2272" spans="1:17" ht="12" customHeight="1" x14ac:dyDescent="0.2">
      <c r="A2272" s="735" t="s">
        <v>7733</v>
      </c>
      <c r="B2272" s="735" t="s">
        <v>2170</v>
      </c>
      <c r="C2272" s="735" t="s">
        <v>451</v>
      </c>
      <c r="D2272" s="644" t="s">
        <v>7855</v>
      </c>
      <c r="E2272" s="736">
        <v>2200</v>
      </c>
      <c r="F2272" s="737" t="s">
        <v>8258</v>
      </c>
      <c r="G2272" s="636" t="s">
        <v>8259</v>
      </c>
      <c r="H2272" s="636" t="s">
        <v>7916</v>
      </c>
      <c r="I2272" s="636" t="s">
        <v>7917</v>
      </c>
      <c r="J2272" s="644" t="s">
        <v>642</v>
      </c>
      <c r="K2272" s="753">
        <v>12</v>
      </c>
      <c r="L2272" s="754">
        <v>12</v>
      </c>
      <c r="M2272" s="736">
        <v>28360.799999999999</v>
      </c>
      <c r="N2272" s="744"/>
      <c r="O2272" s="739"/>
      <c r="P2272" s="739"/>
      <c r="Q2272" s="214"/>
    </row>
    <row r="2273" spans="1:17" ht="12" customHeight="1" x14ac:dyDescent="0.2">
      <c r="A2273" s="735" t="s">
        <v>7733</v>
      </c>
      <c r="B2273" s="735" t="s">
        <v>2170</v>
      </c>
      <c r="C2273" s="735" t="s">
        <v>451</v>
      </c>
      <c r="D2273" s="644" t="s">
        <v>8260</v>
      </c>
      <c r="E2273" s="736">
        <v>6000</v>
      </c>
      <c r="F2273" s="737" t="s">
        <v>8261</v>
      </c>
      <c r="G2273" s="636" t="s">
        <v>8262</v>
      </c>
      <c r="H2273" s="636" t="s">
        <v>8263</v>
      </c>
      <c r="I2273" s="636" t="s">
        <v>7835</v>
      </c>
      <c r="J2273" s="644" t="s">
        <v>642</v>
      </c>
      <c r="K2273" s="753">
        <v>9</v>
      </c>
      <c r="L2273" s="754">
        <v>12</v>
      </c>
      <c r="M2273" s="736">
        <v>83960.8</v>
      </c>
      <c r="N2273" s="744"/>
      <c r="O2273" s="739"/>
      <c r="P2273" s="739"/>
      <c r="Q2273" s="214"/>
    </row>
    <row r="2274" spans="1:17" ht="12" customHeight="1" x14ac:dyDescent="0.2">
      <c r="A2274" s="735" t="s">
        <v>7733</v>
      </c>
      <c r="B2274" s="735" t="s">
        <v>2170</v>
      </c>
      <c r="C2274" s="735" t="s">
        <v>451</v>
      </c>
      <c r="D2274" s="644" t="s">
        <v>7764</v>
      </c>
      <c r="E2274" s="736">
        <v>3500</v>
      </c>
      <c r="F2274" s="737" t="s">
        <v>8264</v>
      </c>
      <c r="G2274" s="636" t="s">
        <v>8265</v>
      </c>
      <c r="H2274" s="636" t="s">
        <v>6571</v>
      </c>
      <c r="I2274" s="636" t="s">
        <v>2179</v>
      </c>
      <c r="J2274" s="644" t="s">
        <v>642</v>
      </c>
      <c r="K2274" s="753">
        <v>11</v>
      </c>
      <c r="L2274" s="754">
        <v>12</v>
      </c>
      <c r="M2274" s="736">
        <v>43960.800000000003</v>
      </c>
      <c r="N2274" s="744"/>
      <c r="O2274" s="739"/>
      <c r="P2274" s="739"/>
      <c r="Q2274" s="214"/>
    </row>
    <row r="2275" spans="1:17" ht="12" customHeight="1" x14ac:dyDescent="0.2">
      <c r="A2275" s="735" t="s">
        <v>7733</v>
      </c>
      <c r="B2275" s="735" t="s">
        <v>2170</v>
      </c>
      <c r="C2275" s="735" t="s">
        <v>451</v>
      </c>
      <c r="D2275" s="644" t="s">
        <v>7904</v>
      </c>
      <c r="E2275" s="736">
        <v>3000</v>
      </c>
      <c r="F2275" s="737" t="s">
        <v>8266</v>
      </c>
      <c r="G2275" s="636" t="s">
        <v>8267</v>
      </c>
      <c r="H2275" s="636" t="s">
        <v>7858</v>
      </c>
      <c r="I2275" s="636" t="s">
        <v>7859</v>
      </c>
      <c r="J2275" s="644" t="s">
        <v>643</v>
      </c>
      <c r="K2275" s="753">
        <v>12</v>
      </c>
      <c r="L2275" s="754">
        <v>12</v>
      </c>
      <c r="M2275" s="736">
        <v>37960.800000000003</v>
      </c>
      <c r="N2275" s="744"/>
      <c r="O2275" s="739"/>
      <c r="P2275" s="739"/>
      <c r="Q2275" s="214"/>
    </row>
    <row r="2276" spans="1:17" ht="12" customHeight="1" x14ac:dyDescent="0.2">
      <c r="A2276" s="735" t="s">
        <v>7733</v>
      </c>
      <c r="B2276" s="735" t="s">
        <v>2170</v>
      </c>
      <c r="C2276" s="735" t="s">
        <v>451</v>
      </c>
      <c r="D2276" s="644" t="s">
        <v>8268</v>
      </c>
      <c r="E2276" s="736">
        <v>2200</v>
      </c>
      <c r="F2276" s="737" t="s">
        <v>8269</v>
      </c>
      <c r="G2276" s="636" t="s">
        <v>8270</v>
      </c>
      <c r="H2276" s="636"/>
      <c r="I2276" s="636"/>
      <c r="J2276" s="644" t="s">
        <v>642</v>
      </c>
      <c r="K2276" s="753">
        <v>12</v>
      </c>
      <c r="L2276" s="754">
        <v>12</v>
      </c>
      <c r="M2276" s="736">
        <v>28360.799999999999</v>
      </c>
      <c r="N2276" s="744"/>
      <c r="O2276" s="739"/>
      <c r="P2276" s="739"/>
      <c r="Q2276" s="214"/>
    </row>
    <row r="2277" spans="1:17" ht="12" customHeight="1" x14ac:dyDescent="0.2">
      <c r="A2277" s="735" t="s">
        <v>7733</v>
      </c>
      <c r="B2277" s="735" t="s">
        <v>2170</v>
      </c>
      <c r="C2277" s="735" t="s">
        <v>451</v>
      </c>
      <c r="D2277" s="644" t="s">
        <v>7901</v>
      </c>
      <c r="E2277" s="736">
        <v>2500</v>
      </c>
      <c r="F2277" s="737" t="s">
        <v>8271</v>
      </c>
      <c r="G2277" s="636" t="s">
        <v>8272</v>
      </c>
      <c r="H2277" s="636"/>
      <c r="I2277" s="636"/>
      <c r="J2277" s="644" t="s">
        <v>644</v>
      </c>
      <c r="K2277" s="753">
        <v>10</v>
      </c>
      <c r="L2277" s="754">
        <v>10</v>
      </c>
      <c r="M2277" s="736">
        <v>26960.799999999999</v>
      </c>
      <c r="N2277" s="744"/>
      <c r="O2277" s="739"/>
      <c r="P2277" s="739"/>
      <c r="Q2277" s="214"/>
    </row>
    <row r="2278" spans="1:17" ht="12" customHeight="1" x14ac:dyDescent="0.2">
      <c r="A2278" s="735" t="s">
        <v>7733</v>
      </c>
      <c r="B2278" s="735" t="s">
        <v>2170</v>
      </c>
      <c r="C2278" s="735" t="s">
        <v>451</v>
      </c>
      <c r="D2278" s="644" t="s">
        <v>8273</v>
      </c>
      <c r="E2278" s="736">
        <v>6000</v>
      </c>
      <c r="F2278" s="737" t="s">
        <v>8274</v>
      </c>
      <c r="G2278" s="636" t="s">
        <v>8275</v>
      </c>
      <c r="H2278" s="636" t="s">
        <v>7752</v>
      </c>
      <c r="I2278" s="636" t="s">
        <v>2179</v>
      </c>
      <c r="J2278" s="644" t="s">
        <v>642</v>
      </c>
      <c r="K2278" s="753">
        <v>5</v>
      </c>
      <c r="L2278" s="754">
        <v>12</v>
      </c>
      <c r="M2278" s="736">
        <v>73960.800000000003</v>
      </c>
      <c r="N2278" s="744"/>
      <c r="O2278" s="739"/>
      <c r="P2278" s="739"/>
      <c r="Q2278" s="214"/>
    </row>
    <row r="2279" spans="1:17" ht="12" customHeight="1" x14ac:dyDescent="0.2">
      <c r="A2279" s="735" t="s">
        <v>7733</v>
      </c>
      <c r="B2279" s="735" t="s">
        <v>2170</v>
      </c>
      <c r="C2279" s="735" t="s">
        <v>451</v>
      </c>
      <c r="D2279" s="644" t="s">
        <v>7971</v>
      </c>
      <c r="E2279" s="736">
        <v>2500</v>
      </c>
      <c r="F2279" s="737" t="s">
        <v>8276</v>
      </c>
      <c r="G2279" s="636" t="s">
        <v>8277</v>
      </c>
      <c r="H2279" s="636" t="s">
        <v>7834</v>
      </c>
      <c r="I2279" s="636" t="s">
        <v>7835</v>
      </c>
      <c r="J2279" s="644" t="s">
        <v>642</v>
      </c>
      <c r="K2279" s="753">
        <v>11</v>
      </c>
      <c r="L2279" s="754">
        <v>11</v>
      </c>
      <c r="M2279" s="736">
        <v>29460.799999999999</v>
      </c>
      <c r="N2279" s="744"/>
      <c r="O2279" s="739"/>
      <c r="P2279" s="739"/>
      <c r="Q2279" s="214"/>
    </row>
    <row r="2280" spans="1:17" ht="12" customHeight="1" x14ac:dyDescent="0.2">
      <c r="A2280" s="735" t="s">
        <v>7733</v>
      </c>
      <c r="B2280" s="735" t="s">
        <v>2170</v>
      </c>
      <c r="C2280" s="735" t="s">
        <v>451</v>
      </c>
      <c r="D2280" s="644" t="s">
        <v>7855</v>
      </c>
      <c r="E2280" s="736">
        <v>2200</v>
      </c>
      <c r="F2280" s="737" t="s">
        <v>8278</v>
      </c>
      <c r="G2280" s="636" t="s">
        <v>8279</v>
      </c>
      <c r="H2280" s="636" t="s">
        <v>7858</v>
      </c>
      <c r="I2280" s="636" t="s">
        <v>7858</v>
      </c>
      <c r="J2280" s="644" t="s">
        <v>644</v>
      </c>
      <c r="K2280" s="753">
        <v>12</v>
      </c>
      <c r="L2280" s="754">
        <v>12</v>
      </c>
      <c r="M2280" s="736">
        <v>28360.799999999999</v>
      </c>
      <c r="N2280" s="744"/>
      <c r="O2280" s="739"/>
      <c r="P2280" s="739"/>
      <c r="Q2280" s="214"/>
    </row>
    <row r="2281" spans="1:17" ht="12" customHeight="1" x14ac:dyDescent="0.2">
      <c r="A2281" s="735" t="s">
        <v>7733</v>
      </c>
      <c r="B2281" s="735" t="s">
        <v>2170</v>
      </c>
      <c r="C2281" s="735" t="s">
        <v>451</v>
      </c>
      <c r="D2281" s="644" t="s">
        <v>7855</v>
      </c>
      <c r="E2281" s="736">
        <v>1500</v>
      </c>
      <c r="F2281" s="737" t="s">
        <v>8280</v>
      </c>
      <c r="G2281" s="636" t="s">
        <v>8281</v>
      </c>
      <c r="H2281" s="636" t="s">
        <v>8282</v>
      </c>
      <c r="I2281" s="636" t="s">
        <v>7835</v>
      </c>
      <c r="J2281" s="644" t="s">
        <v>644</v>
      </c>
      <c r="K2281" s="753">
        <v>10</v>
      </c>
      <c r="L2281" s="754">
        <v>10</v>
      </c>
      <c r="M2281" s="736">
        <v>17220</v>
      </c>
      <c r="N2281" s="744"/>
      <c r="O2281" s="739"/>
      <c r="P2281" s="739"/>
      <c r="Q2281" s="214"/>
    </row>
    <row r="2282" spans="1:17" ht="12" customHeight="1" x14ac:dyDescent="0.2">
      <c r="A2282" s="735" t="s">
        <v>7733</v>
      </c>
      <c r="B2282" s="735" t="s">
        <v>2170</v>
      </c>
      <c r="C2282" s="735" t="s">
        <v>451</v>
      </c>
      <c r="D2282" s="644" t="s">
        <v>7740</v>
      </c>
      <c r="E2282" s="736">
        <v>2500</v>
      </c>
      <c r="F2282" s="737" t="s">
        <v>8283</v>
      </c>
      <c r="G2282" s="636" t="s">
        <v>8284</v>
      </c>
      <c r="H2282" s="636" t="s">
        <v>7782</v>
      </c>
      <c r="I2282" s="636" t="s">
        <v>2766</v>
      </c>
      <c r="J2282" s="644" t="s">
        <v>643</v>
      </c>
      <c r="K2282" s="753">
        <v>12</v>
      </c>
      <c r="L2282" s="754">
        <v>12</v>
      </c>
      <c r="M2282" s="736">
        <v>31960.799999999999</v>
      </c>
      <c r="N2282" s="744"/>
      <c r="O2282" s="739"/>
      <c r="P2282" s="739"/>
      <c r="Q2282" s="214"/>
    </row>
    <row r="2283" spans="1:17" ht="12" customHeight="1" x14ac:dyDescent="0.2">
      <c r="A2283" s="735" t="s">
        <v>7733</v>
      </c>
      <c r="B2283" s="735" t="s">
        <v>2170</v>
      </c>
      <c r="C2283" s="735" t="s">
        <v>451</v>
      </c>
      <c r="D2283" s="644" t="s">
        <v>8285</v>
      </c>
      <c r="E2283" s="736">
        <v>3300</v>
      </c>
      <c r="F2283" s="737" t="s">
        <v>8286</v>
      </c>
      <c r="G2283" s="636" t="s">
        <v>8287</v>
      </c>
      <c r="H2283" s="636" t="s">
        <v>3915</v>
      </c>
      <c r="I2283" s="636" t="s">
        <v>2766</v>
      </c>
      <c r="J2283" s="644" t="s">
        <v>643</v>
      </c>
      <c r="K2283" s="753">
        <v>9</v>
      </c>
      <c r="L2283" s="754">
        <v>12</v>
      </c>
      <c r="M2283" s="736">
        <v>41560.800000000003</v>
      </c>
      <c r="N2283" s="744"/>
      <c r="O2283" s="739"/>
      <c r="P2283" s="739"/>
      <c r="Q2283" s="214"/>
    </row>
    <row r="2284" spans="1:17" ht="12" customHeight="1" x14ac:dyDescent="0.2">
      <c r="A2284" s="735" t="s">
        <v>7733</v>
      </c>
      <c r="B2284" s="735" t="s">
        <v>2170</v>
      </c>
      <c r="C2284" s="735" t="s">
        <v>451</v>
      </c>
      <c r="D2284" s="644" t="s">
        <v>8288</v>
      </c>
      <c r="E2284" s="736">
        <v>2500</v>
      </c>
      <c r="F2284" s="737" t="s">
        <v>8289</v>
      </c>
      <c r="G2284" s="636" t="s">
        <v>8290</v>
      </c>
      <c r="H2284" s="636" t="s">
        <v>7280</v>
      </c>
      <c r="I2284" s="636" t="s">
        <v>3760</v>
      </c>
      <c r="J2284" s="644" t="s">
        <v>643</v>
      </c>
      <c r="K2284" s="753">
        <v>5</v>
      </c>
      <c r="L2284" s="754">
        <v>12</v>
      </c>
      <c r="M2284" s="736">
        <v>31960.799999999999</v>
      </c>
      <c r="N2284" s="744"/>
      <c r="O2284" s="739"/>
      <c r="P2284" s="739"/>
      <c r="Q2284" s="214"/>
    </row>
    <row r="2285" spans="1:17" ht="12" customHeight="1" x14ac:dyDescent="0.2">
      <c r="A2285" s="735" t="s">
        <v>7733</v>
      </c>
      <c r="B2285" s="735" t="s">
        <v>2170</v>
      </c>
      <c r="C2285" s="735" t="s">
        <v>451</v>
      </c>
      <c r="D2285" s="644" t="s">
        <v>2788</v>
      </c>
      <c r="E2285" s="736">
        <v>1600</v>
      </c>
      <c r="F2285" s="737" t="s">
        <v>8291</v>
      </c>
      <c r="G2285" s="636" t="s">
        <v>8292</v>
      </c>
      <c r="H2285" s="636" t="s">
        <v>6778</v>
      </c>
      <c r="I2285" s="636" t="s">
        <v>3092</v>
      </c>
      <c r="J2285" s="644" t="s">
        <v>643</v>
      </c>
      <c r="K2285" s="753">
        <v>12</v>
      </c>
      <c r="L2285" s="754">
        <v>12</v>
      </c>
      <c r="M2285" s="736">
        <v>21528</v>
      </c>
      <c r="N2285" s="744"/>
      <c r="O2285" s="739"/>
      <c r="P2285" s="739"/>
      <c r="Q2285" s="214"/>
    </row>
    <row r="2286" spans="1:17" ht="12" customHeight="1" x14ac:dyDescent="0.2">
      <c r="A2286" s="735" t="s">
        <v>7733</v>
      </c>
      <c r="B2286" s="735" t="s">
        <v>2170</v>
      </c>
      <c r="C2286" s="735" t="s">
        <v>451</v>
      </c>
      <c r="D2286" s="644" t="s">
        <v>8268</v>
      </c>
      <c r="E2286" s="736">
        <v>2500</v>
      </c>
      <c r="F2286" s="737" t="s">
        <v>8293</v>
      </c>
      <c r="G2286" s="636" t="s">
        <v>8294</v>
      </c>
      <c r="H2286" s="636"/>
      <c r="I2286" s="636"/>
      <c r="J2286" s="644" t="s">
        <v>644</v>
      </c>
      <c r="K2286" s="753">
        <v>12</v>
      </c>
      <c r="L2286" s="754">
        <v>12</v>
      </c>
      <c r="M2286" s="736">
        <v>31960.799999999999</v>
      </c>
      <c r="N2286" s="744"/>
      <c r="O2286" s="739"/>
      <c r="P2286" s="739"/>
      <c r="Q2286" s="214"/>
    </row>
    <row r="2287" spans="1:17" ht="12" customHeight="1" x14ac:dyDescent="0.2">
      <c r="A2287" s="735" t="s">
        <v>7733</v>
      </c>
      <c r="B2287" s="735" t="s">
        <v>2170</v>
      </c>
      <c r="C2287" s="735" t="s">
        <v>451</v>
      </c>
      <c r="D2287" s="644" t="s">
        <v>8295</v>
      </c>
      <c r="E2287" s="736">
        <v>7000</v>
      </c>
      <c r="F2287" s="737" t="s">
        <v>8296</v>
      </c>
      <c r="G2287" s="636" t="s">
        <v>8297</v>
      </c>
      <c r="H2287" s="636"/>
      <c r="I2287" s="636"/>
      <c r="J2287" s="644" t="s">
        <v>642</v>
      </c>
      <c r="K2287" s="753">
        <v>5</v>
      </c>
      <c r="L2287" s="754">
        <v>12</v>
      </c>
      <c r="M2287" s="736">
        <v>85960.8</v>
      </c>
      <c r="N2287" s="744"/>
      <c r="O2287" s="739"/>
      <c r="P2287" s="739"/>
      <c r="Q2287" s="214"/>
    </row>
    <row r="2288" spans="1:17" ht="12" customHeight="1" x14ac:dyDescent="0.2">
      <c r="A2288" s="735" t="s">
        <v>7733</v>
      </c>
      <c r="B2288" s="735" t="s">
        <v>2170</v>
      </c>
      <c r="C2288" s="735" t="s">
        <v>451</v>
      </c>
      <c r="D2288" s="644" t="s">
        <v>8298</v>
      </c>
      <c r="E2288" s="736">
        <v>1200</v>
      </c>
      <c r="F2288" s="737" t="s">
        <v>8299</v>
      </c>
      <c r="G2288" s="636" t="s">
        <v>8300</v>
      </c>
      <c r="H2288" s="636"/>
      <c r="I2288" s="636"/>
      <c r="J2288" s="644" t="s">
        <v>644</v>
      </c>
      <c r="K2288" s="753">
        <v>5</v>
      </c>
      <c r="L2288" s="754">
        <v>12</v>
      </c>
      <c r="M2288" s="736">
        <v>16296</v>
      </c>
      <c r="N2288" s="744"/>
      <c r="O2288" s="739"/>
      <c r="P2288" s="739"/>
      <c r="Q2288" s="214"/>
    </row>
    <row r="2289" spans="1:17" ht="12" customHeight="1" x14ac:dyDescent="0.2">
      <c r="A2289" s="735" t="s">
        <v>7733</v>
      </c>
      <c r="B2289" s="735" t="s">
        <v>2170</v>
      </c>
      <c r="C2289" s="735" t="s">
        <v>451</v>
      </c>
      <c r="D2289" s="644" t="s">
        <v>8301</v>
      </c>
      <c r="E2289" s="736">
        <v>1600</v>
      </c>
      <c r="F2289" s="737" t="s">
        <v>8302</v>
      </c>
      <c r="G2289" s="636" t="s">
        <v>8303</v>
      </c>
      <c r="H2289" s="636" t="s">
        <v>8089</v>
      </c>
      <c r="I2289" s="636" t="s">
        <v>8090</v>
      </c>
      <c r="J2289" s="644" t="s">
        <v>643</v>
      </c>
      <c r="K2289" s="753">
        <v>12</v>
      </c>
      <c r="L2289" s="754">
        <v>12</v>
      </c>
      <c r="M2289" s="736">
        <v>21528</v>
      </c>
      <c r="N2289" s="744"/>
      <c r="O2289" s="739"/>
      <c r="P2289" s="739"/>
      <c r="Q2289" s="214"/>
    </row>
    <row r="2290" spans="1:17" ht="12" customHeight="1" x14ac:dyDescent="0.2">
      <c r="A2290" s="735" t="s">
        <v>7733</v>
      </c>
      <c r="B2290" s="735" t="s">
        <v>2170</v>
      </c>
      <c r="C2290" s="735" t="s">
        <v>451</v>
      </c>
      <c r="D2290" s="644" t="s">
        <v>8298</v>
      </c>
      <c r="E2290" s="736">
        <v>930</v>
      </c>
      <c r="F2290" s="737" t="s">
        <v>8304</v>
      </c>
      <c r="G2290" s="636" t="s">
        <v>8305</v>
      </c>
      <c r="H2290" s="636"/>
      <c r="I2290" s="636"/>
      <c r="J2290" s="644" t="s">
        <v>644</v>
      </c>
      <c r="K2290" s="753">
        <v>12</v>
      </c>
      <c r="L2290" s="754">
        <v>12</v>
      </c>
      <c r="M2290" s="736">
        <v>12764.4</v>
      </c>
      <c r="N2290" s="744"/>
      <c r="O2290" s="739"/>
      <c r="P2290" s="739"/>
      <c r="Q2290" s="214"/>
    </row>
    <row r="2291" spans="1:17" ht="12" customHeight="1" x14ac:dyDescent="0.2">
      <c r="A2291" s="735" t="s">
        <v>7733</v>
      </c>
      <c r="B2291" s="735" t="s">
        <v>2170</v>
      </c>
      <c r="C2291" s="735" t="s">
        <v>451</v>
      </c>
      <c r="D2291" s="644" t="s">
        <v>2261</v>
      </c>
      <c r="E2291" s="736">
        <v>2800</v>
      </c>
      <c r="F2291" s="737" t="s">
        <v>8306</v>
      </c>
      <c r="G2291" s="636" t="s">
        <v>8307</v>
      </c>
      <c r="H2291" s="636" t="s">
        <v>2228</v>
      </c>
      <c r="I2291" s="636" t="s">
        <v>2228</v>
      </c>
      <c r="J2291" s="644"/>
      <c r="K2291" s="753">
        <v>2</v>
      </c>
      <c r="L2291" s="754">
        <v>3</v>
      </c>
      <c r="M2291" s="736">
        <v>10360.799999999999</v>
      </c>
      <c r="N2291" s="744"/>
      <c r="O2291" s="739"/>
      <c r="P2291" s="739"/>
      <c r="Q2291" s="214"/>
    </row>
    <row r="2292" spans="1:17" ht="12" customHeight="1" x14ac:dyDescent="0.2">
      <c r="A2292" s="735" t="s">
        <v>7733</v>
      </c>
      <c r="B2292" s="735" t="s">
        <v>2170</v>
      </c>
      <c r="C2292" s="735" t="s">
        <v>451</v>
      </c>
      <c r="D2292" s="644" t="s">
        <v>2261</v>
      </c>
      <c r="E2292" s="736">
        <v>3000</v>
      </c>
      <c r="F2292" s="737" t="s">
        <v>8308</v>
      </c>
      <c r="G2292" s="636" t="s">
        <v>8309</v>
      </c>
      <c r="H2292" s="636" t="s">
        <v>6778</v>
      </c>
      <c r="I2292" s="636" t="s">
        <v>6778</v>
      </c>
      <c r="J2292" s="644" t="s">
        <v>642</v>
      </c>
      <c r="K2292" s="753">
        <v>5</v>
      </c>
      <c r="L2292" s="754">
        <v>12</v>
      </c>
      <c r="M2292" s="736">
        <v>37960.800000000003</v>
      </c>
      <c r="N2292" s="744"/>
      <c r="O2292" s="739"/>
      <c r="P2292" s="739"/>
      <c r="Q2292" s="214"/>
    </row>
    <row r="2293" spans="1:17" ht="12" customHeight="1" x14ac:dyDescent="0.2">
      <c r="A2293" s="735" t="s">
        <v>7733</v>
      </c>
      <c r="B2293" s="735" t="s">
        <v>2170</v>
      </c>
      <c r="C2293" s="735" t="s">
        <v>451</v>
      </c>
      <c r="D2293" s="644" t="s">
        <v>8310</v>
      </c>
      <c r="E2293" s="736">
        <v>4000</v>
      </c>
      <c r="F2293" s="737" t="s">
        <v>8311</v>
      </c>
      <c r="G2293" s="636" t="s">
        <v>8312</v>
      </c>
      <c r="H2293" s="636" t="s">
        <v>7752</v>
      </c>
      <c r="I2293" s="636" t="s">
        <v>2179</v>
      </c>
      <c r="J2293" s="644" t="s">
        <v>642</v>
      </c>
      <c r="K2293" s="753">
        <v>5</v>
      </c>
      <c r="L2293" s="754">
        <v>12</v>
      </c>
      <c r="M2293" s="736">
        <v>49960.800000000003</v>
      </c>
      <c r="N2293" s="744"/>
      <c r="O2293" s="739"/>
      <c r="P2293" s="739"/>
      <c r="Q2293" s="214"/>
    </row>
    <row r="2294" spans="1:17" ht="12" customHeight="1" x14ac:dyDescent="0.2">
      <c r="A2294" s="735" t="s">
        <v>7733</v>
      </c>
      <c r="B2294" s="735" t="s">
        <v>2170</v>
      </c>
      <c r="C2294" s="735" t="s">
        <v>451</v>
      </c>
      <c r="D2294" s="644" t="s">
        <v>7855</v>
      </c>
      <c r="E2294" s="736">
        <v>2200</v>
      </c>
      <c r="F2294" s="737" t="s">
        <v>8313</v>
      </c>
      <c r="G2294" s="636" t="s">
        <v>8314</v>
      </c>
      <c r="H2294" s="636" t="s">
        <v>7152</v>
      </c>
      <c r="I2294" s="636" t="s">
        <v>8315</v>
      </c>
      <c r="J2294" s="644" t="s">
        <v>644</v>
      </c>
      <c r="K2294" s="753">
        <v>12</v>
      </c>
      <c r="L2294" s="754">
        <v>12</v>
      </c>
      <c r="M2294" s="736">
        <v>28360.799999999999</v>
      </c>
      <c r="N2294" s="744"/>
      <c r="O2294" s="739"/>
      <c r="P2294" s="739"/>
      <c r="Q2294" s="214"/>
    </row>
    <row r="2295" spans="1:17" ht="12" customHeight="1" x14ac:dyDescent="0.2">
      <c r="A2295" s="735" t="s">
        <v>7733</v>
      </c>
      <c r="B2295" s="735" t="s">
        <v>2170</v>
      </c>
      <c r="C2295" s="735" t="s">
        <v>451</v>
      </c>
      <c r="D2295" s="644" t="s">
        <v>8316</v>
      </c>
      <c r="E2295" s="736">
        <v>4000</v>
      </c>
      <c r="F2295" s="737" t="s">
        <v>8317</v>
      </c>
      <c r="G2295" s="636" t="s">
        <v>8318</v>
      </c>
      <c r="H2295" s="636" t="s">
        <v>6571</v>
      </c>
      <c r="I2295" s="636" t="s">
        <v>2179</v>
      </c>
      <c r="J2295" s="644" t="s">
        <v>642</v>
      </c>
      <c r="K2295" s="753">
        <v>5</v>
      </c>
      <c r="L2295" s="754">
        <v>12</v>
      </c>
      <c r="M2295" s="736">
        <v>49960.800000000003</v>
      </c>
      <c r="N2295" s="744"/>
      <c r="O2295" s="739"/>
      <c r="P2295" s="739"/>
      <c r="Q2295" s="214"/>
    </row>
    <row r="2296" spans="1:17" ht="12" customHeight="1" x14ac:dyDescent="0.2">
      <c r="A2296" s="735" t="s">
        <v>7733</v>
      </c>
      <c r="B2296" s="735" t="s">
        <v>2170</v>
      </c>
      <c r="C2296" s="735" t="s">
        <v>451</v>
      </c>
      <c r="D2296" s="644" t="s">
        <v>7871</v>
      </c>
      <c r="E2296" s="736">
        <v>4000</v>
      </c>
      <c r="F2296" s="737" t="s">
        <v>8319</v>
      </c>
      <c r="G2296" s="636" t="s">
        <v>8320</v>
      </c>
      <c r="H2296" s="636"/>
      <c r="I2296" s="636"/>
      <c r="J2296" s="644" t="s">
        <v>642</v>
      </c>
      <c r="K2296" s="753">
        <v>1</v>
      </c>
      <c r="L2296" s="754">
        <v>2</v>
      </c>
      <c r="M2296" s="736">
        <v>9960.7999999999993</v>
      </c>
      <c r="N2296" s="744"/>
      <c r="O2296" s="739"/>
      <c r="P2296" s="739"/>
      <c r="Q2296" s="214"/>
    </row>
    <row r="2297" spans="1:17" ht="12" customHeight="1" x14ac:dyDescent="0.2">
      <c r="A2297" s="735" t="s">
        <v>7733</v>
      </c>
      <c r="B2297" s="735" t="s">
        <v>2170</v>
      </c>
      <c r="C2297" s="735" t="s">
        <v>451</v>
      </c>
      <c r="D2297" s="644" t="s">
        <v>7871</v>
      </c>
      <c r="E2297" s="736">
        <v>4500</v>
      </c>
      <c r="F2297" s="737" t="s">
        <v>8321</v>
      </c>
      <c r="G2297" s="636" t="s">
        <v>8322</v>
      </c>
      <c r="H2297" s="636" t="s">
        <v>8135</v>
      </c>
      <c r="I2297" s="636" t="s">
        <v>8323</v>
      </c>
      <c r="J2297" s="644" t="s">
        <v>642</v>
      </c>
      <c r="K2297" s="753">
        <v>1</v>
      </c>
      <c r="L2297" s="754">
        <v>1</v>
      </c>
      <c r="M2297" s="736">
        <v>6460.8</v>
      </c>
      <c r="N2297" s="744"/>
      <c r="O2297" s="739"/>
      <c r="P2297" s="739"/>
      <c r="Q2297" s="214"/>
    </row>
    <row r="2298" spans="1:17" ht="12" customHeight="1" x14ac:dyDescent="0.2">
      <c r="A2298" s="735" t="s">
        <v>7733</v>
      </c>
      <c r="B2298" s="735" t="s">
        <v>2170</v>
      </c>
      <c r="C2298" s="735" t="s">
        <v>451</v>
      </c>
      <c r="D2298" s="644" t="s">
        <v>2737</v>
      </c>
      <c r="E2298" s="736">
        <v>2500</v>
      </c>
      <c r="F2298" s="737" t="s">
        <v>8324</v>
      </c>
      <c r="G2298" s="636" t="s">
        <v>8325</v>
      </c>
      <c r="H2298" s="636" t="s">
        <v>6613</v>
      </c>
      <c r="I2298" s="636" t="s">
        <v>2745</v>
      </c>
      <c r="J2298" s="644" t="s">
        <v>642</v>
      </c>
      <c r="K2298" s="753">
        <v>3</v>
      </c>
      <c r="L2298" s="754">
        <v>7</v>
      </c>
      <c r="M2298" s="736">
        <v>19460.8</v>
      </c>
      <c r="N2298" s="744"/>
      <c r="O2298" s="739"/>
      <c r="P2298" s="739"/>
      <c r="Q2298" s="214"/>
    </row>
    <row r="2299" spans="1:17" ht="12" customHeight="1" x14ac:dyDescent="0.2">
      <c r="A2299" s="735" t="s">
        <v>7733</v>
      </c>
      <c r="B2299" s="735" t="s">
        <v>2170</v>
      </c>
      <c r="C2299" s="735" t="s">
        <v>451</v>
      </c>
      <c r="D2299" s="644" t="s">
        <v>7800</v>
      </c>
      <c r="E2299" s="736">
        <v>4000</v>
      </c>
      <c r="F2299" s="737" t="s">
        <v>8326</v>
      </c>
      <c r="G2299" s="636" t="s">
        <v>8327</v>
      </c>
      <c r="H2299" s="636" t="s">
        <v>6536</v>
      </c>
      <c r="I2299" s="636"/>
      <c r="J2299" s="644" t="s">
        <v>642</v>
      </c>
      <c r="K2299" s="753">
        <v>12</v>
      </c>
      <c r="L2299" s="754">
        <v>12</v>
      </c>
      <c r="M2299" s="736">
        <v>49960.800000000003</v>
      </c>
      <c r="N2299" s="744"/>
      <c r="O2299" s="739"/>
      <c r="P2299" s="739"/>
      <c r="Q2299" s="214"/>
    </row>
    <row r="2300" spans="1:17" ht="12" customHeight="1" x14ac:dyDescent="0.2">
      <c r="A2300" s="735" t="s">
        <v>7733</v>
      </c>
      <c r="B2300" s="735" t="s">
        <v>2170</v>
      </c>
      <c r="C2300" s="735" t="s">
        <v>451</v>
      </c>
      <c r="D2300" s="644" t="s">
        <v>8328</v>
      </c>
      <c r="E2300" s="736">
        <v>4500</v>
      </c>
      <c r="F2300" s="737" t="s">
        <v>8329</v>
      </c>
      <c r="G2300" s="636" t="s">
        <v>8330</v>
      </c>
      <c r="H2300" s="636" t="s">
        <v>7782</v>
      </c>
      <c r="I2300" s="636" t="s">
        <v>2208</v>
      </c>
      <c r="J2300" s="644" t="s">
        <v>642</v>
      </c>
      <c r="K2300" s="753">
        <v>4</v>
      </c>
      <c r="L2300" s="754">
        <v>9</v>
      </c>
      <c r="M2300" s="736">
        <v>42460.800000000003</v>
      </c>
      <c r="N2300" s="744"/>
      <c r="O2300" s="739"/>
      <c r="P2300" s="739"/>
      <c r="Q2300" s="214"/>
    </row>
    <row r="2301" spans="1:17" ht="12" customHeight="1" x14ac:dyDescent="0.2">
      <c r="A2301" s="735" t="s">
        <v>7733</v>
      </c>
      <c r="B2301" s="735" t="s">
        <v>2170</v>
      </c>
      <c r="C2301" s="735" t="s">
        <v>451</v>
      </c>
      <c r="D2301" s="644" t="s">
        <v>5809</v>
      </c>
      <c r="E2301" s="736">
        <v>5000</v>
      </c>
      <c r="F2301" s="737" t="s">
        <v>8331</v>
      </c>
      <c r="G2301" s="636" t="s">
        <v>8332</v>
      </c>
      <c r="H2301" s="636" t="s">
        <v>8135</v>
      </c>
      <c r="I2301" s="636" t="s">
        <v>8323</v>
      </c>
      <c r="J2301" s="644" t="s">
        <v>644</v>
      </c>
      <c r="K2301" s="753">
        <v>5</v>
      </c>
      <c r="L2301" s="754">
        <v>12</v>
      </c>
      <c r="M2301" s="736">
        <v>61960.800000000003</v>
      </c>
      <c r="N2301" s="744"/>
      <c r="O2301" s="739"/>
      <c r="P2301" s="739"/>
      <c r="Q2301" s="214"/>
    </row>
    <row r="2302" spans="1:17" ht="12" customHeight="1" x14ac:dyDescent="0.2">
      <c r="A2302" s="735" t="s">
        <v>7733</v>
      </c>
      <c r="B2302" s="735" t="s">
        <v>2170</v>
      </c>
      <c r="C2302" s="735" t="s">
        <v>451</v>
      </c>
      <c r="D2302" s="644" t="s">
        <v>7921</v>
      </c>
      <c r="E2302" s="736">
        <v>4000</v>
      </c>
      <c r="F2302" s="737" t="s">
        <v>8333</v>
      </c>
      <c r="G2302" s="636" t="s">
        <v>8334</v>
      </c>
      <c r="H2302" s="636" t="s">
        <v>7782</v>
      </c>
      <c r="I2302" s="636" t="s">
        <v>2208</v>
      </c>
      <c r="J2302" s="644" t="s">
        <v>642</v>
      </c>
      <c r="K2302" s="753">
        <v>11</v>
      </c>
      <c r="L2302" s="754">
        <v>11</v>
      </c>
      <c r="M2302" s="736">
        <v>45960.800000000003</v>
      </c>
      <c r="N2302" s="744"/>
      <c r="O2302" s="739"/>
      <c r="P2302" s="739"/>
      <c r="Q2302" s="214"/>
    </row>
    <row r="2303" spans="1:17" ht="12" customHeight="1" x14ac:dyDescent="0.2">
      <c r="A2303" s="735" t="s">
        <v>7733</v>
      </c>
      <c r="B2303" s="735" t="s">
        <v>2170</v>
      </c>
      <c r="C2303" s="735" t="s">
        <v>451</v>
      </c>
      <c r="D2303" s="644" t="s">
        <v>8335</v>
      </c>
      <c r="E2303" s="736">
        <v>4000</v>
      </c>
      <c r="F2303" s="737" t="s">
        <v>8336</v>
      </c>
      <c r="G2303" s="636" t="s">
        <v>8337</v>
      </c>
      <c r="H2303" s="636" t="s">
        <v>2228</v>
      </c>
      <c r="I2303" s="636" t="s">
        <v>2228</v>
      </c>
      <c r="J2303" s="644"/>
      <c r="K2303" s="753">
        <v>4</v>
      </c>
      <c r="L2303" s="754">
        <v>7</v>
      </c>
      <c r="M2303" s="736">
        <v>29960.799999999999</v>
      </c>
      <c r="N2303" s="744"/>
      <c r="O2303" s="739"/>
      <c r="P2303" s="739"/>
      <c r="Q2303" s="214"/>
    </row>
    <row r="2304" spans="1:17" ht="12" customHeight="1" x14ac:dyDescent="0.2">
      <c r="A2304" s="735" t="s">
        <v>7733</v>
      </c>
      <c r="B2304" s="735" t="s">
        <v>2170</v>
      </c>
      <c r="C2304" s="735" t="s">
        <v>451</v>
      </c>
      <c r="D2304" s="644" t="s">
        <v>7779</v>
      </c>
      <c r="E2304" s="736">
        <v>4000</v>
      </c>
      <c r="F2304" s="737" t="s">
        <v>8338</v>
      </c>
      <c r="G2304" s="636" t="s">
        <v>8339</v>
      </c>
      <c r="H2304" s="636" t="s">
        <v>8263</v>
      </c>
      <c r="I2304" s="636" t="s">
        <v>7835</v>
      </c>
      <c r="J2304" s="644" t="s">
        <v>642</v>
      </c>
      <c r="K2304" s="753">
        <v>12</v>
      </c>
      <c r="L2304" s="754">
        <v>12</v>
      </c>
      <c r="M2304" s="736">
        <v>49960.800000000003</v>
      </c>
      <c r="N2304" s="744"/>
      <c r="O2304" s="739"/>
      <c r="P2304" s="739"/>
      <c r="Q2304" s="214"/>
    </row>
    <row r="2305" spans="1:17" ht="12" customHeight="1" x14ac:dyDescent="0.2">
      <c r="A2305" s="735" t="s">
        <v>7733</v>
      </c>
      <c r="B2305" s="735" t="s">
        <v>2170</v>
      </c>
      <c r="C2305" s="735" t="s">
        <v>451</v>
      </c>
      <c r="D2305" s="644" t="s">
        <v>7755</v>
      </c>
      <c r="E2305" s="736">
        <v>2500</v>
      </c>
      <c r="F2305" s="737" t="s">
        <v>8340</v>
      </c>
      <c r="G2305" s="636" t="s">
        <v>8341</v>
      </c>
      <c r="H2305" s="636"/>
      <c r="I2305" s="636"/>
      <c r="J2305" s="644" t="s">
        <v>642</v>
      </c>
      <c r="K2305" s="753">
        <v>12</v>
      </c>
      <c r="L2305" s="754">
        <v>12</v>
      </c>
      <c r="M2305" s="736">
        <v>31960.799999999999</v>
      </c>
      <c r="N2305" s="744"/>
      <c r="O2305" s="739"/>
      <c r="P2305" s="739"/>
      <c r="Q2305" s="214"/>
    </row>
    <row r="2306" spans="1:17" ht="12" customHeight="1" x14ac:dyDescent="0.2">
      <c r="A2306" s="735" t="s">
        <v>7733</v>
      </c>
      <c r="B2306" s="735" t="s">
        <v>2170</v>
      </c>
      <c r="C2306" s="735" t="s">
        <v>451</v>
      </c>
      <c r="D2306" s="644" t="s">
        <v>7901</v>
      </c>
      <c r="E2306" s="736">
        <v>2500</v>
      </c>
      <c r="F2306" s="737" t="s">
        <v>8342</v>
      </c>
      <c r="G2306" s="636" t="s">
        <v>8343</v>
      </c>
      <c r="H2306" s="636" t="s">
        <v>7752</v>
      </c>
      <c r="I2306" s="636" t="s">
        <v>8344</v>
      </c>
      <c r="J2306" s="644" t="s">
        <v>642</v>
      </c>
      <c r="K2306" s="753">
        <v>2</v>
      </c>
      <c r="L2306" s="754">
        <v>4</v>
      </c>
      <c r="M2306" s="736">
        <v>11960.8</v>
      </c>
      <c r="N2306" s="744"/>
      <c r="O2306" s="739"/>
      <c r="P2306" s="739"/>
      <c r="Q2306" s="214"/>
    </row>
    <row r="2307" spans="1:17" ht="12" customHeight="1" x14ac:dyDescent="0.2">
      <c r="A2307" s="735" t="s">
        <v>7733</v>
      </c>
      <c r="B2307" s="735" t="s">
        <v>2170</v>
      </c>
      <c r="C2307" s="735" t="s">
        <v>451</v>
      </c>
      <c r="D2307" s="644" t="s">
        <v>7746</v>
      </c>
      <c r="E2307" s="736">
        <v>2400</v>
      </c>
      <c r="F2307" s="737" t="s">
        <v>8345</v>
      </c>
      <c r="G2307" s="636" t="s">
        <v>8346</v>
      </c>
      <c r="H2307" s="636"/>
      <c r="I2307" s="636"/>
      <c r="J2307" s="644" t="s">
        <v>643</v>
      </c>
      <c r="K2307" s="753">
        <v>1</v>
      </c>
      <c r="L2307" s="754">
        <v>12</v>
      </c>
      <c r="M2307" s="736">
        <v>30760.799999999999</v>
      </c>
      <c r="N2307" s="744"/>
      <c r="O2307" s="739"/>
      <c r="P2307" s="739"/>
      <c r="Q2307" s="214"/>
    </row>
    <row r="2308" spans="1:17" ht="12" customHeight="1" x14ac:dyDescent="0.2">
      <c r="A2308" s="735" t="s">
        <v>7733</v>
      </c>
      <c r="B2308" s="735" t="s">
        <v>2170</v>
      </c>
      <c r="C2308" s="735" t="s">
        <v>451</v>
      </c>
      <c r="D2308" s="644" t="s">
        <v>7858</v>
      </c>
      <c r="E2308" s="736">
        <v>3000</v>
      </c>
      <c r="F2308" s="737" t="s">
        <v>8347</v>
      </c>
      <c r="G2308" s="636" t="s">
        <v>8348</v>
      </c>
      <c r="H2308" s="636" t="s">
        <v>8349</v>
      </c>
      <c r="I2308" s="636" t="s">
        <v>8350</v>
      </c>
      <c r="J2308" s="644" t="s">
        <v>643</v>
      </c>
      <c r="K2308" s="753">
        <v>12</v>
      </c>
      <c r="L2308" s="754">
        <v>12</v>
      </c>
      <c r="M2308" s="736">
        <v>37960.800000000003</v>
      </c>
      <c r="N2308" s="744"/>
      <c r="O2308" s="739"/>
      <c r="P2308" s="739"/>
      <c r="Q2308" s="214"/>
    </row>
    <row r="2309" spans="1:17" ht="12" customHeight="1" x14ac:dyDescent="0.2">
      <c r="A2309" s="735" t="s">
        <v>7733</v>
      </c>
      <c r="B2309" s="735" t="s">
        <v>2170</v>
      </c>
      <c r="C2309" s="735" t="s">
        <v>451</v>
      </c>
      <c r="D2309" s="644" t="s">
        <v>8351</v>
      </c>
      <c r="E2309" s="736">
        <v>2200</v>
      </c>
      <c r="F2309" s="737" t="s">
        <v>8352</v>
      </c>
      <c r="G2309" s="636" t="s">
        <v>8353</v>
      </c>
      <c r="H2309" s="636" t="s">
        <v>8354</v>
      </c>
      <c r="I2309" s="636" t="s">
        <v>3057</v>
      </c>
      <c r="J2309" s="644" t="s">
        <v>643</v>
      </c>
      <c r="K2309" s="753">
        <v>1</v>
      </c>
      <c r="L2309" s="754">
        <v>12</v>
      </c>
      <c r="M2309" s="736">
        <v>28360.799999999999</v>
      </c>
      <c r="N2309" s="744"/>
      <c r="O2309" s="739"/>
      <c r="P2309" s="739"/>
      <c r="Q2309" s="214"/>
    </row>
    <row r="2310" spans="1:17" ht="12" customHeight="1" x14ac:dyDescent="0.2">
      <c r="A2310" s="735" t="s">
        <v>7733</v>
      </c>
      <c r="B2310" s="735" t="s">
        <v>2170</v>
      </c>
      <c r="C2310" s="735" t="s">
        <v>451</v>
      </c>
      <c r="D2310" s="644" t="s">
        <v>7740</v>
      </c>
      <c r="E2310" s="736">
        <v>2200</v>
      </c>
      <c r="F2310" s="737" t="s">
        <v>8355</v>
      </c>
      <c r="G2310" s="636" t="s">
        <v>8356</v>
      </c>
      <c r="H2310" s="636" t="s">
        <v>2228</v>
      </c>
      <c r="I2310" s="636" t="s">
        <v>2228</v>
      </c>
      <c r="J2310" s="644"/>
      <c r="K2310" s="753">
        <v>4</v>
      </c>
      <c r="L2310" s="754">
        <v>4</v>
      </c>
      <c r="M2310" s="736">
        <v>10760.8</v>
      </c>
      <c r="N2310" s="744"/>
      <c r="O2310" s="739"/>
      <c r="P2310" s="739"/>
      <c r="Q2310" s="214"/>
    </row>
    <row r="2311" spans="1:17" ht="12" customHeight="1" x14ac:dyDescent="0.2">
      <c r="A2311" s="735" t="s">
        <v>7733</v>
      </c>
      <c r="B2311" s="735" t="s">
        <v>2170</v>
      </c>
      <c r="C2311" s="735" t="s">
        <v>451</v>
      </c>
      <c r="D2311" s="644" t="s">
        <v>8357</v>
      </c>
      <c r="E2311" s="736">
        <v>3500</v>
      </c>
      <c r="F2311" s="737" t="s">
        <v>8358</v>
      </c>
      <c r="G2311" s="636" t="s">
        <v>8359</v>
      </c>
      <c r="H2311" s="636" t="s">
        <v>7834</v>
      </c>
      <c r="I2311" s="636" t="s">
        <v>7835</v>
      </c>
      <c r="J2311" s="644" t="s">
        <v>642</v>
      </c>
      <c r="K2311" s="753">
        <v>9</v>
      </c>
      <c r="L2311" s="754">
        <v>11</v>
      </c>
      <c r="M2311" s="736">
        <v>40460.800000000003</v>
      </c>
      <c r="N2311" s="744"/>
      <c r="O2311" s="739"/>
      <c r="P2311" s="739"/>
      <c r="Q2311" s="214"/>
    </row>
    <row r="2312" spans="1:17" ht="12" customHeight="1" x14ac:dyDescent="0.2">
      <c r="A2312" s="735" t="s">
        <v>7733</v>
      </c>
      <c r="B2312" s="735" t="s">
        <v>2170</v>
      </c>
      <c r="C2312" s="735" t="s">
        <v>451</v>
      </c>
      <c r="D2312" s="644" t="s">
        <v>8360</v>
      </c>
      <c r="E2312" s="736">
        <v>3500</v>
      </c>
      <c r="F2312" s="737" t="s">
        <v>8361</v>
      </c>
      <c r="G2312" s="636" t="s">
        <v>8362</v>
      </c>
      <c r="H2312" s="636" t="s">
        <v>7752</v>
      </c>
      <c r="I2312" s="636" t="s">
        <v>2179</v>
      </c>
      <c r="J2312" s="644" t="s">
        <v>642</v>
      </c>
      <c r="K2312" s="753">
        <v>1</v>
      </c>
      <c r="L2312" s="754">
        <v>1</v>
      </c>
      <c r="M2312" s="736">
        <v>5460.8</v>
      </c>
      <c r="N2312" s="744"/>
      <c r="O2312" s="739"/>
      <c r="P2312" s="739"/>
      <c r="Q2312" s="214"/>
    </row>
    <row r="2313" spans="1:17" ht="12" customHeight="1" x14ac:dyDescent="0.2">
      <c r="A2313" s="735" t="s">
        <v>7733</v>
      </c>
      <c r="B2313" s="735" t="s">
        <v>2170</v>
      </c>
      <c r="C2313" s="735" t="s">
        <v>451</v>
      </c>
      <c r="D2313" s="644" t="s">
        <v>7985</v>
      </c>
      <c r="E2313" s="736">
        <v>3000</v>
      </c>
      <c r="F2313" s="737" t="s">
        <v>8363</v>
      </c>
      <c r="G2313" s="636" t="s">
        <v>8364</v>
      </c>
      <c r="H2313" s="636" t="s">
        <v>8000</v>
      </c>
      <c r="I2313" s="636" t="s">
        <v>2445</v>
      </c>
      <c r="J2313" s="644" t="s">
        <v>643</v>
      </c>
      <c r="K2313" s="753">
        <v>12</v>
      </c>
      <c r="L2313" s="754">
        <v>12</v>
      </c>
      <c r="M2313" s="736">
        <v>37960.800000000003</v>
      </c>
      <c r="N2313" s="744"/>
      <c r="O2313" s="739"/>
      <c r="P2313" s="739"/>
      <c r="Q2313" s="214"/>
    </row>
    <row r="2314" spans="1:17" ht="12" customHeight="1" x14ac:dyDescent="0.2">
      <c r="A2314" s="735" t="s">
        <v>7733</v>
      </c>
      <c r="B2314" s="735" t="s">
        <v>2170</v>
      </c>
      <c r="C2314" s="735" t="s">
        <v>451</v>
      </c>
      <c r="D2314" s="644" t="s">
        <v>8328</v>
      </c>
      <c r="E2314" s="736">
        <v>4500</v>
      </c>
      <c r="F2314" s="737" t="s">
        <v>8365</v>
      </c>
      <c r="G2314" s="636" t="s">
        <v>8366</v>
      </c>
      <c r="H2314" s="636" t="s">
        <v>8000</v>
      </c>
      <c r="I2314" s="636" t="s">
        <v>2478</v>
      </c>
      <c r="J2314" s="644" t="s">
        <v>642</v>
      </c>
      <c r="K2314" s="753">
        <v>5</v>
      </c>
      <c r="L2314" s="754">
        <v>12</v>
      </c>
      <c r="M2314" s="736">
        <v>55960.800000000003</v>
      </c>
      <c r="N2314" s="744"/>
      <c r="O2314" s="739"/>
      <c r="P2314" s="739"/>
      <c r="Q2314" s="214"/>
    </row>
    <row r="2315" spans="1:17" ht="12" customHeight="1" x14ac:dyDescent="0.2">
      <c r="A2315" s="735" t="s">
        <v>7733</v>
      </c>
      <c r="B2315" s="735" t="s">
        <v>2170</v>
      </c>
      <c r="C2315" s="735" t="s">
        <v>451</v>
      </c>
      <c r="D2315" s="644" t="s">
        <v>8367</v>
      </c>
      <c r="E2315" s="736">
        <v>2300</v>
      </c>
      <c r="F2315" s="737" t="s">
        <v>8368</v>
      </c>
      <c r="G2315" s="636" t="s">
        <v>8369</v>
      </c>
      <c r="H2315" s="636" t="s">
        <v>8370</v>
      </c>
      <c r="I2315" s="636" t="s">
        <v>8135</v>
      </c>
      <c r="J2315" s="644" t="s">
        <v>643</v>
      </c>
      <c r="K2315" s="753">
        <v>5</v>
      </c>
      <c r="L2315" s="754">
        <v>12</v>
      </c>
      <c r="M2315" s="736">
        <v>29560.799999999999</v>
      </c>
      <c r="N2315" s="744"/>
      <c r="O2315" s="739"/>
      <c r="P2315" s="739"/>
      <c r="Q2315" s="214"/>
    </row>
    <row r="2316" spans="1:17" ht="12" customHeight="1" x14ac:dyDescent="0.2">
      <c r="A2316" s="735" t="s">
        <v>7733</v>
      </c>
      <c r="B2316" s="735" t="s">
        <v>2170</v>
      </c>
      <c r="C2316" s="735" t="s">
        <v>451</v>
      </c>
      <c r="D2316" s="644" t="s">
        <v>8371</v>
      </c>
      <c r="E2316" s="736">
        <v>3000</v>
      </c>
      <c r="F2316" s="737" t="s">
        <v>8372</v>
      </c>
      <c r="G2316" s="636" t="s">
        <v>8373</v>
      </c>
      <c r="H2316" s="636" t="s">
        <v>3754</v>
      </c>
      <c r="I2316" s="636" t="s">
        <v>2979</v>
      </c>
      <c r="J2316" s="644" t="s">
        <v>643</v>
      </c>
      <c r="K2316" s="753">
        <v>5</v>
      </c>
      <c r="L2316" s="754">
        <v>12</v>
      </c>
      <c r="M2316" s="736">
        <v>37960.800000000003</v>
      </c>
      <c r="N2316" s="744"/>
      <c r="O2316" s="739"/>
      <c r="P2316" s="739"/>
      <c r="Q2316" s="214"/>
    </row>
    <row r="2317" spans="1:17" ht="12" customHeight="1" x14ac:dyDescent="0.2">
      <c r="A2317" s="735" t="s">
        <v>7733</v>
      </c>
      <c r="B2317" s="735" t="s">
        <v>2170</v>
      </c>
      <c r="C2317" s="735" t="s">
        <v>451</v>
      </c>
      <c r="D2317" s="644" t="s">
        <v>8172</v>
      </c>
      <c r="E2317" s="736">
        <v>3500</v>
      </c>
      <c r="F2317" s="737" t="s">
        <v>8374</v>
      </c>
      <c r="G2317" s="636" t="s">
        <v>8375</v>
      </c>
      <c r="H2317" s="636"/>
      <c r="I2317" s="636"/>
      <c r="J2317" s="644" t="s">
        <v>642</v>
      </c>
      <c r="K2317" s="753">
        <v>12</v>
      </c>
      <c r="L2317" s="754">
        <v>12</v>
      </c>
      <c r="M2317" s="736">
        <v>43960.800000000003</v>
      </c>
      <c r="N2317" s="744"/>
      <c r="O2317" s="739"/>
      <c r="P2317" s="739"/>
      <c r="Q2317" s="214"/>
    </row>
    <row r="2318" spans="1:17" ht="12" customHeight="1" x14ac:dyDescent="0.2">
      <c r="A2318" s="735" t="s">
        <v>7733</v>
      </c>
      <c r="B2318" s="735" t="s">
        <v>2170</v>
      </c>
      <c r="C2318" s="735" t="s">
        <v>451</v>
      </c>
      <c r="D2318" s="644" t="s">
        <v>2190</v>
      </c>
      <c r="E2318" s="736">
        <v>1100</v>
      </c>
      <c r="F2318" s="737" t="s">
        <v>8376</v>
      </c>
      <c r="G2318" s="636" t="s">
        <v>8377</v>
      </c>
      <c r="H2318" s="636" t="s">
        <v>8378</v>
      </c>
      <c r="I2318" s="636" t="s">
        <v>8379</v>
      </c>
      <c r="J2318" s="644" t="s">
        <v>644</v>
      </c>
      <c r="K2318" s="753">
        <v>1</v>
      </c>
      <c r="L2318" s="754">
        <v>12</v>
      </c>
      <c r="M2318" s="736">
        <v>14988</v>
      </c>
      <c r="N2318" s="744"/>
      <c r="O2318" s="739"/>
      <c r="P2318" s="739"/>
      <c r="Q2318" s="214"/>
    </row>
    <row r="2319" spans="1:17" ht="12" customHeight="1" x14ac:dyDescent="0.2">
      <c r="A2319" s="735" t="s">
        <v>7733</v>
      </c>
      <c r="B2319" s="735" t="s">
        <v>2170</v>
      </c>
      <c r="C2319" s="735" t="s">
        <v>451</v>
      </c>
      <c r="D2319" s="644" t="s">
        <v>7843</v>
      </c>
      <c r="E2319" s="736">
        <v>4000</v>
      </c>
      <c r="F2319" s="737" t="s">
        <v>8380</v>
      </c>
      <c r="G2319" s="636" t="s">
        <v>8381</v>
      </c>
      <c r="H2319" s="636" t="s">
        <v>7752</v>
      </c>
      <c r="I2319" s="636" t="s">
        <v>2179</v>
      </c>
      <c r="J2319" s="644" t="s">
        <v>642</v>
      </c>
      <c r="K2319" s="753">
        <v>12</v>
      </c>
      <c r="L2319" s="754">
        <v>12</v>
      </c>
      <c r="M2319" s="736">
        <v>49960.800000000003</v>
      </c>
      <c r="N2319" s="744"/>
      <c r="O2319" s="739"/>
      <c r="P2319" s="739"/>
      <c r="Q2319" s="214"/>
    </row>
    <row r="2320" spans="1:17" ht="12" customHeight="1" x14ac:dyDescent="0.2">
      <c r="A2320" s="735" t="s">
        <v>7733</v>
      </c>
      <c r="B2320" s="735" t="s">
        <v>2170</v>
      </c>
      <c r="C2320" s="735" t="s">
        <v>451</v>
      </c>
      <c r="D2320" s="644" t="s">
        <v>5538</v>
      </c>
      <c r="E2320" s="736">
        <v>5000</v>
      </c>
      <c r="F2320" s="737" t="s">
        <v>8382</v>
      </c>
      <c r="G2320" s="636" t="s">
        <v>8383</v>
      </c>
      <c r="H2320" s="636" t="s">
        <v>6778</v>
      </c>
      <c r="I2320" s="636" t="s">
        <v>2174</v>
      </c>
      <c r="J2320" s="644" t="s">
        <v>642</v>
      </c>
      <c r="K2320" s="753">
        <v>1</v>
      </c>
      <c r="L2320" s="754">
        <v>1</v>
      </c>
      <c r="M2320" s="736">
        <v>6960.8</v>
      </c>
      <c r="N2320" s="744"/>
      <c r="O2320" s="739"/>
      <c r="P2320" s="739"/>
      <c r="Q2320" s="214"/>
    </row>
    <row r="2321" spans="1:17" ht="12" customHeight="1" x14ac:dyDescent="0.2">
      <c r="A2321" s="735" t="s">
        <v>7733</v>
      </c>
      <c r="B2321" s="735" t="s">
        <v>2170</v>
      </c>
      <c r="C2321" s="735" t="s">
        <v>451</v>
      </c>
      <c r="D2321" s="644" t="s">
        <v>7985</v>
      </c>
      <c r="E2321" s="736">
        <v>3000</v>
      </c>
      <c r="F2321" s="737" t="s">
        <v>8384</v>
      </c>
      <c r="G2321" s="636" t="s">
        <v>8385</v>
      </c>
      <c r="H2321" s="636" t="s">
        <v>8386</v>
      </c>
      <c r="I2321" s="636" t="s">
        <v>8387</v>
      </c>
      <c r="J2321" s="644" t="s">
        <v>643</v>
      </c>
      <c r="K2321" s="753">
        <v>12</v>
      </c>
      <c r="L2321" s="754">
        <v>12</v>
      </c>
      <c r="M2321" s="736">
        <v>37960.800000000003</v>
      </c>
      <c r="N2321" s="744"/>
      <c r="O2321" s="739"/>
      <c r="P2321" s="739"/>
      <c r="Q2321" s="214"/>
    </row>
    <row r="2322" spans="1:17" ht="12" customHeight="1" x14ac:dyDescent="0.2">
      <c r="A2322" s="735" t="s">
        <v>7733</v>
      </c>
      <c r="B2322" s="735" t="s">
        <v>2170</v>
      </c>
      <c r="C2322" s="735" t="s">
        <v>451</v>
      </c>
      <c r="D2322" s="644" t="s">
        <v>7977</v>
      </c>
      <c r="E2322" s="736">
        <v>4000</v>
      </c>
      <c r="F2322" s="737" t="s">
        <v>8388</v>
      </c>
      <c r="G2322" s="636" t="s">
        <v>8389</v>
      </c>
      <c r="H2322" s="636" t="s">
        <v>7782</v>
      </c>
      <c r="I2322" s="636" t="s">
        <v>2365</v>
      </c>
      <c r="J2322" s="644" t="s">
        <v>642</v>
      </c>
      <c r="K2322" s="753">
        <v>12</v>
      </c>
      <c r="L2322" s="754">
        <v>12</v>
      </c>
      <c r="M2322" s="736">
        <v>49960.800000000003</v>
      </c>
      <c r="N2322" s="744"/>
      <c r="O2322" s="739"/>
      <c r="P2322" s="739"/>
      <c r="Q2322" s="214"/>
    </row>
    <row r="2323" spans="1:17" ht="12" customHeight="1" x14ac:dyDescent="0.2">
      <c r="A2323" s="735" t="s">
        <v>7733</v>
      </c>
      <c r="B2323" s="735" t="s">
        <v>2170</v>
      </c>
      <c r="C2323" s="735" t="s">
        <v>451</v>
      </c>
      <c r="D2323" s="644" t="s">
        <v>8390</v>
      </c>
      <c r="E2323" s="736">
        <v>4000</v>
      </c>
      <c r="F2323" s="737" t="s">
        <v>8391</v>
      </c>
      <c r="G2323" s="636" t="s">
        <v>8392</v>
      </c>
      <c r="H2323" s="636" t="s">
        <v>8000</v>
      </c>
      <c r="I2323" s="636" t="s">
        <v>2478</v>
      </c>
      <c r="J2323" s="644" t="s">
        <v>642</v>
      </c>
      <c r="K2323" s="753">
        <v>5</v>
      </c>
      <c r="L2323" s="754">
        <v>12</v>
      </c>
      <c r="M2323" s="736">
        <v>49960.800000000003</v>
      </c>
      <c r="N2323" s="744"/>
      <c r="O2323" s="739"/>
      <c r="P2323" s="739"/>
      <c r="Q2323" s="214"/>
    </row>
    <row r="2324" spans="1:17" ht="12" customHeight="1" x14ac:dyDescent="0.2">
      <c r="A2324" s="735" t="s">
        <v>7733</v>
      </c>
      <c r="B2324" s="735" t="s">
        <v>2170</v>
      </c>
      <c r="C2324" s="735" t="s">
        <v>451</v>
      </c>
      <c r="D2324" s="644" t="s">
        <v>7817</v>
      </c>
      <c r="E2324" s="736">
        <v>1500</v>
      </c>
      <c r="F2324" s="737" t="s">
        <v>8393</v>
      </c>
      <c r="G2324" s="636" t="s">
        <v>8394</v>
      </c>
      <c r="H2324" s="636" t="s">
        <v>8395</v>
      </c>
      <c r="I2324" s="636" t="s">
        <v>8036</v>
      </c>
      <c r="J2324" s="644" t="s">
        <v>643</v>
      </c>
      <c r="K2324" s="753">
        <v>12</v>
      </c>
      <c r="L2324" s="754">
        <v>12</v>
      </c>
      <c r="M2324" s="736">
        <v>20220</v>
      </c>
      <c r="N2324" s="744"/>
      <c r="O2324" s="739"/>
      <c r="P2324" s="739"/>
      <c r="Q2324" s="214"/>
    </row>
    <row r="2325" spans="1:17" ht="12" customHeight="1" x14ac:dyDescent="0.2">
      <c r="A2325" s="735" t="s">
        <v>7733</v>
      </c>
      <c r="B2325" s="735" t="s">
        <v>2170</v>
      </c>
      <c r="C2325" s="735" t="s">
        <v>451</v>
      </c>
      <c r="D2325" s="644" t="s">
        <v>7779</v>
      </c>
      <c r="E2325" s="736">
        <v>3000</v>
      </c>
      <c r="F2325" s="737" t="s">
        <v>8396</v>
      </c>
      <c r="G2325" s="636" t="s">
        <v>8397</v>
      </c>
      <c r="H2325" s="636"/>
      <c r="I2325" s="636"/>
      <c r="J2325" s="644" t="s">
        <v>642</v>
      </c>
      <c r="K2325" s="753">
        <v>12</v>
      </c>
      <c r="L2325" s="754">
        <v>12</v>
      </c>
      <c r="M2325" s="736">
        <v>37960.800000000003</v>
      </c>
      <c r="N2325" s="744"/>
      <c r="O2325" s="739"/>
      <c r="P2325" s="739"/>
      <c r="Q2325" s="214"/>
    </row>
    <row r="2326" spans="1:17" ht="12" customHeight="1" x14ac:dyDescent="0.2">
      <c r="A2326" s="735" t="s">
        <v>7733</v>
      </c>
      <c r="B2326" s="735" t="s">
        <v>2170</v>
      </c>
      <c r="C2326" s="735" t="s">
        <v>451</v>
      </c>
      <c r="D2326" s="644" t="s">
        <v>2788</v>
      </c>
      <c r="E2326" s="736">
        <v>1600</v>
      </c>
      <c r="F2326" s="737" t="s">
        <v>8398</v>
      </c>
      <c r="G2326" s="636" t="s">
        <v>8399</v>
      </c>
      <c r="H2326" s="636" t="s">
        <v>8143</v>
      </c>
      <c r="I2326" s="636" t="s">
        <v>8400</v>
      </c>
      <c r="J2326" s="644" t="s">
        <v>643</v>
      </c>
      <c r="K2326" s="753">
        <v>12</v>
      </c>
      <c r="L2326" s="754">
        <v>12</v>
      </c>
      <c r="M2326" s="736">
        <v>21528</v>
      </c>
      <c r="N2326" s="744"/>
      <c r="O2326" s="739"/>
      <c r="P2326" s="739"/>
      <c r="Q2326" s="214"/>
    </row>
    <row r="2327" spans="1:17" ht="12" customHeight="1" x14ac:dyDescent="0.2">
      <c r="A2327" s="735" t="s">
        <v>7733</v>
      </c>
      <c r="B2327" s="735" t="s">
        <v>2170</v>
      </c>
      <c r="C2327" s="735" t="s">
        <v>451</v>
      </c>
      <c r="D2327" s="644" t="s">
        <v>8401</v>
      </c>
      <c r="E2327" s="736">
        <v>5000</v>
      </c>
      <c r="F2327" s="737" t="s">
        <v>8402</v>
      </c>
      <c r="G2327" s="636" t="s">
        <v>8403</v>
      </c>
      <c r="H2327" s="636" t="s">
        <v>7782</v>
      </c>
      <c r="I2327" s="636" t="s">
        <v>2208</v>
      </c>
      <c r="J2327" s="644" t="s">
        <v>642</v>
      </c>
      <c r="K2327" s="753">
        <v>12</v>
      </c>
      <c r="L2327" s="754">
        <v>12</v>
      </c>
      <c r="M2327" s="736">
        <v>61960.800000000003</v>
      </c>
      <c r="N2327" s="744"/>
      <c r="O2327" s="739"/>
      <c r="P2327" s="739"/>
      <c r="Q2327" s="214"/>
    </row>
    <row r="2328" spans="1:17" ht="12" customHeight="1" x14ac:dyDescent="0.2">
      <c r="A2328" s="735" t="s">
        <v>7733</v>
      </c>
      <c r="B2328" s="735" t="s">
        <v>2170</v>
      </c>
      <c r="C2328" s="735" t="s">
        <v>451</v>
      </c>
      <c r="D2328" s="644" t="s">
        <v>8404</v>
      </c>
      <c r="E2328" s="736">
        <v>1000</v>
      </c>
      <c r="F2328" s="737" t="s">
        <v>8405</v>
      </c>
      <c r="G2328" s="636" t="s">
        <v>8406</v>
      </c>
      <c r="H2328" s="636"/>
      <c r="I2328" s="636"/>
      <c r="J2328" s="644" t="s">
        <v>643</v>
      </c>
      <c r="K2328" s="753">
        <v>12</v>
      </c>
      <c r="L2328" s="754">
        <v>12</v>
      </c>
      <c r="M2328" s="736">
        <v>13680</v>
      </c>
      <c r="N2328" s="744"/>
      <c r="O2328" s="739"/>
      <c r="P2328" s="739"/>
      <c r="Q2328" s="214"/>
    </row>
    <row r="2329" spans="1:17" ht="12" customHeight="1" x14ac:dyDescent="0.2">
      <c r="A2329" s="735" t="s">
        <v>7733</v>
      </c>
      <c r="B2329" s="735" t="s">
        <v>2170</v>
      </c>
      <c r="C2329" s="735" t="s">
        <v>451</v>
      </c>
      <c r="D2329" s="644" t="s">
        <v>8407</v>
      </c>
      <c r="E2329" s="736">
        <v>3000</v>
      </c>
      <c r="F2329" s="737" t="s">
        <v>8408</v>
      </c>
      <c r="G2329" s="636" t="s">
        <v>8409</v>
      </c>
      <c r="H2329" s="636"/>
      <c r="I2329" s="636"/>
      <c r="J2329" s="644" t="s">
        <v>642</v>
      </c>
      <c r="K2329" s="753">
        <v>12</v>
      </c>
      <c r="L2329" s="754">
        <v>12</v>
      </c>
      <c r="M2329" s="736">
        <v>37960.800000000003</v>
      </c>
      <c r="N2329" s="744"/>
      <c r="O2329" s="739"/>
      <c r="P2329" s="739"/>
      <c r="Q2329" s="214"/>
    </row>
    <row r="2330" spans="1:17" ht="12" customHeight="1" x14ac:dyDescent="0.2">
      <c r="A2330" s="735" t="s">
        <v>7733</v>
      </c>
      <c r="B2330" s="735" t="s">
        <v>2170</v>
      </c>
      <c r="C2330" s="735" t="s">
        <v>451</v>
      </c>
      <c r="D2330" s="644" t="s">
        <v>8298</v>
      </c>
      <c r="E2330" s="736">
        <v>1200</v>
      </c>
      <c r="F2330" s="737" t="s">
        <v>8410</v>
      </c>
      <c r="G2330" s="636" t="s">
        <v>8411</v>
      </c>
      <c r="H2330" s="636"/>
      <c r="I2330" s="636"/>
      <c r="J2330" s="644" t="s">
        <v>644</v>
      </c>
      <c r="K2330" s="753">
        <v>6</v>
      </c>
      <c r="L2330" s="754">
        <v>12</v>
      </c>
      <c r="M2330" s="736">
        <v>16296</v>
      </c>
      <c r="N2330" s="744"/>
      <c r="O2330" s="739"/>
      <c r="P2330" s="739"/>
      <c r="Q2330" s="214"/>
    </row>
    <row r="2331" spans="1:17" ht="12" customHeight="1" x14ac:dyDescent="0.2">
      <c r="A2331" s="735" t="s">
        <v>7733</v>
      </c>
      <c r="B2331" s="735" t="s">
        <v>2170</v>
      </c>
      <c r="C2331" s="735" t="s">
        <v>451</v>
      </c>
      <c r="D2331" s="644" t="s">
        <v>8207</v>
      </c>
      <c r="E2331" s="736">
        <v>5500</v>
      </c>
      <c r="F2331" s="737" t="s">
        <v>8412</v>
      </c>
      <c r="G2331" s="636" t="s">
        <v>8413</v>
      </c>
      <c r="H2331" s="636" t="s">
        <v>2228</v>
      </c>
      <c r="I2331" s="636" t="s">
        <v>2228</v>
      </c>
      <c r="J2331" s="644"/>
      <c r="K2331" s="753">
        <v>1</v>
      </c>
      <c r="L2331" s="754">
        <v>1</v>
      </c>
      <c r="M2331" s="736">
        <v>7460.8</v>
      </c>
      <c r="N2331" s="744"/>
      <c r="O2331" s="739"/>
      <c r="P2331" s="739"/>
      <c r="Q2331" s="214"/>
    </row>
    <row r="2332" spans="1:17" ht="12" customHeight="1" x14ac:dyDescent="0.2">
      <c r="A2332" s="735" t="s">
        <v>7733</v>
      </c>
      <c r="B2332" s="735" t="s">
        <v>2170</v>
      </c>
      <c r="C2332" s="735" t="s">
        <v>451</v>
      </c>
      <c r="D2332" s="644" t="s">
        <v>8414</v>
      </c>
      <c r="E2332" s="736">
        <v>2500</v>
      </c>
      <c r="F2332" s="737" t="s">
        <v>8415</v>
      </c>
      <c r="G2332" s="636" t="s">
        <v>8416</v>
      </c>
      <c r="H2332" s="636"/>
      <c r="I2332" s="636"/>
      <c r="J2332" s="644" t="s">
        <v>643</v>
      </c>
      <c r="K2332" s="753">
        <v>5</v>
      </c>
      <c r="L2332" s="754">
        <v>12</v>
      </c>
      <c r="M2332" s="736">
        <v>31960.799999999999</v>
      </c>
      <c r="N2332" s="744"/>
      <c r="O2332" s="739"/>
      <c r="P2332" s="739"/>
      <c r="Q2332" s="214"/>
    </row>
    <row r="2333" spans="1:17" ht="12" customHeight="1" x14ac:dyDescent="0.2">
      <c r="A2333" s="735" t="s">
        <v>7733</v>
      </c>
      <c r="B2333" s="735" t="s">
        <v>2170</v>
      </c>
      <c r="C2333" s="735" t="s">
        <v>451</v>
      </c>
      <c r="D2333" s="644" t="s">
        <v>8417</v>
      </c>
      <c r="E2333" s="736">
        <v>1200</v>
      </c>
      <c r="F2333" s="737" t="s">
        <v>8418</v>
      </c>
      <c r="G2333" s="636" t="s">
        <v>8419</v>
      </c>
      <c r="H2333" s="636"/>
      <c r="I2333" s="636"/>
      <c r="J2333" s="644" t="s">
        <v>644</v>
      </c>
      <c r="K2333" s="753">
        <v>5</v>
      </c>
      <c r="L2333" s="754">
        <v>12</v>
      </c>
      <c r="M2333" s="736">
        <v>16296</v>
      </c>
      <c r="N2333" s="744"/>
      <c r="O2333" s="739"/>
      <c r="P2333" s="739"/>
      <c r="Q2333" s="214"/>
    </row>
    <row r="2334" spans="1:17" ht="12" customHeight="1" x14ac:dyDescent="0.2">
      <c r="A2334" s="735" t="s">
        <v>7733</v>
      </c>
      <c r="B2334" s="735" t="s">
        <v>2170</v>
      </c>
      <c r="C2334" s="735" t="s">
        <v>451</v>
      </c>
      <c r="D2334" s="644" t="s">
        <v>8420</v>
      </c>
      <c r="E2334" s="736">
        <v>10000</v>
      </c>
      <c r="F2334" s="737" t="s">
        <v>8421</v>
      </c>
      <c r="G2334" s="636" t="s">
        <v>8422</v>
      </c>
      <c r="H2334" s="636" t="s">
        <v>6633</v>
      </c>
      <c r="I2334" s="636" t="s">
        <v>2189</v>
      </c>
      <c r="J2334" s="644" t="s">
        <v>642</v>
      </c>
      <c r="K2334" s="753">
        <v>4</v>
      </c>
      <c r="L2334" s="754">
        <v>12</v>
      </c>
      <c r="M2334" s="736">
        <v>121960.8</v>
      </c>
      <c r="N2334" s="744"/>
      <c r="O2334" s="739"/>
      <c r="P2334" s="739"/>
      <c r="Q2334" s="214"/>
    </row>
    <row r="2335" spans="1:17" ht="12" customHeight="1" x14ac:dyDescent="0.2">
      <c r="A2335" s="735" t="s">
        <v>7733</v>
      </c>
      <c r="B2335" s="735" t="s">
        <v>2170</v>
      </c>
      <c r="C2335" s="735" t="s">
        <v>451</v>
      </c>
      <c r="D2335" s="644" t="s">
        <v>8273</v>
      </c>
      <c r="E2335" s="736">
        <v>7000</v>
      </c>
      <c r="F2335" s="737" t="s">
        <v>8423</v>
      </c>
      <c r="G2335" s="636" t="s">
        <v>8424</v>
      </c>
      <c r="H2335" s="636"/>
      <c r="I2335" s="636"/>
      <c r="J2335" s="644" t="s">
        <v>642</v>
      </c>
      <c r="K2335" s="753">
        <v>5</v>
      </c>
      <c r="L2335" s="754">
        <v>12</v>
      </c>
      <c r="M2335" s="736">
        <v>85960.8</v>
      </c>
      <c r="N2335" s="744"/>
      <c r="O2335" s="739"/>
      <c r="P2335" s="739"/>
      <c r="Q2335" s="214"/>
    </row>
    <row r="2336" spans="1:17" ht="12" customHeight="1" x14ac:dyDescent="0.2">
      <c r="A2336" s="735" t="s">
        <v>7733</v>
      </c>
      <c r="B2336" s="735" t="s">
        <v>2170</v>
      </c>
      <c r="C2336" s="735" t="s">
        <v>451</v>
      </c>
      <c r="D2336" s="644" t="s">
        <v>8425</v>
      </c>
      <c r="E2336" s="736">
        <v>4000</v>
      </c>
      <c r="F2336" s="737" t="s">
        <v>8426</v>
      </c>
      <c r="G2336" s="636" t="s">
        <v>8427</v>
      </c>
      <c r="H2336" s="636"/>
      <c r="I2336" s="636"/>
      <c r="J2336" s="644" t="s">
        <v>642</v>
      </c>
      <c r="K2336" s="753">
        <v>12</v>
      </c>
      <c r="L2336" s="754">
        <v>12</v>
      </c>
      <c r="M2336" s="736">
        <v>49960.800000000003</v>
      </c>
      <c r="N2336" s="744"/>
      <c r="O2336" s="739"/>
      <c r="P2336" s="739"/>
      <c r="Q2336" s="214"/>
    </row>
    <row r="2337" spans="1:17" ht="12" customHeight="1" x14ac:dyDescent="0.2">
      <c r="A2337" s="735" t="s">
        <v>7733</v>
      </c>
      <c r="B2337" s="735" t="s">
        <v>2170</v>
      </c>
      <c r="C2337" s="735" t="s">
        <v>451</v>
      </c>
      <c r="D2337" s="644" t="s">
        <v>7831</v>
      </c>
      <c r="E2337" s="736">
        <v>1600</v>
      </c>
      <c r="F2337" s="737" t="s">
        <v>8428</v>
      </c>
      <c r="G2337" s="636" t="s">
        <v>8429</v>
      </c>
      <c r="H2337" s="636"/>
      <c r="I2337" s="636"/>
      <c r="J2337" s="644" t="s">
        <v>643</v>
      </c>
      <c r="K2337" s="753">
        <v>12</v>
      </c>
      <c r="L2337" s="754">
        <v>12</v>
      </c>
      <c r="M2337" s="736">
        <v>21528</v>
      </c>
      <c r="N2337" s="744"/>
      <c r="O2337" s="739"/>
      <c r="P2337" s="739"/>
      <c r="Q2337" s="214"/>
    </row>
    <row r="2338" spans="1:17" ht="12" customHeight="1" x14ac:dyDescent="0.2">
      <c r="A2338" s="735" t="s">
        <v>7733</v>
      </c>
      <c r="B2338" s="735" t="s">
        <v>2170</v>
      </c>
      <c r="C2338" s="735" t="s">
        <v>451</v>
      </c>
      <c r="D2338" s="644" t="s">
        <v>8430</v>
      </c>
      <c r="E2338" s="736">
        <v>4500</v>
      </c>
      <c r="F2338" s="737" t="s">
        <v>8431</v>
      </c>
      <c r="G2338" s="636" t="s">
        <v>8432</v>
      </c>
      <c r="H2338" s="636" t="s">
        <v>7752</v>
      </c>
      <c r="I2338" s="636" t="s">
        <v>2179</v>
      </c>
      <c r="J2338" s="644" t="s">
        <v>642</v>
      </c>
      <c r="K2338" s="753">
        <v>5</v>
      </c>
      <c r="L2338" s="754">
        <v>12</v>
      </c>
      <c r="M2338" s="736">
        <v>55960.800000000003</v>
      </c>
      <c r="N2338" s="744"/>
      <c r="O2338" s="739"/>
      <c r="P2338" s="739"/>
      <c r="Q2338" s="214"/>
    </row>
    <row r="2339" spans="1:17" ht="12" customHeight="1" x14ac:dyDescent="0.2">
      <c r="A2339" s="735" t="s">
        <v>7733</v>
      </c>
      <c r="B2339" s="735" t="s">
        <v>2170</v>
      </c>
      <c r="C2339" s="735" t="s">
        <v>451</v>
      </c>
      <c r="D2339" s="644" t="s">
        <v>8301</v>
      </c>
      <c r="E2339" s="736">
        <v>1600</v>
      </c>
      <c r="F2339" s="737" t="s">
        <v>8433</v>
      </c>
      <c r="G2339" s="636" t="s">
        <v>8434</v>
      </c>
      <c r="H2339" s="636" t="s">
        <v>3092</v>
      </c>
      <c r="I2339" s="636" t="s">
        <v>3092</v>
      </c>
      <c r="J2339" s="644" t="s">
        <v>643</v>
      </c>
      <c r="K2339" s="753">
        <v>12</v>
      </c>
      <c r="L2339" s="754">
        <v>12</v>
      </c>
      <c r="M2339" s="736">
        <v>21528</v>
      </c>
      <c r="N2339" s="744"/>
      <c r="O2339" s="739"/>
      <c r="P2339" s="739"/>
      <c r="Q2339" s="214"/>
    </row>
    <row r="2340" spans="1:17" ht="12" customHeight="1" x14ac:dyDescent="0.2">
      <c r="A2340" s="735" t="s">
        <v>7733</v>
      </c>
      <c r="B2340" s="735" t="s">
        <v>2170</v>
      </c>
      <c r="C2340" s="735" t="s">
        <v>451</v>
      </c>
      <c r="D2340" s="644" t="s">
        <v>8045</v>
      </c>
      <c r="E2340" s="736">
        <v>2200</v>
      </c>
      <c r="F2340" s="737" t="s">
        <v>8435</v>
      </c>
      <c r="G2340" s="636" t="s">
        <v>8436</v>
      </c>
      <c r="H2340" s="636" t="s">
        <v>7820</v>
      </c>
      <c r="I2340" s="636" t="s">
        <v>8014</v>
      </c>
      <c r="J2340" s="644" t="s">
        <v>7991</v>
      </c>
      <c r="K2340" s="753">
        <v>1</v>
      </c>
      <c r="L2340" s="754">
        <v>3</v>
      </c>
      <c r="M2340" s="736">
        <v>8560.7999999999993</v>
      </c>
      <c r="N2340" s="744"/>
      <c r="O2340" s="739"/>
      <c r="P2340" s="739"/>
      <c r="Q2340" s="214"/>
    </row>
    <row r="2341" spans="1:17" ht="12" customHeight="1" x14ac:dyDescent="0.2">
      <c r="A2341" s="735" t="s">
        <v>7733</v>
      </c>
      <c r="B2341" s="735" t="s">
        <v>2170</v>
      </c>
      <c r="C2341" s="735" t="s">
        <v>451</v>
      </c>
      <c r="D2341" s="644" t="s">
        <v>7769</v>
      </c>
      <c r="E2341" s="736">
        <v>3000</v>
      </c>
      <c r="F2341" s="737" t="s">
        <v>8437</v>
      </c>
      <c r="G2341" s="636" t="s">
        <v>8438</v>
      </c>
      <c r="H2341" s="636" t="s">
        <v>7152</v>
      </c>
      <c r="I2341" s="636" t="s">
        <v>2317</v>
      </c>
      <c r="J2341" s="644" t="s">
        <v>642</v>
      </c>
      <c r="K2341" s="753">
        <v>12</v>
      </c>
      <c r="L2341" s="754">
        <v>12</v>
      </c>
      <c r="M2341" s="736">
        <v>37960.800000000003</v>
      </c>
      <c r="N2341" s="744"/>
      <c r="O2341" s="739"/>
      <c r="P2341" s="739"/>
      <c r="Q2341" s="214"/>
    </row>
    <row r="2342" spans="1:17" ht="12" customHeight="1" x14ac:dyDescent="0.2">
      <c r="A2342" s="735" t="s">
        <v>7733</v>
      </c>
      <c r="B2342" s="735" t="s">
        <v>2170</v>
      </c>
      <c r="C2342" s="735" t="s">
        <v>451</v>
      </c>
      <c r="D2342" s="644" t="s">
        <v>2179</v>
      </c>
      <c r="E2342" s="736">
        <v>6000</v>
      </c>
      <c r="F2342" s="737" t="s">
        <v>8439</v>
      </c>
      <c r="G2342" s="636" t="s">
        <v>8440</v>
      </c>
      <c r="H2342" s="636" t="s">
        <v>7752</v>
      </c>
      <c r="I2342" s="636" t="s">
        <v>2179</v>
      </c>
      <c r="J2342" s="644" t="s">
        <v>642</v>
      </c>
      <c r="K2342" s="753">
        <v>5</v>
      </c>
      <c r="L2342" s="754">
        <v>12</v>
      </c>
      <c r="M2342" s="736">
        <v>73960.800000000003</v>
      </c>
      <c r="N2342" s="744"/>
      <c r="O2342" s="739"/>
      <c r="P2342" s="739"/>
      <c r="Q2342" s="214"/>
    </row>
    <row r="2343" spans="1:17" ht="12" customHeight="1" x14ac:dyDescent="0.2">
      <c r="A2343" s="735" t="s">
        <v>7733</v>
      </c>
      <c r="B2343" s="735" t="s">
        <v>2170</v>
      </c>
      <c r="C2343" s="735" t="s">
        <v>451</v>
      </c>
      <c r="D2343" s="644" t="s">
        <v>8158</v>
      </c>
      <c r="E2343" s="736">
        <v>2500</v>
      </c>
      <c r="F2343" s="737" t="s">
        <v>8441</v>
      </c>
      <c r="G2343" s="636" t="s">
        <v>8442</v>
      </c>
      <c r="H2343" s="636"/>
      <c r="I2343" s="636"/>
      <c r="J2343" s="644" t="s">
        <v>644</v>
      </c>
      <c r="K2343" s="753">
        <v>9</v>
      </c>
      <c r="L2343" s="754">
        <v>12</v>
      </c>
      <c r="M2343" s="736">
        <v>31960.799999999999</v>
      </c>
      <c r="N2343" s="744"/>
      <c r="O2343" s="739"/>
      <c r="P2343" s="739"/>
      <c r="Q2343" s="214"/>
    </row>
    <row r="2344" spans="1:17" ht="12" customHeight="1" x14ac:dyDescent="0.2">
      <c r="A2344" s="735" t="s">
        <v>7733</v>
      </c>
      <c r="B2344" s="735" t="s">
        <v>2170</v>
      </c>
      <c r="C2344" s="735" t="s">
        <v>451</v>
      </c>
      <c r="D2344" s="644" t="s">
        <v>7838</v>
      </c>
      <c r="E2344" s="736">
        <v>2500</v>
      </c>
      <c r="F2344" s="737" t="s">
        <v>8443</v>
      </c>
      <c r="G2344" s="636" t="s">
        <v>8444</v>
      </c>
      <c r="H2344" s="636"/>
      <c r="I2344" s="636"/>
      <c r="J2344" s="644" t="s">
        <v>642</v>
      </c>
      <c r="K2344" s="753">
        <v>12</v>
      </c>
      <c r="L2344" s="754">
        <v>12</v>
      </c>
      <c r="M2344" s="736">
        <v>31960.799999999999</v>
      </c>
      <c r="N2344" s="744"/>
      <c r="O2344" s="739"/>
      <c r="P2344" s="739"/>
      <c r="Q2344" s="214"/>
    </row>
    <row r="2345" spans="1:17" ht="12" customHeight="1" x14ac:dyDescent="0.2">
      <c r="A2345" s="735" t="s">
        <v>7733</v>
      </c>
      <c r="B2345" s="735" t="s">
        <v>2170</v>
      </c>
      <c r="C2345" s="735" t="s">
        <v>451</v>
      </c>
      <c r="D2345" s="644" t="s">
        <v>8445</v>
      </c>
      <c r="E2345" s="736">
        <v>2500</v>
      </c>
      <c r="F2345" s="737" t="s">
        <v>8446</v>
      </c>
      <c r="G2345" s="636" t="s">
        <v>8447</v>
      </c>
      <c r="H2345" s="636" t="s">
        <v>7752</v>
      </c>
      <c r="I2345" s="636" t="s">
        <v>2179</v>
      </c>
      <c r="J2345" s="644" t="s">
        <v>642</v>
      </c>
      <c r="K2345" s="753">
        <v>12</v>
      </c>
      <c r="L2345" s="754">
        <v>12</v>
      </c>
      <c r="M2345" s="736">
        <v>31960.799999999999</v>
      </c>
      <c r="N2345" s="744"/>
      <c r="O2345" s="739"/>
      <c r="P2345" s="739"/>
      <c r="Q2345" s="214"/>
    </row>
    <row r="2346" spans="1:17" ht="12" customHeight="1" x14ac:dyDescent="0.2">
      <c r="A2346" s="735" t="s">
        <v>7733</v>
      </c>
      <c r="B2346" s="735" t="s">
        <v>2170</v>
      </c>
      <c r="C2346" s="735" t="s">
        <v>451</v>
      </c>
      <c r="D2346" s="644" t="s">
        <v>7746</v>
      </c>
      <c r="E2346" s="736">
        <v>2200</v>
      </c>
      <c r="F2346" s="737" t="s">
        <v>8448</v>
      </c>
      <c r="G2346" s="636" t="s">
        <v>8449</v>
      </c>
      <c r="H2346" s="636" t="s">
        <v>7850</v>
      </c>
      <c r="I2346" s="636" t="s">
        <v>7851</v>
      </c>
      <c r="J2346" s="644" t="s">
        <v>643</v>
      </c>
      <c r="K2346" s="753">
        <v>5</v>
      </c>
      <c r="L2346" s="754">
        <v>12</v>
      </c>
      <c r="M2346" s="736">
        <v>28360.799999999999</v>
      </c>
      <c r="N2346" s="744"/>
      <c r="O2346" s="739"/>
      <c r="P2346" s="739"/>
      <c r="Q2346" s="214"/>
    </row>
    <row r="2347" spans="1:17" ht="12" customHeight="1" x14ac:dyDescent="0.2">
      <c r="A2347" s="735" t="s">
        <v>7733</v>
      </c>
      <c r="B2347" s="735" t="s">
        <v>2170</v>
      </c>
      <c r="C2347" s="735" t="s">
        <v>451</v>
      </c>
      <c r="D2347" s="644" t="s">
        <v>7755</v>
      </c>
      <c r="E2347" s="736">
        <v>2500</v>
      </c>
      <c r="F2347" s="737" t="s">
        <v>8450</v>
      </c>
      <c r="G2347" s="636" t="s">
        <v>8451</v>
      </c>
      <c r="H2347" s="636" t="s">
        <v>7782</v>
      </c>
      <c r="I2347" s="636" t="s">
        <v>2766</v>
      </c>
      <c r="J2347" s="644" t="s">
        <v>642</v>
      </c>
      <c r="K2347" s="753">
        <v>1</v>
      </c>
      <c r="L2347" s="754">
        <v>1</v>
      </c>
      <c r="M2347" s="736">
        <v>4460.8</v>
      </c>
      <c r="N2347" s="744"/>
      <c r="O2347" s="739"/>
      <c r="P2347" s="739"/>
      <c r="Q2347" s="214"/>
    </row>
    <row r="2348" spans="1:17" ht="12" customHeight="1" x14ac:dyDescent="0.2">
      <c r="A2348" s="735" t="s">
        <v>7733</v>
      </c>
      <c r="B2348" s="735" t="s">
        <v>2170</v>
      </c>
      <c r="C2348" s="735" t="s">
        <v>451</v>
      </c>
      <c r="D2348" s="644" t="s">
        <v>8452</v>
      </c>
      <c r="E2348" s="736">
        <v>3000</v>
      </c>
      <c r="F2348" s="737" t="s">
        <v>8453</v>
      </c>
      <c r="G2348" s="636" t="s">
        <v>8454</v>
      </c>
      <c r="H2348" s="636" t="s">
        <v>8003</v>
      </c>
      <c r="I2348" s="636" t="s">
        <v>7835</v>
      </c>
      <c r="J2348" s="644" t="s">
        <v>642</v>
      </c>
      <c r="K2348" s="753">
        <v>12</v>
      </c>
      <c r="L2348" s="754">
        <v>12</v>
      </c>
      <c r="M2348" s="736">
        <v>37960.800000000003</v>
      </c>
      <c r="N2348" s="744"/>
      <c r="O2348" s="739"/>
      <c r="P2348" s="739"/>
      <c r="Q2348" s="214"/>
    </row>
    <row r="2349" spans="1:17" ht="12" customHeight="1" x14ac:dyDescent="0.2">
      <c r="A2349" s="735" t="s">
        <v>7733</v>
      </c>
      <c r="B2349" s="735" t="s">
        <v>2170</v>
      </c>
      <c r="C2349" s="735" t="s">
        <v>451</v>
      </c>
      <c r="D2349" s="644" t="s">
        <v>7817</v>
      </c>
      <c r="E2349" s="736">
        <v>1600</v>
      </c>
      <c r="F2349" s="737" t="s">
        <v>8455</v>
      </c>
      <c r="G2349" s="636" t="s">
        <v>8456</v>
      </c>
      <c r="H2349" s="636" t="s">
        <v>7939</v>
      </c>
      <c r="I2349" s="636" t="s">
        <v>8089</v>
      </c>
      <c r="J2349" s="644" t="s">
        <v>643</v>
      </c>
      <c r="K2349" s="753">
        <v>12</v>
      </c>
      <c r="L2349" s="754">
        <v>12</v>
      </c>
      <c r="M2349" s="736">
        <v>21528</v>
      </c>
      <c r="N2349" s="744"/>
      <c r="O2349" s="739"/>
      <c r="P2349" s="739"/>
      <c r="Q2349" s="214"/>
    </row>
    <row r="2350" spans="1:17" ht="12" customHeight="1" x14ac:dyDescent="0.2">
      <c r="A2350" s="735" t="s">
        <v>7733</v>
      </c>
      <c r="B2350" s="735" t="s">
        <v>2170</v>
      </c>
      <c r="C2350" s="735" t="s">
        <v>451</v>
      </c>
      <c r="D2350" s="644" t="s">
        <v>2190</v>
      </c>
      <c r="E2350" s="736">
        <v>2200</v>
      </c>
      <c r="F2350" s="737" t="s">
        <v>8457</v>
      </c>
      <c r="G2350" s="636" t="s">
        <v>8458</v>
      </c>
      <c r="H2350" s="636"/>
      <c r="I2350" s="636"/>
      <c r="J2350" s="644" t="s">
        <v>644</v>
      </c>
      <c r="K2350" s="753">
        <v>5</v>
      </c>
      <c r="L2350" s="754">
        <v>12</v>
      </c>
      <c r="M2350" s="736">
        <v>28360.799999999999</v>
      </c>
      <c r="N2350" s="744"/>
      <c r="O2350" s="739"/>
      <c r="P2350" s="739"/>
      <c r="Q2350" s="214"/>
    </row>
    <row r="2351" spans="1:17" ht="12" customHeight="1" x14ac:dyDescent="0.2">
      <c r="A2351" s="735" t="s">
        <v>7733</v>
      </c>
      <c r="B2351" s="735" t="s">
        <v>2170</v>
      </c>
      <c r="C2351" s="735" t="s">
        <v>451</v>
      </c>
      <c r="D2351" s="644" t="s">
        <v>8459</v>
      </c>
      <c r="E2351" s="736">
        <v>4000</v>
      </c>
      <c r="F2351" s="737" t="s">
        <v>8460</v>
      </c>
      <c r="G2351" s="636" t="s">
        <v>8461</v>
      </c>
      <c r="H2351" s="636" t="s">
        <v>8022</v>
      </c>
      <c r="I2351" s="636" t="s">
        <v>8462</v>
      </c>
      <c r="J2351" s="644" t="s">
        <v>642</v>
      </c>
      <c r="K2351" s="753">
        <v>8</v>
      </c>
      <c r="L2351" s="754">
        <v>12</v>
      </c>
      <c r="M2351" s="736">
        <v>49960.800000000003</v>
      </c>
      <c r="N2351" s="744"/>
      <c r="O2351" s="739"/>
      <c r="P2351" s="739"/>
      <c r="Q2351" s="214"/>
    </row>
    <row r="2352" spans="1:17" ht="12" customHeight="1" x14ac:dyDescent="0.2">
      <c r="A2352" s="735" t="s">
        <v>7733</v>
      </c>
      <c r="B2352" s="735" t="s">
        <v>2170</v>
      </c>
      <c r="C2352" s="735" t="s">
        <v>451</v>
      </c>
      <c r="D2352" s="644" t="s">
        <v>8463</v>
      </c>
      <c r="E2352" s="736">
        <v>4000</v>
      </c>
      <c r="F2352" s="737" t="s">
        <v>8464</v>
      </c>
      <c r="G2352" s="636" t="s">
        <v>8465</v>
      </c>
      <c r="H2352" s="636"/>
      <c r="I2352" s="636"/>
      <c r="J2352" s="644" t="s">
        <v>644</v>
      </c>
      <c r="K2352" s="753">
        <v>5</v>
      </c>
      <c r="L2352" s="754">
        <v>12</v>
      </c>
      <c r="M2352" s="736">
        <v>49960.800000000003</v>
      </c>
      <c r="N2352" s="744"/>
      <c r="O2352" s="739"/>
      <c r="P2352" s="739"/>
      <c r="Q2352" s="214"/>
    </row>
    <row r="2353" spans="1:17" ht="12" customHeight="1" x14ac:dyDescent="0.2">
      <c r="A2353" s="735" t="s">
        <v>7733</v>
      </c>
      <c r="B2353" s="735" t="s">
        <v>2170</v>
      </c>
      <c r="C2353" s="735" t="s">
        <v>451</v>
      </c>
      <c r="D2353" s="644" t="s">
        <v>7855</v>
      </c>
      <c r="E2353" s="736">
        <v>2200</v>
      </c>
      <c r="F2353" s="737" t="s">
        <v>8466</v>
      </c>
      <c r="G2353" s="636" t="s">
        <v>8467</v>
      </c>
      <c r="H2353" s="636" t="s">
        <v>7858</v>
      </c>
      <c r="I2353" s="636" t="s">
        <v>7858</v>
      </c>
      <c r="J2353" s="644" t="s">
        <v>644</v>
      </c>
      <c r="K2353" s="753">
        <v>12</v>
      </c>
      <c r="L2353" s="754">
        <v>12</v>
      </c>
      <c r="M2353" s="736">
        <v>28360.799999999999</v>
      </c>
      <c r="N2353" s="744"/>
      <c r="O2353" s="739"/>
      <c r="P2353" s="739"/>
      <c r="Q2353" s="214"/>
    </row>
    <row r="2354" spans="1:17" ht="12" customHeight="1" x14ac:dyDescent="0.2">
      <c r="A2354" s="735" t="s">
        <v>7733</v>
      </c>
      <c r="B2354" s="735" t="s">
        <v>2170</v>
      </c>
      <c r="C2354" s="735" t="s">
        <v>451</v>
      </c>
      <c r="D2354" s="644" t="s">
        <v>8468</v>
      </c>
      <c r="E2354" s="736">
        <v>6000</v>
      </c>
      <c r="F2354" s="737" t="s">
        <v>8469</v>
      </c>
      <c r="G2354" s="636" t="s">
        <v>8470</v>
      </c>
      <c r="H2354" s="636"/>
      <c r="I2354" s="636"/>
      <c r="J2354" s="644" t="s">
        <v>642</v>
      </c>
      <c r="K2354" s="753">
        <v>5</v>
      </c>
      <c r="L2354" s="754">
        <v>12</v>
      </c>
      <c r="M2354" s="736">
        <v>73960.800000000003</v>
      </c>
      <c r="N2354" s="744"/>
      <c r="O2354" s="739"/>
      <c r="P2354" s="739"/>
      <c r="Q2354" s="214"/>
    </row>
    <row r="2355" spans="1:17" ht="12" customHeight="1" x14ac:dyDescent="0.2">
      <c r="A2355" s="735" t="s">
        <v>7733</v>
      </c>
      <c r="B2355" s="735" t="s">
        <v>2170</v>
      </c>
      <c r="C2355" s="735" t="s">
        <v>451</v>
      </c>
      <c r="D2355" s="644" t="s">
        <v>7843</v>
      </c>
      <c r="E2355" s="736">
        <v>3000</v>
      </c>
      <c r="F2355" s="737" t="s">
        <v>8471</v>
      </c>
      <c r="G2355" s="636" t="s">
        <v>8472</v>
      </c>
      <c r="H2355" s="636" t="s">
        <v>7752</v>
      </c>
      <c r="I2355" s="636" t="s">
        <v>3760</v>
      </c>
      <c r="J2355" s="644" t="s">
        <v>642</v>
      </c>
      <c r="K2355" s="753">
        <v>12</v>
      </c>
      <c r="L2355" s="754">
        <v>12</v>
      </c>
      <c r="M2355" s="736">
        <v>37960.800000000003</v>
      </c>
      <c r="N2355" s="744"/>
      <c r="O2355" s="739"/>
      <c r="P2355" s="739"/>
      <c r="Q2355" s="214"/>
    </row>
    <row r="2356" spans="1:17" ht="12" customHeight="1" x14ac:dyDescent="0.2">
      <c r="A2356" s="735" t="s">
        <v>7733</v>
      </c>
      <c r="B2356" s="735" t="s">
        <v>2170</v>
      </c>
      <c r="C2356" s="735" t="s">
        <v>451</v>
      </c>
      <c r="D2356" s="644" t="s">
        <v>7901</v>
      </c>
      <c r="E2356" s="736">
        <v>2500</v>
      </c>
      <c r="F2356" s="737" t="s">
        <v>8473</v>
      </c>
      <c r="G2356" s="636" t="s">
        <v>8474</v>
      </c>
      <c r="H2356" s="636" t="s">
        <v>6571</v>
      </c>
      <c r="I2356" s="636" t="s">
        <v>2179</v>
      </c>
      <c r="J2356" s="644" t="s">
        <v>642</v>
      </c>
      <c r="K2356" s="753">
        <v>11</v>
      </c>
      <c r="L2356" s="754">
        <v>12</v>
      </c>
      <c r="M2356" s="736">
        <v>31960.799999999999</v>
      </c>
      <c r="N2356" s="744"/>
      <c r="O2356" s="739"/>
      <c r="P2356" s="739"/>
      <c r="Q2356" s="214"/>
    </row>
    <row r="2357" spans="1:17" ht="12" customHeight="1" x14ac:dyDescent="0.2">
      <c r="A2357" s="735" t="s">
        <v>7733</v>
      </c>
      <c r="B2357" s="735" t="s">
        <v>2170</v>
      </c>
      <c r="C2357" s="735" t="s">
        <v>451</v>
      </c>
      <c r="D2357" s="644" t="s">
        <v>7769</v>
      </c>
      <c r="E2357" s="736">
        <v>2500</v>
      </c>
      <c r="F2357" s="737" t="s">
        <v>8475</v>
      </c>
      <c r="G2357" s="636" t="s">
        <v>8476</v>
      </c>
      <c r="H2357" s="636" t="s">
        <v>6536</v>
      </c>
      <c r="I2357" s="636" t="s">
        <v>8477</v>
      </c>
      <c r="J2357" s="644" t="s">
        <v>643</v>
      </c>
      <c r="K2357" s="753">
        <v>12</v>
      </c>
      <c r="L2357" s="754">
        <v>12</v>
      </c>
      <c r="M2357" s="736">
        <v>31960.799999999999</v>
      </c>
      <c r="N2357" s="744"/>
      <c r="O2357" s="739"/>
      <c r="P2357" s="739"/>
      <c r="Q2357" s="214"/>
    </row>
    <row r="2358" spans="1:17" ht="12" customHeight="1" x14ac:dyDescent="0.2">
      <c r="A2358" s="735" t="s">
        <v>7733</v>
      </c>
      <c r="B2358" s="735" t="s">
        <v>2170</v>
      </c>
      <c r="C2358" s="735" t="s">
        <v>451</v>
      </c>
      <c r="D2358" s="644" t="s">
        <v>8478</v>
      </c>
      <c r="E2358" s="736">
        <v>4500</v>
      </c>
      <c r="F2358" s="737" t="s">
        <v>8479</v>
      </c>
      <c r="G2358" s="636" t="s">
        <v>8480</v>
      </c>
      <c r="H2358" s="636" t="s">
        <v>7782</v>
      </c>
      <c r="I2358" s="636" t="s">
        <v>2208</v>
      </c>
      <c r="J2358" s="644" t="s">
        <v>642</v>
      </c>
      <c r="K2358" s="753">
        <v>3</v>
      </c>
      <c r="L2358" s="754">
        <v>9</v>
      </c>
      <c r="M2358" s="736">
        <v>42460.800000000003</v>
      </c>
      <c r="N2358" s="744"/>
      <c r="O2358" s="739"/>
      <c r="P2358" s="739"/>
      <c r="Q2358" s="214"/>
    </row>
    <row r="2359" spans="1:17" ht="12" customHeight="1" x14ac:dyDescent="0.2">
      <c r="A2359" s="735" t="s">
        <v>7733</v>
      </c>
      <c r="B2359" s="735" t="s">
        <v>2170</v>
      </c>
      <c r="C2359" s="735" t="s">
        <v>451</v>
      </c>
      <c r="D2359" s="644" t="s">
        <v>7783</v>
      </c>
      <c r="E2359" s="736">
        <v>4500</v>
      </c>
      <c r="F2359" s="737" t="s">
        <v>8481</v>
      </c>
      <c r="G2359" s="636" t="s">
        <v>8482</v>
      </c>
      <c r="H2359" s="636" t="s">
        <v>6633</v>
      </c>
      <c r="I2359" s="636" t="s">
        <v>2189</v>
      </c>
      <c r="J2359" s="644" t="s">
        <v>642</v>
      </c>
      <c r="K2359" s="753">
        <v>1</v>
      </c>
      <c r="L2359" s="754">
        <v>3</v>
      </c>
      <c r="M2359" s="736">
        <v>15460.8</v>
      </c>
      <c r="N2359" s="744"/>
      <c r="O2359" s="739"/>
      <c r="P2359" s="739"/>
      <c r="Q2359" s="214"/>
    </row>
    <row r="2360" spans="1:17" ht="12" customHeight="1" x14ac:dyDescent="0.2">
      <c r="A2360" s="735" t="s">
        <v>7733</v>
      </c>
      <c r="B2360" s="735" t="s">
        <v>2170</v>
      </c>
      <c r="C2360" s="735" t="s">
        <v>451</v>
      </c>
      <c r="D2360" s="644" t="s">
        <v>8483</v>
      </c>
      <c r="E2360" s="736">
        <v>5600</v>
      </c>
      <c r="F2360" s="737" t="s">
        <v>8484</v>
      </c>
      <c r="G2360" s="636" t="s">
        <v>8485</v>
      </c>
      <c r="H2360" s="636" t="s">
        <v>3754</v>
      </c>
      <c r="I2360" s="636" t="s">
        <v>8257</v>
      </c>
      <c r="J2360" s="644" t="s">
        <v>642</v>
      </c>
      <c r="K2360" s="753">
        <v>1</v>
      </c>
      <c r="L2360" s="754">
        <v>1</v>
      </c>
      <c r="M2360" s="736">
        <v>7560.8</v>
      </c>
      <c r="N2360" s="744"/>
      <c r="O2360" s="739"/>
      <c r="P2360" s="739"/>
      <c r="Q2360" s="214"/>
    </row>
    <row r="2361" spans="1:17" ht="12" customHeight="1" x14ac:dyDescent="0.2">
      <c r="A2361" s="735" t="s">
        <v>7733</v>
      </c>
      <c r="B2361" s="735" t="s">
        <v>2170</v>
      </c>
      <c r="C2361" s="735" t="s">
        <v>451</v>
      </c>
      <c r="D2361" s="644" t="s">
        <v>8486</v>
      </c>
      <c r="E2361" s="736">
        <v>7000</v>
      </c>
      <c r="F2361" s="737" t="s">
        <v>8487</v>
      </c>
      <c r="G2361" s="636" t="s">
        <v>8488</v>
      </c>
      <c r="H2361" s="636" t="s">
        <v>6571</v>
      </c>
      <c r="I2361" s="636" t="s">
        <v>2179</v>
      </c>
      <c r="J2361" s="644" t="s">
        <v>642</v>
      </c>
      <c r="K2361" s="753">
        <v>4</v>
      </c>
      <c r="L2361" s="754">
        <v>9</v>
      </c>
      <c r="M2361" s="736">
        <v>64960.800000000003</v>
      </c>
      <c r="N2361" s="744"/>
      <c r="O2361" s="739"/>
      <c r="P2361" s="739"/>
      <c r="Q2361" s="214"/>
    </row>
    <row r="2362" spans="1:17" ht="12" customHeight="1" x14ac:dyDescent="0.2">
      <c r="A2362" s="735" t="s">
        <v>7733</v>
      </c>
      <c r="B2362" s="735" t="s">
        <v>2170</v>
      </c>
      <c r="C2362" s="735" t="s">
        <v>451</v>
      </c>
      <c r="D2362" s="644" t="s">
        <v>7746</v>
      </c>
      <c r="E2362" s="736">
        <v>2200</v>
      </c>
      <c r="F2362" s="737" t="s">
        <v>8489</v>
      </c>
      <c r="G2362" s="636" t="s">
        <v>8490</v>
      </c>
      <c r="H2362" s="636"/>
      <c r="I2362" s="636"/>
      <c r="J2362" s="644" t="s">
        <v>643</v>
      </c>
      <c r="K2362" s="753">
        <v>12</v>
      </c>
      <c r="L2362" s="754">
        <v>12</v>
      </c>
      <c r="M2362" s="736">
        <v>28360.799999999999</v>
      </c>
      <c r="N2362" s="744"/>
      <c r="O2362" s="739"/>
      <c r="P2362" s="739"/>
      <c r="Q2362" s="214"/>
    </row>
    <row r="2363" spans="1:17" ht="12" customHeight="1" x14ac:dyDescent="0.2">
      <c r="A2363" s="735" t="s">
        <v>7733</v>
      </c>
      <c r="B2363" s="735" t="s">
        <v>2170</v>
      </c>
      <c r="C2363" s="735" t="s">
        <v>451</v>
      </c>
      <c r="D2363" s="644" t="s">
        <v>7813</v>
      </c>
      <c r="E2363" s="736">
        <v>1800</v>
      </c>
      <c r="F2363" s="737" t="s">
        <v>8491</v>
      </c>
      <c r="G2363" s="636" t="s">
        <v>8492</v>
      </c>
      <c r="H2363" s="636" t="s">
        <v>7073</v>
      </c>
      <c r="I2363" s="636" t="s">
        <v>2416</v>
      </c>
      <c r="J2363" s="644" t="s">
        <v>642</v>
      </c>
      <c r="K2363" s="753">
        <v>12</v>
      </c>
      <c r="L2363" s="754">
        <v>12</v>
      </c>
      <c r="M2363" s="736">
        <v>24144</v>
      </c>
      <c r="N2363" s="744"/>
      <c r="O2363" s="739"/>
      <c r="P2363" s="739"/>
      <c r="Q2363" s="214"/>
    </row>
    <row r="2364" spans="1:17" ht="12" customHeight="1" x14ac:dyDescent="0.2">
      <c r="A2364" s="735" t="s">
        <v>7733</v>
      </c>
      <c r="B2364" s="735" t="s">
        <v>2170</v>
      </c>
      <c r="C2364" s="735" t="s">
        <v>451</v>
      </c>
      <c r="D2364" s="644" t="s">
        <v>8172</v>
      </c>
      <c r="E2364" s="736">
        <v>3500</v>
      </c>
      <c r="F2364" s="737" t="s">
        <v>8493</v>
      </c>
      <c r="G2364" s="636" t="s">
        <v>8494</v>
      </c>
      <c r="H2364" s="636"/>
      <c r="I2364" s="636"/>
      <c r="J2364" s="644" t="s">
        <v>642</v>
      </c>
      <c r="K2364" s="753">
        <v>12</v>
      </c>
      <c r="L2364" s="754">
        <v>12</v>
      </c>
      <c r="M2364" s="736">
        <v>43960.800000000003</v>
      </c>
      <c r="N2364" s="744"/>
      <c r="O2364" s="739"/>
      <c r="P2364" s="739"/>
      <c r="Q2364" s="214"/>
    </row>
    <row r="2365" spans="1:17" ht="12" customHeight="1" x14ac:dyDescent="0.2">
      <c r="A2365" s="735" t="s">
        <v>7733</v>
      </c>
      <c r="B2365" s="735" t="s">
        <v>2170</v>
      </c>
      <c r="C2365" s="735" t="s">
        <v>451</v>
      </c>
      <c r="D2365" s="644" t="s">
        <v>8007</v>
      </c>
      <c r="E2365" s="736">
        <v>4000</v>
      </c>
      <c r="F2365" s="737" t="s">
        <v>8495</v>
      </c>
      <c r="G2365" s="636" t="s">
        <v>8496</v>
      </c>
      <c r="H2365" s="636" t="s">
        <v>6571</v>
      </c>
      <c r="I2365" s="636" t="s">
        <v>2179</v>
      </c>
      <c r="J2365" s="644" t="s">
        <v>642</v>
      </c>
      <c r="K2365" s="753">
        <v>1</v>
      </c>
      <c r="L2365" s="754">
        <v>1</v>
      </c>
      <c r="M2365" s="736">
        <v>5960.8</v>
      </c>
      <c r="N2365" s="744"/>
      <c r="O2365" s="739"/>
      <c r="P2365" s="739"/>
      <c r="Q2365" s="214"/>
    </row>
    <row r="2366" spans="1:17" ht="12" customHeight="1" x14ac:dyDescent="0.2">
      <c r="A2366" s="735" t="s">
        <v>7733</v>
      </c>
      <c r="B2366" s="735" t="s">
        <v>2170</v>
      </c>
      <c r="C2366" s="735" t="s">
        <v>451</v>
      </c>
      <c r="D2366" s="644" t="s">
        <v>2636</v>
      </c>
      <c r="E2366" s="736">
        <v>5000</v>
      </c>
      <c r="F2366" s="737" t="s">
        <v>8497</v>
      </c>
      <c r="G2366" s="636" t="s">
        <v>8498</v>
      </c>
      <c r="H2366" s="636"/>
      <c r="I2366" s="636"/>
      <c r="J2366" s="644" t="s">
        <v>642</v>
      </c>
      <c r="K2366" s="753">
        <v>5</v>
      </c>
      <c r="L2366" s="754">
        <v>12</v>
      </c>
      <c r="M2366" s="736">
        <v>61960.800000000003</v>
      </c>
      <c r="N2366" s="744"/>
      <c r="O2366" s="739"/>
      <c r="P2366" s="739"/>
      <c r="Q2366" s="214"/>
    </row>
    <row r="2367" spans="1:17" ht="12" customHeight="1" x14ac:dyDescent="0.2">
      <c r="A2367" s="735" t="s">
        <v>7733</v>
      </c>
      <c r="B2367" s="735" t="s">
        <v>2170</v>
      </c>
      <c r="C2367" s="735" t="s">
        <v>451</v>
      </c>
      <c r="D2367" s="644" t="s">
        <v>5788</v>
      </c>
      <c r="E2367" s="736">
        <v>5000</v>
      </c>
      <c r="F2367" s="737" t="s">
        <v>8499</v>
      </c>
      <c r="G2367" s="636" t="s">
        <v>8500</v>
      </c>
      <c r="H2367" s="636" t="s">
        <v>7752</v>
      </c>
      <c r="I2367" s="636" t="s">
        <v>2179</v>
      </c>
      <c r="J2367" s="644" t="s">
        <v>642</v>
      </c>
      <c r="K2367" s="753">
        <v>12</v>
      </c>
      <c r="L2367" s="754">
        <v>12</v>
      </c>
      <c r="M2367" s="736">
        <v>61960.800000000003</v>
      </c>
      <c r="N2367" s="744"/>
      <c r="O2367" s="739"/>
      <c r="P2367" s="739"/>
      <c r="Q2367" s="214"/>
    </row>
    <row r="2368" spans="1:17" ht="12" customHeight="1" x14ac:dyDescent="0.2">
      <c r="A2368" s="735" t="s">
        <v>7733</v>
      </c>
      <c r="B2368" s="735" t="s">
        <v>2170</v>
      </c>
      <c r="C2368" s="735" t="s">
        <v>451</v>
      </c>
      <c r="D2368" s="644" t="s">
        <v>2781</v>
      </c>
      <c r="E2368" s="736">
        <v>1800</v>
      </c>
      <c r="F2368" s="737" t="s">
        <v>8501</v>
      </c>
      <c r="G2368" s="636" t="s">
        <v>8502</v>
      </c>
      <c r="H2368" s="636"/>
      <c r="I2368" s="636"/>
      <c r="J2368" s="644" t="s">
        <v>643</v>
      </c>
      <c r="K2368" s="753">
        <v>4</v>
      </c>
      <c r="L2368" s="754">
        <v>9</v>
      </c>
      <c r="M2368" s="736">
        <v>18744</v>
      </c>
      <c r="N2368" s="744"/>
      <c r="O2368" s="739"/>
      <c r="P2368" s="739"/>
      <c r="Q2368" s="214"/>
    </row>
    <row r="2369" spans="1:17" ht="12" customHeight="1" x14ac:dyDescent="0.2">
      <c r="A2369" s="735" t="s">
        <v>7733</v>
      </c>
      <c r="B2369" s="735" t="s">
        <v>2170</v>
      </c>
      <c r="C2369" s="735" t="s">
        <v>451</v>
      </c>
      <c r="D2369" s="644" t="s">
        <v>7901</v>
      </c>
      <c r="E2369" s="736">
        <v>2500</v>
      </c>
      <c r="F2369" s="737" t="s">
        <v>8503</v>
      </c>
      <c r="G2369" s="636" t="s">
        <v>8504</v>
      </c>
      <c r="H2369" s="636" t="s">
        <v>8505</v>
      </c>
      <c r="I2369" s="636" t="s">
        <v>8506</v>
      </c>
      <c r="J2369" s="644" t="s">
        <v>643</v>
      </c>
      <c r="K2369" s="753">
        <v>12</v>
      </c>
      <c r="L2369" s="754">
        <v>12</v>
      </c>
      <c r="M2369" s="736">
        <v>31960.799999999999</v>
      </c>
      <c r="N2369" s="744"/>
      <c r="O2369" s="739"/>
      <c r="P2369" s="739"/>
      <c r="Q2369" s="214"/>
    </row>
    <row r="2370" spans="1:17" ht="12" customHeight="1" x14ac:dyDescent="0.2">
      <c r="A2370" s="735" t="s">
        <v>7733</v>
      </c>
      <c r="B2370" s="735" t="s">
        <v>2170</v>
      </c>
      <c r="C2370" s="735" t="s">
        <v>451</v>
      </c>
      <c r="D2370" s="644" t="s">
        <v>8061</v>
      </c>
      <c r="E2370" s="736">
        <v>2800</v>
      </c>
      <c r="F2370" s="737" t="s">
        <v>8507</v>
      </c>
      <c r="G2370" s="636" t="s">
        <v>8508</v>
      </c>
      <c r="H2370" s="636" t="s">
        <v>7752</v>
      </c>
      <c r="I2370" s="636" t="s">
        <v>2179</v>
      </c>
      <c r="J2370" s="644" t="s">
        <v>642</v>
      </c>
      <c r="K2370" s="753">
        <v>1</v>
      </c>
      <c r="L2370" s="754">
        <v>12</v>
      </c>
      <c r="M2370" s="736">
        <v>35560.800000000003</v>
      </c>
      <c r="N2370" s="744"/>
      <c r="O2370" s="739"/>
      <c r="P2370" s="739"/>
      <c r="Q2370" s="214"/>
    </row>
    <row r="2371" spans="1:17" ht="12" customHeight="1" x14ac:dyDescent="0.2">
      <c r="A2371" s="735" t="s">
        <v>7733</v>
      </c>
      <c r="B2371" s="735" t="s">
        <v>2170</v>
      </c>
      <c r="C2371" s="735" t="s">
        <v>451</v>
      </c>
      <c r="D2371" s="644" t="s">
        <v>7843</v>
      </c>
      <c r="E2371" s="736">
        <v>3000</v>
      </c>
      <c r="F2371" s="737" t="s">
        <v>8509</v>
      </c>
      <c r="G2371" s="636" t="s">
        <v>8510</v>
      </c>
      <c r="H2371" s="636" t="s">
        <v>7752</v>
      </c>
      <c r="I2371" s="636" t="s">
        <v>2179</v>
      </c>
      <c r="J2371" s="644" t="s">
        <v>642</v>
      </c>
      <c r="K2371" s="753">
        <v>12</v>
      </c>
      <c r="L2371" s="754">
        <v>12</v>
      </c>
      <c r="M2371" s="736">
        <v>37960.800000000003</v>
      </c>
      <c r="N2371" s="744"/>
      <c r="O2371" s="739"/>
      <c r="P2371" s="739"/>
      <c r="Q2371" s="214"/>
    </row>
    <row r="2372" spans="1:17" ht="12" customHeight="1" x14ac:dyDescent="0.2">
      <c r="A2372" s="735" t="s">
        <v>7733</v>
      </c>
      <c r="B2372" s="735" t="s">
        <v>2170</v>
      </c>
      <c r="C2372" s="735" t="s">
        <v>451</v>
      </c>
      <c r="D2372" s="644" t="s">
        <v>8511</v>
      </c>
      <c r="E2372" s="736">
        <v>2000</v>
      </c>
      <c r="F2372" s="737" t="s">
        <v>8512</v>
      </c>
      <c r="G2372" s="636" t="s">
        <v>8513</v>
      </c>
      <c r="H2372" s="636" t="s">
        <v>7917</v>
      </c>
      <c r="I2372" s="636" t="s">
        <v>7917</v>
      </c>
      <c r="J2372" s="644" t="s">
        <v>643</v>
      </c>
      <c r="K2372" s="753">
        <v>12</v>
      </c>
      <c r="L2372" s="754">
        <v>12</v>
      </c>
      <c r="M2372" s="736">
        <v>25960.799999999999</v>
      </c>
      <c r="N2372" s="744"/>
      <c r="O2372" s="739"/>
      <c r="P2372" s="739"/>
      <c r="Q2372" s="214"/>
    </row>
    <row r="2373" spans="1:17" ht="12" customHeight="1" x14ac:dyDescent="0.2">
      <c r="A2373" s="735" t="s">
        <v>7733</v>
      </c>
      <c r="B2373" s="735" t="s">
        <v>2170</v>
      </c>
      <c r="C2373" s="735" t="s">
        <v>451</v>
      </c>
      <c r="D2373" s="644" t="s">
        <v>8514</v>
      </c>
      <c r="E2373" s="736">
        <v>8000</v>
      </c>
      <c r="F2373" s="737" t="s">
        <v>8515</v>
      </c>
      <c r="G2373" s="636" t="s">
        <v>8516</v>
      </c>
      <c r="H2373" s="636"/>
      <c r="I2373" s="636"/>
      <c r="J2373" s="644" t="s">
        <v>642</v>
      </c>
      <c r="K2373" s="753">
        <v>2</v>
      </c>
      <c r="L2373" s="754">
        <v>4</v>
      </c>
      <c r="M2373" s="736">
        <v>33960.800000000003</v>
      </c>
      <c r="N2373" s="744"/>
      <c r="O2373" s="739"/>
      <c r="P2373" s="739"/>
      <c r="Q2373" s="214"/>
    </row>
    <row r="2374" spans="1:17" ht="12" customHeight="1" x14ac:dyDescent="0.2">
      <c r="A2374" s="735" t="s">
        <v>7733</v>
      </c>
      <c r="B2374" s="735" t="s">
        <v>2170</v>
      </c>
      <c r="C2374" s="735" t="s">
        <v>451</v>
      </c>
      <c r="D2374" s="644" t="s">
        <v>8517</v>
      </c>
      <c r="E2374" s="736">
        <v>2000</v>
      </c>
      <c r="F2374" s="737" t="s">
        <v>8518</v>
      </c>
      <c r="G2374" s="636" t="s">
        <v>8519</v>
      </c>
      <c r="H2374" s="636" t="s">
        <v>3754</v>
      </c>
      <c r="I2374" s="636" t="s">
        <v>2979</v>
      </c>
      <c r="J2374" s="644" t="s">
        <v>643</v>
      </c>
      <c r="K2374" s="753">
        <v>4</v>
      </c>
      <c r="L2374" s="754">
        <v>6</v>
      </c>
      <c r="M2374" s="736">
        <v>13960.8</v>
      </c>
      <c r="N2374" s="744"/>
      <c r="O2374" s="739"/>
      <c r="P2374" s="739"/>
      <c r="Q2374" s="214"/>
    </row>
    <row r="2375" spans="1:17" ht="12" customHeight="1" x14ac:dyDescent="0.2">
      <c r="A2375" s="735" t="s">
        <v>7733</v>
      </c>
      <c r="B2375" s="735" t="s">
        <v>2170</v>
      </c>
      <c r="C2375" s="735" t="s">
        <v>451</v>
      </c>
      <c r="D2375" s="644" t="s">
        <v>7977</v>
      </c>
      <c r="E2375" s="736">
        <v>4000</v>
      </c>
      <c r="F2375" s="737" t="s">
        <v>8520</v>
      </c>
      <c r="G2375" s="636" t="s">
        <v>8521</v>
      </c>
      <c r="H2375" s="636" t="s">
        <v>8000</v>
      </c>
      <c r="I2375" s="636" t="s">
        <v>2478</v>
      </c>
      <c r="J2375" s="644" t="s">
        <v>642</v>
      </c>
      <c r="K2375" s="753">
        <v>12</v>
      </c>
      <c r="L2375" s="754">
        <v>12</v>
      </c>
      <c r="M2375" s="736">
        <v>49960.800000000003</v>
      </c>
      <c r="N2375" s="744"/>
      <c r="O2375" s="739"/>
      <c r="P2375" s="739"/>
      <c r="Q2375" s="214"/>
    </row>
    <row r="2376" spans="1:17" ht="12" customHeight="1" x14ac:dyDescent="0.2">
      <c r="A2376" s="735" t="s">
        <v>7733</v>
      </c>
      <c r="B2376" s="735" t="s">
        <v>2170</v>
      </c>
      <c r="C2376" s="735" t="s">
        <v>451</v>
      </c>
      <c r="D2376" s="644" t="s">
        <v>2788</v>
      </c>
      <c r="E2376" s="736">
        <v>1600</v>
      </c>
      <c r="F2376" s="737" t="s">
        <v>8522</v>
      </c>
      <c r="G2376" s="636" t="s">
        <v>8523</v>
      </c>
      <c r="H2376" s="636" t="s">
        <v>8524</v>
      </c>
      <c r="I2376" s="636" t="s">
        <v>8525</v>
      </c>
      <c r="J2376" s="644" t="s">
        <v>643</v>
      </c>
      <c r="K2376" s="753">
        <v>12</v>
      </c>
      <c r="L2376" s="754">
        <v>12</v>
      </c>
      <c r="M2376" s="736">
        <v>21528</v>
      </c>
      <c r="N2376" s="744"/>
      <c r="O2376" s="739"/>
      <c r="P2376" s="739"/>
      <c r="Q2376" s="214"/>
    </row>
    <row r="2377" spans="1:17" ht="12" customHeight="1" x14ac:dyDescent="0.2">
      <c r="A2377" s="735" t="s">
        <v>7733</v>
      </c>
      <c r="B2377" s="735" t="s">
        <v>2170</v>
      </c>
      <c r="C2377" s="735" t="s">
        <v>451</v>
      </c>
      <c r="D2377" s="644" t="s">
        <v>7779</v>
      </c>
      <c r="E2377" s="736">
        <v>4000</v>
      </c>
      <c r="F2377" s="737" t="s">
        <v>8526</v>
      </c>
      <c r="G2377" s="636" t="s">
        <v>8527</v>
      </c>
      <c r="H2377" s="636" t="s">
        <v>8528</v>
      </c>
      <c r="I2377" s="636" t="s">
        <v>8529</v>
      </c>
      <c r="J2377" s="644" t="s">
        <v>642</v>
      </c>
      <c r="K2377" s="753">
        <v>12</v>
      </c>
      <c r="L2377" s="754">
        <v>12</v>
      </c>
      <c r="M2377" s="736">
        <v>49960.800000000003</v>
      </c>
      <c r="N2377" s="744"/>
      <c r="O2377" s="739"/>
      <c r="P2377" s="739"/>
      <c r="Q2377" s="214"/>
    </row>
    <row r="2378" spans="1:17" ht="12" customHeight="1" x14ac:dyDescent="0.2">
      <c r="A2378" s="735" t="s">
        <v>7733</v>
      </c>
      <c r="B2378" s="735" t="s">
        <v>2170</v>
      </c>
      <c r="C2378" s="735" t="s">
        <v>451</v>
      </c>
      <c r="D2378" s="644" t="s">
        <v>2261</v>
      </c>
      <c r="E2378" s="736">
        <v>3200</v>
      </c>
      <c r="F2378" s="737" t="s">
        <v>8530</v>
      </c>
      <c r="G2378" s="636" t="s">
        <v>8531</v>
      </c>
      <c r="H2378" s="636" t="s">
        <v>2745</v>
      </c>
      <c r="I2378" s="636" t="s">
        <v>7974</v>
      </c>
      <c r="J2378" s="644" t="s">
        <v>643</v>
      </c>
      <c r="K2378" s="753">
        <v>3</v>
      </c>
      <c r="L2378" s="754">
        <v>7</v>
      </c>
      <c r="M2378" s="736">
        <v>24360.799999999999</v>
      </c>
      <c r="N2378" s="744"/>
      <c r="O2378" s="739"/>
      <c r="P2378" s="739"/>
      <c r="Q2378" s="214"/>
    </row>
    <row r="2379" spans="1:17" ht="12" customHeight="1" x14ac:dyDescent="0.2">
      <c r="A2379" s="735" t="s">
        <v>7733</v>
      </c>
      <c r="B2379" s="735" t="s">
        <v>2170</v>
      </c>
      <c r="C2379" s="735" t="s">
        <v>451</v>
      </c>
      <c r="D2379" s="644" t="s">
        <v>8417</v>
      </c>
      <c r="E2379" s="736">
        <v>1400</v>
      </c>
      <c r="F2379" s="737" t="s">
        <v>8532</v>
      </c>
      <c r="G2379" s="636" t="s">
        <v>8533</v>
      </c>
      <c r="H2379" s="636" t="s">
        <v>2228</v>
      </c>
      <c r="I2379" s="636" t="s">
        <v>2228</v>
      </c>
      <c r="J2379" s="644"/>
      <c r="K2379" s="753">
        <v>1</v>
      </c>
      <c r="L2379" s="754">
        <v>1</v>
      </c>
      <c r="M2379" s="736">
        <v>3512</v>
      </c>
      <c r="N2379" s="744"/>
      <c r="O2379" s="739"/>
      <c r="P2379" s="739"/>
      <c r="Q2379" s="214"/>
    </row>
    <row r="2380" spans="1:17" ht="12" customHeight="1" x14ac:dyDescent="0.2">
      <c r="A2380" s="735" t="s">
        <v>7733</v>
      </c>
      <c r="B2380" s="735" t="s">
        <v>2170</v>
      </c>
      <c r="C2380" s="735" t="s">
        <v>451</v>
      </c>
      <c r="D2380" s="644" t="s">
        <v>7817</v>
      </c>
      <c r="E2380" s="736">
        <v>1800</v>
      </c>
      <c r="F2380" s="737" t="s">
        <v>8534</v>
      </c>
      <c r="G2380" s="636" t="s">
        <v>8535</v>
      </c>
      <c r="H2380" s="636" t="s">
        <v>8536</v>
      </c>
      <c r="I2380" s="636" t="s">
        <v>3057</v>
      </c>
      <c r="J2380" s="644" t="s">
        <v>643</v>
      </c>
      <c r="K2380" s="753">
        <v>12</v>
      </c>
      <c r="L2380" s="754">
        <v>12</v>
      </c>
      <c r="M2380" s="736">
        <v>24144</v>
      </c>
      <c r="N2380" s="744"/>
      <c r="O2380" s="739"/>
      <c r="P2380" s="739"/>
      <c r="Q2380" s="214"/>
    </row>
    <row r="2381" spans="1:17" ht="12" customHeight="1" x14ac:dyDescent="0.2">
      <c r="A2381" s="735" t="s">
        <v>7733</v>
      </c>
      <c r="B2381" s="735" t="s">
        <v>2170</v>
      </c>
      <c r="C2381" s="735" t="s">
        <v>451</v>
      </c>
      <c r="D2381" s="644" t="s">
        <v>8537</v>
      </c>
      <c r="E2381" s="736">
        <v>4000</v>
      </c>
      <c r="F2381" s="737" t="s">
        <v>8538</v>
      </c>
      <c r="G2381" s="636" t="s">
        <v>8539</v>
      </c>
      <c r="H2381" s="636" t="s">
        <v>7752</v>
      </c>
      <c r="I2381" s="636" t="s">
        <v>2179</v>
      </c>
      <c r="J2381" s="644" t="s">
        <v>642</v>
      </c>
      <c r="K2381" s="753">
        <v>9</v>
      </c>
      <c r="L2381" s="754">
        <v>12</v>
      </c>
      <c r="M2381" s="736">
        <v>49960.800000000003</v>
      </c>
      <c r="N2381" s="744"/>
      <c r="O2381" s="739"/>
      <c r="P2381" s="739"/>
      <c r="Q2381" s="214"/>
    </row>
    <row r="2382" spans="1:17" ht="12" customHeight="1" x14ac:dyDescent="0.2">
      <c r="A2382" s="735" t="s">
        <v>7733</v>
      </c>
      <c r="B2382" s="735" t="s">
        <v>2170</v>
      </c>
      <c r="C2382" s="735" t="s">
        <v>451</v>
      </c>
      <c r="D2382" s="644" t="s">
        <v>2381</v>
      </c>
      <c r="E2382" s="736">
        <v>1800</v>
      </c>
      <c r="F2382" s="737" t="s">
        <v>8540</v>
      </c>
      <c r="G2382" s="636" t="s">
        <v>8541</v>
      </c>
      <c r="H2382" s="636" t="s">
        <v>6778</v>
      </c>
      <c r="I2382" s="636" t="s">
        <v>7874</v>
      </c>
      <c r="J2382" s="644" t="s">
        <v>643</v>
      </c>
      <c r="K2382" s="753">
        <v>12</v>
      </c>
      <c r="L2382" s="754">
        <v>12</v>
      </c>
      <c r="M2382" s="736">
        <v>24144</v>
      </c>
      <c r="N2382" s="744"/>
      <c r="O2382" s="739"/>
      <c r="P2382" s="739"/>
      <c r="Q2382" s="214"/>
    </row>
    <row r="2383" spans="1:17" ht="12" customHeight="1" x14ac:dyDescent="0.2">
      <c r="A2383" s="735" t="s">
        <v>7733</v>
      </c>
      <c r="B2383" s="735" t="s">
        <v>2170</v>
      </c>
      <c r="C2383" s="735" t="s">
        <v>451</v>
      </c>
      <c r="D2383" s="644" t="s">
        <v>2179</v>
      </c>
      <c r="E2383" s="736">
        <v>3000</v>
      </c>
      <c r="F2383" s="737" t="s">
        <v>8542</v>
      </c>
      <c r="G2383" s="636" t="s">
        <v>8543</v>
      </c>
      <c r="H2383" s="636" t="s">
        <v>6571</v>
      </c>
      <c r="I2383" s="636" t="s">
        <v>2179</v>
      </c>
      <c r="J2383" s="644" t="s">
        <v>642</v>
      </c>
      <c r="K2383" s="753">
        <v>12</v>
      </c>
      <c r="L2383" s="754">
        <v>12</v>
      </c>
      <c r="M2383" s="736">
        <v>37960.800000000003</v>
      </c>
      <c r="N2383" s="744"/>
      <c r="O2383" s="739"/>
      <c r="P2383" s="739"/>
      <c r="Q2383" s="214"/>
    </row>
    <row r="2384" spans="1:17" ht="12" customHeight="1" x14ac:dyDescent="0.2">
      <c r="A2384" s="735" t="s">
        <v>7733</v>
      </c>
      <c r="B2384" s="735" t="s">
        <v>2170</v>
      </c>
      <c r="C2384" s="735" t="s">
        <v>451</v>
      </c>
      <c r="D2384" s="644" t="s">
        <v>7946</v>
      </c>
      <c r="E2384" s="736">
        <v>3500</v>
      </c>
      <c r="F2384" s="737" t="s">
        <v>8544</v>
      </c>
      <c r="G2384" s="636" t="s">
        <v>8545</v>
      </c>
      <c r="H2384" s="636" t="s">
        <v>7752</v>
      </c>
      <c r="I2384" s="636" t="s">
        <v>2179</v>
      </c>
      <c r="J2384" s="644" t="s">
        <v>642</v>
      </c>
      <c r="K2384" s="753">
        <v>12</v>
      </c>
      <c r="L2384" s="754">
        <v>12</v>
      </c>
      <c r="M2384" s="736">
        <v>43960.800000000003</v>
      </c>
      <c r="N2384" s="744"/>
      <c r="O2384" s="739"/>
      <c r="P2384" s="739"/>
      <c r="Q2384" s="214"/>
    </row>
    <row r="2385" spans="1:17" ht="12" customHeight="1" x14ac:dyDescent="0.2">
      <c r="A2385" s="735" t="s">
        <v>7733</v>
      </c>
      <c r="B2385" s="735" t="s">
        <v>2170</v>
      </c>
      <c r="C2385" s="735" t="s">
        <v>451</v>
      </c>
      <c r="D2385" s="644" t="s">
        <v>8316</v>
      </c>
      <c r="E2385" s="736">
        <v>4000</v>
      </c>
      <c r="F2385" s="737" t="s">
        <v>8546</v>
      </c>
      <c r="G2385" s="636" t="s">
        <v>8547</v>
      </c>
      <c r="H2385" s="636" t="s">
        <v>7752</v>
      </c>
      <c r="I2385" s="636" t="s">
        <v>2179</v>
      </c>
      <c r="J2385" s="644" t="s">
        <v>642</v>
      </c>
      <c r="K2385" s="753">
        <v>5</v>
      </c>
      <c r="L2385" s="754">
        <v>12</v>
      </c>
      <c r="M2385" s="736">
        <v>49960.800000000003</v>
      </c>
      <c r="N2385" s="744"/>
      <c r="O2385" s="739"/>
      <c r="P2385" s="739"/>
      <c r="Q2385" s="214"/>
    </row>
    <row r="2386" spans="1:17" ht="12" customHeight="1" x14ac:dyDescent="0.2">
      <c r="A2386" s="735" t="s">
        <v>7733</v>
      </c>
      <c r="B2386" s="735" t="s">
        <v>2170</v>
      </c>
      <c r="C2386" s="735" t="s">
        <v>451</v>
      </c>
      <c r="D2386" s="644" t="s">
        <v>6565</v>
      </c>
      <c r="E2386" s="736">
        <v>4000</v>
      </c>
      <c r="F2386" s="737" t="s">
        <v>8548</v>
      </c>
      <c r="G2386" s="636" t="s">
        <v>8549</v>
      </c>
      <c r="H2386" s="636" t="s">
        <v>8550</v>
      </c>
      <c r="I2386" s="636" t="s">
        <v>7835</v>
      </c>
      <c r="J2386" s="644" t="s">
        <v>642</v>
      </c>
      <c r="K2386" s="753">
        <v>2</v>
      </c>
      <c r="L2386" s="754">
        <v>4</v>
      </c>
      <c r="M2386" s="736">
        <v>17960.8</v>
      </c>
      <c r="N2386" s="744"/>
      <c r="O2386" s="739"/>
      <c r="P2386" s="739"/>
      <c r="Q2386" s="214"/>
    </row>
    <row r="2387" spans="1:17" ht="12" customHeight="1" x14ac:dyDescent="0.2">
      <c r="A2387" s="735" t="s">
        <v>7733</v>
      </c>
      <c r="B2387" s="735" t="s">
        <v>2170</v>
      </c>
      <c r="C2387" s="735" t="s">
        <v>451</v>
      </c>
      <c r="D2387" s="644" t="s">
        <v>8551</v>
      </c>
      <c r="E2387" s="736">
        <v>3500</v>
      </c>
      <c r="F2387" s="737" t="s">
        <v>8552</v>
      </c>
      <c r="G2387" s="636" t="s">
        <v>8553</v>
      </c>
      <c r="H2387" s="636" t="s">
        <v>8135</v>
      </c>
      <c r="I2387" s="636" t="s">
        <v>3070</v>
      </c>
      <c r="J2387" s="644" t="s">
        <v>642</v>
      </c>
      <c r="K2387" s="753">
        <v>2</v>
      </c>
      <c r="L2387" s="754">
        <v>4</v>
      </c>
      <c r="M2387" s="736">
        <v>15960.8</v>
      </c>
      <c r="N2387" s="744"/>
      <c r="O2387" s="739"/>
      <c r="P2387" s="739"/>
      <c r="Q2387" s="214"/>
    </row>
    <row r="2388" spans="1:17" ht="12" customHeight="1" x14ac:dyDescent="0.2">
      <c r="A2388" s="735" t="s">
        <v>7733</v>
      </c>
      <c r="B2388" s="735" t="s">
        <v>2170</v>
      </c>
      <c r="C2388" s="735" t="s">
        <v>451</v>
      </c>
      <c r="D2388" s="644" t="s">
        <v>8554</v>
      </c>
      <c r="E2388" s="736">
        <v>3500</v>
      </c>
      <c r="F2388" s="737" t="s">
        <v>8555</v>
      </c>
      <c r="G2388" s="636" t="s">
        <v>8556</v>
      </c>
      <c r="H2388" s="636" t="s">
        <v>7752</v>
      </c>
      <c r="I2388" s="636" t="s">
        <v>2766</v>
      </c>
      <c r="J2388" s="644" t="s">
        <v>642</v>
      </c>
      <c r="K2388" s="753">
        <v>12</v>
      </c>
      <c r="L2388" s="754">
        <v>12</v>
      </c>
      <c r="M2388" s="736">
        <v>43960.800000000003</v>
      </c>
      <c r="N2388" s="744"/>
      <c r="O2388" s="739"/>
      <c r="P2388" s="739"/>
      <c r="Q2388" s="214"/>
    </row>
    <row r="2389" spans="1:17" ht="12" customHeight="1" x14ac:dyDescent="0.2">
      <c r="A2389" s="735" t="s">
        <v>7733</v>
      </c>
      <c r="B2389" s="735" t="s">
        <v>2170</v>
      </c>
      <c r="C2389" s="735" t="s">
        <v>451</v>
      </c>
      <c r="D2389" s="644" t="s">
        <v>7843</v>
      </c>
      <c r="E2389" s="736">
        <v>3000</v>
      </c>
      <c r="F2389" s="737" t="s">
        <v>8557</v>
      </c>
      <c r="G2389" s="636" t="s">
        <v>8558</v>
      </c>
      <c r="H2389" s="636" t="s">
        <v>8089</v>
      </c>
      <c r="I2389" s="636" t="s">
        <v>8559</v>
      </c>
      <c r="J2389" s="644" t="s">
        <v>642</v>
      </c>
      <c r="K2389" s="753">
        <v>12</v>
      </c>
      <c r="L2389" s="754">
        <v>12</v>
      </c>
      <c r="M2389" s="736">
        <v>37960.800000000003</v>
      </c>
      <c r="N2389" s="744"/>
      <c r="O2389" s="739"/>
      <c r="P2389" s="739"/>
      <c r="Q2389" s="214"/>
    </row>
    <row r="2390" spans="1:17" ht="12" customHeight="1" x14ac:dyDescent="0.2">
      <c r="A2390" s="735" t="s">
        <v>7733</v>
      </c>
      <c r="B2390" s="735" t="s">
        <v>2170</v>
      </c>
      <c r="C2390" s="735" t="s">
        <v>451</v>
      </c>
      <c r="D2390" s="644" t="s">
        <v>5788</v>
      </c>
      <c r="E2390" s="736">
        <v>5000</v>
      </c>
      <c r="F2390" s="737" t="s">
        <v>8560</v>
      </c>
      <c r="G2390" s="636" t="s">
        <v>8561</v>
      </c>
      <c r="H2390" s="636" t="s">
        <v>7752</v>
      </c>
      <c r="I2390" s="636" t="s">
        <v>2179</v>
      </c>
      <c r="J2390" s="644" t="s">
        <v>642</v>
      </c>
      <c r="K2390" s="753">
        <v>12</v>
      </c>
      <c r="L2390" s="754">
        <v>12</v>
      </c>
      <c r="M2390" s="736">
        <v>61960.800000000003</v>
      </c>
      <c r="N2390" s="744"/>
      <c r="O2390" s="739"/>
      <c r="P2390" s="739"/>
      <c r="Q2390" s="214"/>
    </row>
    <row r="2391" spans="1:17" ht="12" customHeight="1" x14ac:dyDescent="0.2">
      <c r="A2391" s="735" t="s">
        <v>7733</v>
      </c>
      <c r="B2391" s="735" t="s">
        <v>2170</v>
      </c>
      <c r="C2391" s="735" t="s">
        <v>451</v>
      </c>
      <c r="D2391" s="644" t="s">
        <v>7858</v>
      </c>
      <c r="E2391" s="736">
        <v>3000</v>
      </c>
      <c r="F2391" s="737" t="s">
        <v>8562</v>
      </c>
      <c r="G2391" s="636" t="s">
        <v>8563</v>
      </c>
      <c r="H2391" s="636"/>
      <c r="I2391" s="636"/>
      <c r="J2391" s="644" t="s">
        <v>643</v>
      </c>
      <c r="K2391" s="753">
        <v>12</v>
      </c>
      <c r="L2391" s="754">
        <v>12</v>
      </c>
      <c r="M2391" s="736">
        <v>37960.800000000003</v>
      </c>
      <c r="N2391" s="744"/>
      <c r="O2391" s="739"/>
      <c r="P2391" s="739"/>
      <c r="Q2391" s="214"/>
    </row>
    <row r="2392" spans="1:17" ht="12" customHeight="1" x14ac:dyDescent="0.2">
      <c r="A2392" s="735" t="s">
        <v>7733</v>
      </c>
      <c r="B2392" s="735" t="s">
        <v>2170</v>
      </c>
      <c r="C2392" s="735" t="s">
        <v>451</v>
      </c>
      <c r="D2392" s="644" t="s">
        <v>8564</v>
      </c>
      <c r="E2392" s="736">
        <v>4000</v>
      </c>
      <c r="F2392" s="737" t="s">
        <v>8565</v>
      </c>
      <c r="G2392" s="636" t="s">
        <v>8566</v>
      </c>
      <c r="H2392" s="636" t="s">
        <v>7850</v>
      </c>
      <c r="I2392" s="636" t="s">
        <v>8567</v>
      </c>
      <c r="J2392" s="644" t="s">
        <v>643</v>
      </c>
      <c r="K2392" s="753">
        <v>6</v>
      </c>
      <c r="L2392" s="754">
        <v>12</v>
      </c>
      <c r="M2392" s="736">
        <v>49960.800000000003</v>
      </c>
      <c r="N2392" s="744"/>
      <c r="O2392" s="739"/>
      <c r="P2392" s="739"/>
      <c r="Q2392" s="214"/>
    </row>
    <row r="2393" spans="1:17" ht="12" customHeight="1" x14ac:dyDescent="0.2">
      <c r="A2393" s="735" t="s">
        <v>7733</v>
      </c>
      <c r="B2393" s="735" t="s">
        <v>2170</v>
      </c>
      <c r="C2393" s="735" t="s">
        <v>451</v>
      </c>
      <c r="D2393" s="644" t="s">
        <v>8568</v>
      </c>
      <c r="E2393" s="736">
        <v>3000</v>
      </c>
      <c r="F2393" s="737" t="s">
        <v>8569</v>
      </c>
      <c r="G2393" s="636" t="s">
        <v>8570</v>
      </c>
      <c r="H2393" s="636" t="s">
        <v>7782</v>
      </c>
      <c r="I2393" s="636" t="s">
        <v>2208</v>
      </c>
      <c r="J2393" s="644" t="s">
        <v>642</v>
      </c>
      <c r="K2393" s="753">
        <v>12</v>
      </c>
      <c r="L2393" s="754">
        <v>12</v>
      </c>
      <c r="M2393" s="736">
        <v>37960.800000000003</v>
      </c>
      <c r="N2393" s="744"/>
      <c r="O2393" s="739"/>
      <c r="P2393" s="739"/>
      <c r="Q2393" s="214"/>
    </row>
    <row r="2394" spans="1:17" ht="12" customHeight="1" x14ac:dyDescent="0.2">
      <c r="A2394" s="735" t="s">
        <v>7733</v>
      </c>
      <c r="B2394" s="735" t="s">
        <v>2170</v>
      </c>
      <c r="C2394" s="735" t="s">
        <v>451</v>
      </c>
      <c r="D2394" s="644" t="s">
        <v>7746</v>
      </c>
      <c r="E2394" s="736">
        <v>2200</v>
      </c>
      <c r="F2394" s="737" t="s">
        <v>8571</v>
      </c>
      <c r="G2394" s="636" t="s">
        <v>8572</v>
      </c>
      <c r="H2394" s="636" t="s">
        <v>8573</v>
      </c>
      <c r="I2394" s="636" t="s">
        <v>8573</v>
      </c>
      <c r="J2394" s="644" t="s">
        <v>643</v>
      </c>
      <c r="K2394" s="753">
        <v>5</v>
      </c>
      <c r="L2394" s="754">
        <v>12</v>
      </c>
      <c r="M2394" s="736">
        <v>28360.799999999999</v>
      </c>
      <c r="N2394" s="744"/>
      <c r="O2394" s="739"/>
      <c r="P2394" s="739"/>
      <c r="Q2394" s="214"/>
    </row>
    <row r="2395" spans="1:17" ht="12" customHeight="1" x14ac:dyDescent="0.2">
      <c r="A2395" s="735" t="s">
        <v>7733</v>
      </c>
      <c r="B2395" s="735" t="s">
        <v>2170</v>
      </c>
      <c r="C2395" s="735" t="s">
        <v>451</v>
      </c>
      <c r="D2395" s="644" t="s">
        <v>7868</v>
      </c>
      <c r="E2395" s="736">
        <v>4000</v>
      </c>
      <c r="F2395" s="737" t="s">
        <v>8574</v>
      </c>
      <c r="G2395" s="636" t="s">
        <v>8575</v>
      </c>
      <c r="H2395" s="636" t="s">
        <v>2228</v>
      </c>
      <c r="I2395" s="636" t="s">
        <v>2228</v>
      </c>
      <c r="J2395" s="644"/>
      <c r="K2395" s="753">
        <v>7</v>
      </c>
      <c r="L2395" s="754">
        <v>7</v>
      </c>
      <c r="M2395" s="736">
        <v>29960.799999999999</v>
      </c>
      <c r="N2395" s="744"/>
      <c r="O2395" s="739"/>
      <c r="P2395" s="739"/>
      <c r="Q2395" s="214"/>
    </row>
    <row r="2396" spans="1:17" ht="12" customHeight="1" x14ac:dyDescent="0.2">
      <c r="A2396" s="735" t="s">
        <v>7733</v>
      </c>
      <c r="B2396" s="735" t="s">
        <v>2170</v>
      </c>
      <c r="C2396" s="735" t="s">
        <v>451</v>
      </c>
      <c r="D2396" s="644" t="s">
        <v>8576</v>
      </c>
      <c r="E2396" s="736">
        <v>2800</v>
      </c>
      <c r="F2396" s="737" t="s">
        <v>8577</v>
      </c>
      <c r="G2396" s="636" t="s">
        <v>8578</v>
      </c>
      <c r="H2396" s="636" t="s">
        <v>8135</v>
      </c>
      <c r="I2396" s="636" t="s">
        <v>8400</v>
      </c>
      <c r="J2396" s="644" t="s">
        <v>642</v>
      </c>
      <c r="K2396" s="753">
        <v>5</v>
      </c>
      <c r="L2396" s="754">
        <v>12</v>
      </c>
      <c r="M2396" s="736">
        <v>35560.800000000003</v>
      </c>
      <c r="N2396" s="744"/>
      <c r="O2396" s="739"/>
      <c r="P2396" s="739"/>
      <c r="Q2396" s="214"/>
    </row>
    <row r="2397" spans="1:17" ht="12" customHeight="1" x14ac:dyDescent="0.2">
      <c r="A2397" s="735" t="s">
        <v>7733</v>
      </c>
      <c r="B2397" s="735" t="s">
        <v>2170</v>
      </c>
      <c r="C2397" s="735" t="s">
        <v>451</v>
      </c>
      <c r="D2397" s="644" t="s">
        <v>7932</v>
      </c>
      <c r="E2397" s="736">
        <v>2500</v>
      </c>
      <c r="F2397" s="737" t="s">
        <v>8579</v>
      </c>
      <c r="G2397" s="636" t="s">
        <v>8580</v>
      </c>
      <c r="H2397" s="636" t="s">
        <v>7782</v>
      </c>
      <c r="I2397" s="636"/>
      <c r="J2397" s="644" t="s">
        <v>643</v>
      </c>
      <c r="K2397" s="753">
        <v>12</v>
      </c>
      <c r="L2397" s="754">
        <v>12</v>
      </c>
      <c r="M2397" s="736">
        <v>31960.799999999999</v>
      </c>
      <c r="N2397" s="744"/>
      <c r="O2397" s="739"/>
      <c r="P2397" s="739"/>
      <c r="Q2397" s="214"/>
    </row>
    <row r="2398" spans="1:17" ht="12" customHeight="1" x14ac:dyDescent="0.2">
      <c r="A2398" s="735" t="s">
        <v>7733</v>
      </c>
      <c r="B2398" s="735" t="s">
        <v>2170</v>
      </c>
      <c r="C2398" s="735" t="s">
        <v>451</v>
      </c>
      <c r="D2398" s="644" t="s">
        <v>8268</v>
      </c>
      <c r="E2398" s="736">
        <v>2200</v>
      </c>
      <c r="F2398" s="737" t="s">
        <v>8581</v>
      </c>
      <c r="G2398" s="636" t="s">
        <v>8582</v>
      </c>
      <c r="H2398" s="636" t="s">
        <v>7152</v>
      </c>
      <c r="I2398" s="636" t="s">
        <v>4559</v>
      </c>
      <c r="J2398" s="644" t="s">
        <v>644</v>
      </c>
      <c r="K2398" s="753">
        <v>12</v>
      </c>
      <c r="L2398" s="754">
        <v>12</v>
      </c>
      <c r="M2398" s="736">
        <v>28360.799999999999</v>
      </c>
      <c r="N2398" s="744"/>
      <c r="O2398" s="739"/>
      <c r="P2398" s="739"/>
      <c r="Q2398" s="214"/>
    </row>
    <row r="2399" spans="1:17" ht="12" customHeight="1" x14ac:dyDescent="0.2">
      <c r="A2399" s="735" t="s">
        <v>7733</v>
      </c>
      <c r="B2399" s="735" t="s">
        <v>2170</v>
      </c>
      <c r="C2399" s="735" t="s">
        <v>451</v>
      </c>
      <c r="D2399" s="644" t="s">
        <v>7800</v>
      </c>
      <c r="E2399" s="736">
        <v>3500</v>
      </c>
      <c r="F2399" s="737" t="s">
        <v>8583</v>
      </c>
      <c r="G2399" s="636" t="s">
        <v>8584</v>
      </c>
      <c r="H2399" s="636"/>
      <c r="I2399" s="636"/>
      <c r="J2399" s="644" t="s">
        <v>642</v>
      </c>
      <c r="K2399" s="753">
        <v>12</v>
      </c>
      <c r="L2399" s="754">
        <v>12</v>
      </c>
      <c r="M2399" s="736">
        <v>43960.800000000003</v>
      </c>
      <c r="N2399" s="744"/>
      <c r="O2399" s="739"/>
      <c r="P2399" s="739"/>
      <c r="Q2399" s="214"/>
    </row>
    <row r="2400" spans="1:17" ht="12" customHeight="1" x14ac:dyDescent="0.2">
      <c r="A2400" s="735" t="s">
        <v>7733</v>
      </c>
      <c r="B2400" s="735" t="s">
        <v>2170</v>
      </c>
      <c r="C2400" s="735" t="s">
        <v>451</v>
      </c>
      <c r="D2400" s="644" t="s">
        <v>7843</v>
      </c>
      <c r="E2400" s="736">
        <v>4000</v>
      </c>
      <c r="F2400" s="737" t="s">
        <v>8585</v>
      </c>
      <c r="G2400" s="636" t="s">
        <v>8586</v>
      </c>
      <c r="H2400" s="636" t="s">
        <v>7752</v>
      </c>
      <c r="I2400" s="636" t="s">
        <v>2179</v>
      </c>
      <c r="J2400" s="644" t="s">
        <v>642</v>
      </c>
      <c r="K2400" s="753">
        <v>12</v>
      </c>
      <c r="L2400" s="754">
        <v>12</v>
      </c>
      <c r="M2400" s="736">
        <v>49960.800000000003</v>
      </c>
      <c r="N2400" s="744"/>
      <c r="O2400" s="739"/>
      <c r="P2400" s="739"/>
      <c r="Q2400" s="214"/>
    </row>
    <row r="2401" spans="1:17" ht="12" customHeight="1" x14ac:dyDescent="0.2">
      <c r="A2401" s="735" t="s">
        <v>7733</v>
      </c>
      <c r="B2401" s="735" t="s">
        <v>2170</v>
      </c>
      <c r="C2401" s="735" t="s">
        <v>451</v>
      </c>
      <c r="D2401" s="644" t="s">
        <v>8149</v>
      </c>
      <c r="E2401" s="736">
        <v>2000</v>
      </c>
      <c r="F2401" s="737" t="s">
        <v>8587</v>
      </c>
      <c r="G2401" s="636" t="s">
        <v>8588</v>
      </c>
      <c r="H2401" s="636" t="s">
        <v>2228</v>
      </c>
      <c r="I2401" s="636" t="s">
        <v>2228</v>
      </c>
      <c r="J2401" s="644"/>
      <c r="K2401" s="753">
        <v>5</v>
      </c>
      <c r="L2401" s="754">
        <v>5</v>
      </c>
      <c r="M2401" s="736">
        <v>11960.8</v>
      </c>
      <c r="N2401" s="744"/>
      <c r="O2401" s="739"/>
      <c r="P2401" s="739"/>
      <c r="Q2401" s="214"/>
    </row>
    <row r="2402" spans="1:17" ht="12" customHeight="1" x14ac:dyDescent="0.2">
      <c r="A2402" s="735" t="s">
        <v>7733</v>
      </c>
      <c r="B2402" s="735" t="s">
        <v>2170</v>
      </c>
      <c r="C2402" s="735" t="s">
        <v>451</v>
      </c>
      <c r="D2402" s="644" t="s">
        <v>7901</v>
      </c>
      <c r="E2402" s="736">
        <v>2500</v>
      </c>
      <c r="F2402" s="737" t="s">
        <v>8589</v>
      </c>
      <c r="G2402" s="636" t="s">
        <v>8590</v>
      </c>
      <c r="H2402" s="636" t="s">
        <v>8089</v>
      </c>
      <c r="I2402" s="636" t="s">
        <v>8036</v>
      </c>
      <c r="J2402" s="644" t="s">
        <v>643</v>
      </c>
      <c r="K2402" s="753">
        <v>12</v>
      </c>
      <c r="L2402" s="754">
        <v>12</v>
      </c>
      <c r="M2402" s="736">
        <v>31960.799999999999</v>
      </c>
      <c r="N2402" s="744"/>
      <c r="O2402" s="739"/>
      <c r="P2402" s="739"/>
      <c r="Q2402" s="214"/>
    </row>
    <row r="2403" spans="1:17" ht="12" customHeight="1" x14ac:dyDescent="0.2">
      <c r="A2403" s="735" t="s">
        <v>7733</v>
      </c>
      <c r="B2403" s="735" t="s">
        <v>2170</v>
      </c>
      <c r="C2403" s="735" t="s">
        <v>451</v>
      </c>
      <c r="D2403" s="644" t="s">
        <v>8316</v>
      </c>
      <c r="E2403" s="736">
        <v>4000</v>
      </c>
      <c r="F2403" s="737" t="s">
        <v>8591</v>
      </c>
      <c r="G2403" s="636" t="s">
        <v>8592</v>
      </c>
      <c r="H2403" s="636" t="s">
        <v>6571</v>
      </c>
      <c r="I2403" s="636" t="s">
        <v>2179</v>
      </c>
      <c r="J2403" s="644" t="s">
        <v>642</v>
      </c>
      <c r="K2403" s="753">
        <v>5</v>
      </c>
      <c r="L2403" s="754">
        <v>12</v>
      </c>
      <c r="M2403" s="736">
        <v>49960.800000000003</v>
      </c>
      <c r="N2403" s="744"/>
      <c r="O2403" s="739"/>
      <c r="P2403" s="739"/>
      <c r="Q2403" s="214"/>
    </row>
    <row r="2404" spans="1:17" ht="12" customHeight="1" x14ac:dyDescent="0.2">
      <c r="A2404" s="735" t="s">
        <v>7733</v>
      </c>
      <c r="B2404" s="735" t="s">
        <v>2170</v>
      </c>
      <c r="C2404" s="735" t="s">
        <v>451</v>
      </c>
      <c r="D2404" s="644" t="s">
        <v>7758</v>
      </c>
      <c r="E2404" s="736">
        <v>3000</v>
      </c>
      <c r="F2404" s="737" t="s">
        <v>8593</v>
      </c>
      <c r="G2404" s="636" t="s">
        <v>8594</v>
      </c>
      <c r="H2404" s="636" t="s">
        <v>7752</v>
      </c>
      <c r="I2404" s="636" t="s">
        <v>3760</v>
      </c>
      <c r="J2404" s="644" t="s">
        <v>642</v>
      </c>
      <c r="K2404" s="753">
        <v>5</v>
      </c>
      <c r="L2404" s="754">
        <v>12</v>
      </c>
      <c r="M2404" s="736">
        <v>37960.800000000003</v>
      </c>
      <c r="N2404" s="744"/>
      <c r="O2404" s="739"/>
      <c r="P2404" s="739"/>
      <c r="Q2404" s="214"/>
    </row>
    <row r="2405" spans="1:17" ht="12" customHeight="1" x14ac:dyDescent="0.2">
      <c r="A2405" s="735" t="s">
        <v>7733</v>
      </c>
      <c r="B2405" s="735" t="s">
        <v>2170</v>
      </c>
      <c r="C2405" s="735" t="s">
        <v>451</v>
      </c>
      <c r="D2405" s="644" t="s">
        <v>8595</v>
      </c>
      <c r="E2405" s="736">
        <v>10000</v>
      </c>
      <c r="F2405" s="737" t="s">
        <v>8596</v>
      </c>
      <c r="G2405" s="636" t="s">
        <v>8597</v>
      </c>
      <c r="H2405" s="636"/>
      <c r="I2405" s="636"/>
      <c r="J2405" s="644" t="s">
        <v>642</v>
      </c>
      <c r="K2405" s="753">
        <v>1</v>
      </c>
      <c r="L2405" s="754">
        <v>12</v>
      </c>
      <c r="M2405" s="736">
        <v>121960.8</v>
      </c>
      <c r="N2405" s="744"/>
      <c r="O2405" s="739"/>
      <c r="P2405" s="739"/>
      <c r="Q2405" s="214"/>
    </row>
    <row r="2406" spans="1:17" ht="12" customHeight="1" x14ac:dyDescent="0.2">
      <c r="A2406" s="735" t="s">
        <v>7733</v>
      </c>
      <c r="B2406" s="735" t="s">
        <v>2170</v>
      </c>
      <c r="C2406" s="735" t="s">
        <v>451</v>
      </c>
      <c r="D2406" s="644" t="s">
        <v>8371</v>
      </c>
      <c r="E2406" s="736">
        <v>3000</v>
      </c>
      <c r="F2406" s="737" t="s">
        <v>8598</v>
      </c>
      <c r="G2406" s="636" t="s">
        <v>8599</v>
      </c>
      <c r="H2406" s="636" t="s">
        <v>8000</v>
      </c>
      <c r="I2406" s="636" t="s">
        <v>2478</v>
      </c>
      <c r="J2406" s="644" t="s">
        <v>643</v>
      </c>
      <c r="K2406" s="753">
        <v>5</v>
      </c>
      <c r="L2406" s="754">
        <v>12</v>
      </c>
      <c r="M2406" s="736">
        <v>37960.800000000003</v>
      </c>
      <c r="N2406" s="744"/>
      <c r="O2406" s="739"/>
      <c r="P2406" s="739"/>
      <c r="Q2406" s="214"/>
    </row>
    <row r="2407" spans="1:17" ht="12" customHeight="1" x14ac:dyDescent="0.2">
      <c r="A2407" s="735" t="s">
        <v>7733</v>
      </c>
      <c r="B2407" s="735" t="s">
        <v>2170</v>
      </c>
      <c r="C2407" s="735" t="s">
        <v>451</v>
      </c>
      <c r="D2407" s="644" t="s">
        <v>8600</v>
      </c>
      <c r="E2407" s="736">
        <v>6000</v>
      </c>
      <c r="F2407" s="737" t="s">
        <v>8601</v>
      </c>
      <c r="G2407" s="636" t="s">
        <v>8602</v>
      </c>
      <c r="H2407" s="636" t="s">
        <v>8000</v>
      </c>
      <c r="I2407" s="636" t="s">
        <v>2478</v>
      </c>
      <c r="J2407" s="644" t="s">
        <v>642</v>
      </c>
      <c r="K2407" s="753">
        <v>5</v>
      </c>
      <c r="L2407" s="754">
        <v>12</v>
      </c>
      <c r="M2407" s="736">
        <v>73960.800000000003</v>
      </c>
      <c r="N2407" s="744"/>
      <c r="O2407" s="739"/>
      <c r="P2407" s="739"/>
      <c r="Q2407" s="214"/>
    </row>
    <row r="2408" spans="1:17" ht="12" customHeight="1" x14ac:dyDescent="0.2">
      <c r="A2408" s="735" t="s">
        <v>7733</v>
      </c>
      <c r="B2408" s="735" t="s">
        <v>2170</v>
      </c>
      <c r="C2408" s="735" t="s">
        <v>451</v>
      </c>
      <c r="D2408" s="644" t="s">
        <v>8414</v>
      </c>
      <c r="E2408" s="736">
        <v>3000</v>
      </c>
      <c r="F2408" s="737" t="s">
        <v>8603</v>
      </c>
      <c r="G2408" s="636" t="s">
        <v>8604</v>
      </c>
      <c r="H2408" s="636"/>
      <c r="I2408" s="636"/>
      <c r="J2408" s="644" t="s">
        <v>643</v>
      </c>
      <c r="K2408" s="753">
        <v>5</v>
      </c>
      <c r="L2408" s="754">
        <v>12</v>
      </c>
      <c r="M2408" s="736">
        <v>37960.800000000003</v>
      </c>
      <c r="N2408" s="744"/>
      <c r="O2408" s="739"/>
      <c r="P2408" s="739"/>
      <c r="Q2408" s="214"/>
    </row>
    <row r="2409" spans="1:17" ht="12" customHeight="1" x14ac:dyDescent="0.2">
      <c r="A2409" s="735" t="s">
        <v>7733</v>
      </c>
      <c r="B2409" s="735" t="s">
        <v>2170</v>
      </c>
      <c r="C2409" s="735" t="s">
        <v>451</v>
      </c>
      <c r="D2409" s="644" t="s">
        <v>8605</v>
      </c>
      <c r="E2409" s="736">
        <v>3000</v>
      </c>
      <c r="F2409" s="737" t="s">
        <v>8606</v>
      </c>
      <c r="G2409" s="636" t="s">
        <v>8607</v>
      </c>
      <c r="H2409" s="636" t="s">
        <v>7752</v>
      </c>
      <c r="I2409" s="636" t="s">
        <v>2179</v>
      </c>
      <c r="J2409" s="644" t="s">
        <v>642</v>
      </c>
      <c r="K2409" s="753">
        <v>12</v>
      </c>
      <c r="L2409" s="754">
        <v>12</v>
      </c>
      <c r="M2409" s="736">
        <v>37960.800000000003</v>
      </c>
      <c r="N2409" s="744"/>
      <c r="O2409" s="739"/>
      <c r="P2409" s="739"/>
      <c r="Q2409" s="214"/>
    </row>
    <row r="2410" spans="1:17" ht="12" customHeight="1" x14ac:dyDescent="0.2">
      <c r="A2410" s="735" t="s">
        <v>7733</v>
      </c>
      <c r="B2410" s="735" t="s">
        <v>2170</v>
      </c>
      <c r="C2410" s="735" t="s">
        <v>451</v>
      </c>
      <c r="D2410" s="644" t="s">
        <v>2179</v>
      </c>
      <c r="E2410" s="736">
        <v>6000</v>
      </c>
      <c r="F2410" s="737" t="s">
        <v>8608</v>
      </c>
      <c r="G2410" s="636" t="s">
        <v>8609</v>
      </c>
      <c r="H2410" s="636" t="s">
        <v>6571</v>
      </c>
      <c r="I2410" s="636" t="s">
        <v>2179</v>
      </c>
      <c r="J2410" s="644" t="s">
        <v>642</v>
      </c>
      <c r="K2410" s="753">
        <v>5</v>
      </c>
      <c r="L2410" s="754">
        <v>12</v>
      </c>
      <c r="M2410" s="736">
        <v>73960.800000000003</v>
      </c>
      <c r="N2410" s="744"/>
      <c r="O2410" s="739"/>
      <c r="P2410" s="739"/>
      <c r="Q2410" s="214"/>
    </row>
    <row r="2411" spans="1:17" ht="12" customHeight="1" x14ac:dyDescent="0.2">
      <c r="A2411" s="735" t="s">
        <v>7733</v>
      </c>
      <c r="B2411" s="735" t="s">
        <v>2170</v>
      </c>
      <c r="C2411" s="735" t="s">
        <v>451</v>
      </c>
      <c r="D2411" s="644" t="s">
        <v>7932</v>
      </c>
      <c r="E2411" s="736">
        <v>2500</v>
      </c>
      <c r="F2411" s="737" t="s">
        <v>8610</v>
      </c>
      <c r="G2411" s="636" t="s">
        <v>8611</v>
      </c>
      <c r="H2411" s="636" t="s">
        <v>3754</v>
      </c>
      <c r="I2411" s="636" t="s">
        <v>2979</v>
      </c>
      <c r="J2411" s="644" t="s">
        <v>643</v>
      </c>
      <c r="K2411" s="753">
        <v>12</v>
      </c>
      <c r="L2411" s="754">
        <v>12</v>
      </c>
      <c r="M2411" s="736">
        <v>31960.799999999999</v>
      </c>
      <c r="N2411" s="744"/>
      <c r="O2411" s="739"/>
      <c r="P2411" s="739"/>
      <c r="Q2411" s="214"/>
    </row>
    <row r="2412" spans="1:17" ht="12" customHeight="1" x14ac:dyDescent="0.2">
      <c r="A2412" s="735" t="s">
        <v>7733</v>
      </c>
      <c r="B2412" s="735" t="s">
        <v>2170</v>
      </c>
      <c r="C2412" s="735" t="s">
        <v>451</v>
      </c>
      <c r="D2412" s="644" t="s">
        <v>7977</v>
      </c>
      <c r="E2412" s="736">
        <v>4000</v>
      </c>
      <c r="F2412" s="737" t="s">
        <v>8612</v>
      </c>
      <c r="G2412" s="636" t="s">
        <v>8613</v>
      </c>
      <c r="H2412" s="636" t="s">
        <v>2228</v>
      </c>
      <c r="I2412" s="636" t="s">
        <v>2228</v>
      </c>
      <c r="J2412" s="644"/>
      <c r="K2412" s="753">
        <v>7</v>
      </c>
      <c r="L2412" s="754">
        <v>7</v>
      </c>
      <c r="M2412" s="736">
        <v>29960.799999999999</v>
      </c>
      <c r="N2412" s="744"/>
      <c r="O2412" s="739"/>
      <c r="P2412" s="739"/>
      <c r="Q2412" s="214"/>
    </row>
    <row r="2413" spans="1:17" ht="12" customHeight="1" x14ac:dyDescent="0.2">
      <c r="A2413" s="735" t="s">
        <v>7733</v>
      </c>
      <c r="B2413" s="735" t="s">
        <v>2170</v>
      </c>
      <c r="C2413" s="735" t="s">
        <v>451</v>
      </c>
      <c r="D2413" s="644" t="s">
        <v>8614</v>
      </c>
      <c r="E2413" s="736">
        <v>3000</v>
      </c>
      <c r="F2413" s="737" t="s">
        <v>8615</v>
      </c>
      <c r="G2413" s="636" t="s">
        <v>8616</v>
      </c>
      <c r="H2413" s="636" t="s">
        <v>6571</v>
      </c>
      <c r="I2413" s="636" t="s">
        <v>2179</v>
      </c>
      <c r="J2413" s="644" t="s">
        <v>642</v>
      </c>
      <c r="K2413" s="753">
        <v>12</v>
      </c>
      <c r="L2413" s="754">
        <v>12</v>
      </c>
      <c r="M2413" s="736">
        <v>37960.800000000003</v>
      </c>
      <c r="N2413" s="744"/>
      <c r="O2413" s="739"/>
      <c r="P2413" s="739"/>
      <c r="Q2413" s="214"/>
    </row>
    <row r="2414" spans="1:17" ht="12" customHeight="1" x14ac:dyDescent="0.2">
      <c r="A2414" s="735" t="s">
        <v>7733</v>
      </c>
      <c r="B2414" s="735" t="s">
        <v>2170</v>
      </c>
      <c r="C2414" s="735" t="s">
        <v>451</v>
      </c>
      <c r="D2414" s="644" t="s">
        <v>8617</v>
      </c>
      <c r="E2414" s="736">
        <v>1900</v>
      </c>
      <c r="F2414" s="737" t="s">
        <v>8618</v>
      </c>
      <c r="G2414" s="636" t="s">
        <v>8619</v>
      </c>
      <c r="H2414" s="636" t="s">
        <v>2228</v>
      </c>
      <c r="I2414" s="636" t="s">
        <v>2228</v>
      </c>
      <c r="J2414" s="644"/>
      <c r="K2414" s="753">
        <v>1</v>
      </c>
      <c r="L2414" s="754">
        <v>6</v>
      </c>
      <c r="M2414" s="736">
        <v>14052</v>
      </c>
      <c r="N2414" s="744"/>
      <c r="O2414" s="739"/>
      <c r="P2414" s="739"/>
      <c r="Q2414" s="214"/>
    </row>
    <row r="2415" spans="1:17" ht="12" customHeight="1" x14ac:dyDescent="0.2">
      <c r="A2415" s="735" t="s">
        <v>7733</v>
      </c>
      <c r="B2415" s="735" t="s">
        <v>2170</v>
      </c>
      <c r="C2415" s="735" t="s">
        <v>451</v>
      </c>
      <c r="D2415" s="644" t="s">
        <v>8236</v>
      </c>
      <c r="E2415" s="736">
        <v>3500</v>
      </c>
      <c r="F2415" s="737" t="s">
        <v>8620</v>
      </c>
      <c r="G2415" s="636" t="s">
        <v>8621</v>
      </c>
      <c r="H2415" s="636" t="s">
        <v>7782</v>
      </c>
      <c r="I2415" s="636" t="s">
        <v>2365</v>
      </c>
      <c r="J2415" s="644" t="s">
        <v>643</v>
      </c>
      <c r="K2415" s="753">
        <v>9</v>
      </c>
      <c r="L2415" s="754">
        <v>12</v>
      </c>
      <c r="M2415" s="736">
        <v>43960.800000000003</v>
      </c>
      <c r="N2415" s="744"/>
      <c r="O2415" s="739"/>
      <c r="P2415" s="739"/>
      <c r="Q2415" s="214"/>
    </row>
    <row r="2416" spans="1:17" ht="12" customHeight="1" x14ac:dyDescent="0.2">
      <c r="A2416" s="735" t="s">
        <v>7733</v>
      </c>
      <c r="B2416" s="735" t="s">
        <v>2170</v>
      </c>
      <c r="C2416" s="735" t="s">
        <v>451</v>
      </c>
      <c r="D2416" s="644" t="s">
        <v>8622</v>
      </c>
      <c r="E2416" s="736">
        <v>4500</v>
      </c>
      <c r="F2416" s="737" t="s">
        <v>8623</v>
      </c>
      <c r="G2416" s="636" t="s">
        <v>8624</v>
      </c>
      <c r="H2416" s="636" t="s">
        <v>6571</v>
      </c>
      <c r="I2416" s="636" t="s">
        <v>2179</v>
      </c>
      <c r="J2416" s="644" t="s">
        <v>642</v>
      </c>
      <c r="K2416" s="753">
        <v>6</v>
      </c>
      <c r="L2416" s="754">
        <v>12</v>
      </c>
      <c r="M2416" s="736">
        <v>55960.800000000003</v>
      </c>
      <c r="N2416" s="744"/>
      <c r="O2416" s="739"/>
      <c r="P2416" s="739"/>
      <c r="Q2416" s="214"/>
    </row>
    <row r="2417" spans="1:17" ht="12" customHeight="1" x14ac:dyDescent="0.2">
      <c r="A2417" s="735" t="s">
        <v>7733</v>
      </c>
      <c r="B2417" s="735" t="s">
        <v>2170</v>
      </c>
      <c r="C2417" s="735" t="s">
        <v>451</v>
      </c>
      <c r="D2417" s="644" t="s">
        <v>7929</v>
      </c>
      <c r="E2417" s="736">
        <v>3000</v>
      </c>
      <c r="F2417" s="737" t="s">
        <v>8625</v>
      </c>
      <c r="G2417" s="636" t="s">
        <v>8626</v>
      </c>
      <c r="H2417" s="636" t="s">
        <v>8135</v>
      </c>
      <c r="I2417" s="636" t="s">
        <v>7835</v>
      </c>
      <c r="J2417" s="644" t="s">
        <v>644</v>
      </c>
      <c r="K2417" s="753">
        <v>4</v>
      </c>
      <c r="L2417" s="754">
        <v>9</v>
      </c>
      <c r="M2417" s="736">
        <v>28960.799999999999</v>
      </c>
      <c r="N2417" s="744"/>
      <c r="O2417" s="739"/>
      <c r="P2417" s="739"/>
      <c r="Q2417" s="214"/>
    </row>
    <row r="2418" spans="1:17" ht="12" customHeight="1" x14ac:dyDescent="0.2">
      <c r="A2418" s="735" t="s">
        <v>7733</v>
      </c>
      <c r="B2418" s="735" t="s">
        <v>2170</v>
      </c>
      <c r="C2418" s="735" t="s">
        <v>451</v>
      </c>
      <c r="D2418" s="644" t="s">
        <v>8273</v>
      </c>
      <c r="E2418" s="736">
        <v>6000</v>
      </c>
      <c r="F2418" s="737" t="s">
        <v>8627</v>
      </c>
      <c r="G2418" s="636" t="s">
        <v>8628</v>
      </c>
      <c r="H2418" s="636" t="s">
        <v>7073</v>
      </c>
      <c r="I2418" s="636" t="s">
        <v>2543</v>
      </c>
      <c r="J2418" s="644" t="s">
        <v>642</v>
      </c>
      <c r="K2418" s="753">
        <v>5</v>
      </c>
      <c r="L2418" s="754">
        <v>12</v>
      </c>
      <c r="M2418" s="736">
        <v>73960.800000000003</v>
      </c>
      <c r="N2418" s="744"/>
      <c r="O2418" s="739"/>
      <c r="P2418" s="739"/>
      <c r="Q2418" s="214"/>
    </row>
    <row r="2419" spans="1:17" ht="12" customHeight="1" x14ac:dyDescent="0.2">
      <c r="A2419" s="735" t="s">
        <v>7733</v>
      </c>
      <c r="B2419" s="735" t="s">
        <v>2170</v>
      </c>
      <c r="C2419" s="735" t="s">
        <v>451</v>
      </c>
      <c r="D2419" s="644" t="s">
        <v>7965</v>
      </c>
      <c r="E2419" s="736">
        <v>4000</v>
      </c>
      <c r="F2419" s="737" t="s">
        <v>8629</v>
      </c>
      <c r="G2419" s="636" t="s">
        <v>8630</v>
      </c>
      <c r="H2419" s="636" t="s">
        <v>6571</v>
      </c>
      <c r="I2419" s="636" t="s">
        <v>2179</v>
      </c>
      <c r="J2419" s="644" t="s">
        <v>642</v>
      </c>
      <c r="K2419" s="753">
        <v>1</v>
      </c>
      <c r="L2419" s="754">
        <v>3</v>
      </c>
      <c r="M2419" s="736">
        <v>13960.8</v>
      </c>
      <c r="N2419" s="744"/>
      <c r="O2419" s="739"/>
      <c r="P2419" s="739"/>
      <c r="Q2419" s="214"/>
    </row>
    <row r="2420" spans="1:17" ht="12" customHeight="1" x14ac:dyDescent="0.2">
      <c r="A2420" s="735" t="s">
        <v>7733</v>
      </c>
      <c r="B2420" s="735" t="s">
        <v>2170</v>
      </c>
      <c r="C2420" s="735" t="s">
        <v>451</v>
      </c>
      <c r="D2420" s="644" t="s">
        <v>8631</v>
      </c>
      <c r="E2420" s="736">
        <v>7000</v>
      </c>
      <c r="F2420" s="737" t="s">
        <v>8632</v>
      </c>
      <c r="G2420" s="636" t="s">
        <v>8633</v>
      </c>
      <c r="H2420" s="636"/>
      <c r="I2420" s="636"/>
      <c r="J2420" s="644" t="s">
        <v>642</v>
      </c>
      <c r="K2420" s="753">
        <v>5</v>
      </c>
      <c r="L2420" s="754">
        <v>12</v>
      </c>
      <c r="M2420" s="736">
        <v>85960.8</v>
      </c>
      <c r="N2420" s="744"/>
      <c r="O2420" s="739"/>
      <c r="P2420" s="739"/>
      <c r="Q2420" s="214"/>
    </row>
    <row r="2421" spans="1:17" ht="12" customHeight="1" x14ac:dyDescent="0.2">
      <c r="A2421" s="735" t="s">
        <v>7733</v>
      </c>
      <c r="B2421" s="735" t="s">
        <v>2170</v>
      </c>
      <c r="C2421" s="735" t="s">
        <v>451</v>
      </c>
      <c r="D2421" s="644" t="s">
        <v>6668</v>
      </c>
      <c r="E2421" s="736">
        <v>3500</v>
      </c>
      <c r="F2421" s="737" t="s">
        <v>8634</v>
      </c>
      <c r="G2421" s="636" t="s">
        <v>8635</v>
      </c>
      <c r="H2421" s="636" t="s">
        <v>2228</v>
      </c>
      <c r="I2421" s="636" t="s">
        <v>2228</v>
      </c>
      <c r="J2421" s="644"/>
      <c r="K2421" s="753">
        <v>3</v>
      </c>
      <c r="L2421" s="754">
        <v>3</v>
      </c>
      <c r="M2421" s="736">
        <v>12460.8</v>
      </c>
      <c r="N2421" s="744"/>
      <c r="O2421" s="739"/>
      <c r="P2421" s="739"/>
      <c r="Q2421" s="214"/>
    </row>
    <row r="2422" spans="1:17" ht="12" customHeight="1" x14ac:dyDescent="0.2">
      <c r="A2422" s="735" t="s">
        <v>7733</v>
      </c>
      <c r="B2422" s="735" t="s">
        <v>2170</v>
      </c>
      <c r="C2422" s="735" t="s">
        <v>451</v>
      </c>
      <c r="D2422" s="644" t="s">
        <v>7838</v>
      </c>
      <c r="E2422" s="736">
        <v>2500</v>
      </c>
      <c r="F2422" s="737" t="s">
        <v>8636</v>
      </c>
      <c r="G2422" s="636" t="s">
        <v>8637</v>
      </c>
      <c r="H2422" s="636" t="s">
        <v>8354</v>
      </c>
      <c r="I2422" s="636" t="s">
        <v>8638</v>
      </c>
      <c r="J2422" s="644" t="s">
        <v>643</v>
      </c>
      <c r="K2422" s="753">
        <v>12</v>
      </c>
      <c r="L2422" s="754">
        <v>12</v>
      </c>
      <c r="M2422" s="736">
        <v>31960.799999999999</v>
      </c>
      <c r="N2422" s="744"/>
      <c r="O2422" s="739"/>
      <c r="P2422" s="739"/>
      <c r="Q2422" s="214"/>
    </row>
    <row r="2423" spans="1:17" ht="12" customHeight="1" x14ac:dyDescent="0.2">
      <c r="A2423" s="735" t="s">
        <v>7733</v>
      </c>
      <c r="B2423" s="735" t="s">
        <v>2170</v>
      </c>
      <c r="C2423" s="735" t="s">
        <v>451</v>
      </c>
      <c r="D2423" s="644" t="s">
        <v>8639</v>
      </c>
      <c r="E2423" s="736">
        <v>1000</v>
      </c>
      <c r="F2423" s="737" t="s">
        <v>8640</v>
      </c>
      <c r="G2423" s="636" t="s">
        <v>8641</v>
      </c>
      <c r="H2423" s="636"/>
      <c r="I2423" s="636"/>
      <c r="J2423" s="644" t="s">
        <v>644</v>
      </c>
      <c r="K2423" s="753">
        <v>12</v>
      </c>
      <c r="L2423" s="754">
        <v>12</v>
      </c>
      <c r="M2423" s="736">
        <v>13680</v>
      </c>
      <c r="N2423" s="744"/>
      <c r="O2423" s="739"/>
      <c r="P2423" s="739"/>
      <c r="Q2423" s="214"/>
    </row>
    <row r="2424" spans="1:17" ht="12" customHeight="1" x14ac:dyDescent="0.2">
      <c r="A2424" s="735" t="s">
        <v>7733</v>
      </c>
      <c r="B2424" s="735" t="s">
        <v>2170</v>
      </c>
      <c r="C2424" s="735" t="s">
        <v>451</v>
      </c>
      <c r="D2424" s="644" t="s">
        <v>8285</v>
      </c>
      <c r="E2424" s="736">
        <v>3500</v>
      </c>
      <c r="F2424" s="737" t="s">
        <v>8642</v>
      </c>
      <c r="G2424" s="636" t="s">
        <v>8643</v>
      </c>
      <c r="H2424" s="636" t="s">
        <v>3915</v>
      </c>
      <c r="I2424" s="636" t="s">
        <v>8644</v>
      </c>
      <c r="J2424" s="644" t="s">
        <v>643</v>
      </c>
      <c r="K2424" s="753">
        <v>6</v>
      </c>
      <c r="L2424" s="754">
        <v>12</v>
      </c>
      <c r="M2424" s="736">
        <v>43960.800000000003</v>
      </c>
      <c r="N2424" s="744"/>
      <c r="O2424" s="739"/>
      <c r="P2424" s="739"/>
      <c r="Q2424" s="214"/>
    </row>
    <row r="2425" spans="1:17" ht="12" customHeight="1" x14ac:dyDescent="0.2">
      <c r="A2425" s="735" t="s">
        <v>7733</v>
      </c>
      <c r="B2425" s="735" t="s">
        <v>2170</v>
      </c>
      <c r="C2425" s="735" t="s">
        <v>451</v>
      </c>
      <c r="D2425" s="644" t="s">
        <v>7954</v>
      </c>
      <c r="E2425" s="736">
        <v>4000</v>
      </c>
      <c r="F2425" s="737" t="s">
        <v>8645</v>
      </c>
      <c r="G2425" s="636" t="s">
        <v>8646</v>
      </c>
      <c r="H2425" s="636" t="s">
        <v>6571</v>
      </c>
      <c r="I2425" s="636" t="s">
        <v>2179</v>
      </c>
      <c r="J2425" s="644" t="s">
        <v>642</v>
      </c>
      <c r="K2425" s="753">
        <v>5</v>
      </c>
      <c r="L2425" s="754">
        <v>12</v>
      </c>
      <c r="M2425" s="736">
        <v>49960.800000000003</v>
      </c>
      <c r="N2425" s="744"/>
      <c r="O2425" s="739"/>
      <c r="P2425" s="739"/>
      <c r="Q2425" s="214"/>
    </row>
    <row r="2426" spans="1:17" ht="12" customHeight="1" x14ac:dyDescent="0.2">
      <c r="A2426" s="735" t="s">
        <v>7733</v>
      </c>
      <c r="B2426" s="735" t="s">
        <v>2170</v>
      </c>
      <c r="C2426" s="735" t="s">
        <v>451</v>
      </c>
      <c r="D2426" s="644" t="s">
        <v>8647</v>
      </c>
      <c r="E2426" s="736">
        <v>2300</v>
      </c>
      <c r="F2426" s="737" t="s">
        <v>8648</v>
      </c>
      <c r="G2426" s="636" t="s">
        <v>8649</v>
      </c>
      <c r="H2426" s="636"/>
      <c r="I2426" s="636"/>
      <c r="J2426" s="644" t="s">
        <v>642</v>
      </c>
      <c r="K2426" s="753">
        <v>11</v>
      </c>
      <c r="L2426" s="754">
        <v>11</v>
      </c>
      <c r="M2426" s="736">
        <v>27260.799999999999</v>
      </c>
      <c r="N2426" s="744"/>
      <c r="O2426" s="739"/>
      <c r="P2426" s="739"/>
      <c r="Q2426" s="214"/>
    </row>
    <row r="2427" spans="1:17" ht="12" customHeight="1" x14ac:dyDescent="0.2">
      <c r="A2427" s="735" t="s">
        <v>7733</v>
      </c>
      <c r="B2427" s="735" t="s">
        <v>2170</v>
      </c>
      <c r="C2427" s="735" t="s">
        <v>451</v>
      </c>
      <c r="D2427" s="644" t="s">
        <v>5788</v>
      </c>
      <c r="E2427" s="736">
        <v>5000</v>
      </c>
      <c r="F2427" s="737" t="s">
        <v>8650</v>
      </c>
      <c r="G2427" s="636" t="s">
        <v>8651</v>
      </c>
      <c r="H2427" s="636" t="s">
        <v>6571</v>
      </c>
      <c r="I2427" s="636" t="s">
        <v>2179</v>
      </c>
      <c r="J2427" s="644" t="s">
        <v>642</v>
      </c>
      <c r="K2427" s="753">
        <v>12</v>
      </c>
      <c r="L2427" s="754">
        <v>12</v>
      </c>
      <c r="M2427" s="736">
        <v>61960.800000000003</v>
      </c>
      <c r="N2427" s="744"/>
      <c r="O2427" s="739"/>
      <c r="P2427" s="739"/>
      <c r="Q2427" s="214"/>
    </row>
    <row r="2428" spans="1:17" ht="12" customHeight="1" x14ac:dyDescent="0.2">
      <c r="A2428" s="735" t="s">
        <v>7733</v>
      </c>
      <c r="B2428" s="735" t="s">
        <v>2170</v>
      </c>
      <c r="C2428" s="735" t="s">
        <v>451</v>
      </c>
      <c r="D2428" s="644" t="s">
        <v>5832</v>
      </c>
      <c r="E2428" s="736">
        <v>3500</v>
      </c>
      <c r="F2428" s="737" t="s">
        <v>8652</v>
      </c>
      <c r="G2428" s="636" t="s">
        <v>8653</v>
      </c>
      <c r="H2428" s="636"/>
      <c r="I2428" s="636"/>
      <c r="J2428" s="644" t="s">
        <v>644</v>
      </c>
      <c r="K2428" s="753">
        <v>4</v>
      </c>
      <c r="L2428" s="754">
        <v>12</v>
      </c>
      <c r="M2428" s="736">
        <v>43960.800000000003</v>
      </c>
      <c r="N2428" s="744"/>
      <c r="O2428" s="739"/>
      <c r="P2428" s="739"/>
      <c r="Q2428" s="214"/>
    </row>
    <row r="2429" spans="1:17" ht="12" customHeight="1" x14ac:dyDescent="0.2">
      <c r="A2429" s="735" t="s">
        <v>7733</v>
      </c>
      <c r="B2429" s="735" t="s">
        <v>2170</v>
      </c>
      <c r="C2429" s="735" t="s">
        <v>451</v>
      </c>
      <c r="D2429" s="644" t="s">
        <v>8298</v>
      </c>
      <c r="E2429" s="736">
        <v>1000</v>
      </c>
      <c r="F2429" s="737" t="s">
        <v>8654</v>
      </c>
      <c r="G2429" s="636" t="s">
        <v>8655</v>
      </c>
      <c r="H2429" s="636" t="s">
        <v>8656</v>
      </c>
      <c r="I2429" s="636" t="s">
        <v>8089</v>
      </c>
      <c r="J2429" s="644" t="s">
        <v>644</v>
      </c>
      <c r="K2429" s="753">
        <v>12</v>
      </c>
      <c r="L2429" s="754">
        <v>12</v>
      </c>
      <c r="M2429" s="736">
        <v>13680</v>
      </c>
      <c r="N2429" s="744"/>
      <c r="O2429" s="739"/>
      <c r="P2429" s="739"/>
      <c r="Q2429" s="214"/>
    </row>
    <row r="2430" spans="1:17" ht="12" customHeight="1" x14ac:dyDescent="0.2">
      <c r="A2430" s="735" t="s">
        <v>7733</v>
      </c>
      <c r="B2430" s="735" t="s">
        <v>2170</v>
      </c>
      <c r="C2430" s="735" t="s">
        <v>451</v>
      </c>
      <c r="D2430" s="644" t="s">
        <v>8194</v>
      </c>
      <c r="E2430" s="736">
        <v>4500</v>
      </c>
      <c r="F2430" s="737" t="s">
        <v>8657</v>
      </c>
      <c r="G2430" s="636" t="s">
        <v>8658</v>
      </c>
      <c r="H2430" s="636" t="s">
        <v>2228</v>
      </c>
      <c r="I2430" s="636" t="s">
        <v>2228</v>
      </c>
      <c r="J2430" s="644"/>
      <c r="K2430" s="753">
        <v>2</v>
      </c>
      <c r="L2430" s="754">
        <v>2</v>
      </c>
      <c r="M2430" s="736">
        <v>10960.8</v>
      </c>
      <c r="N2430" s="744"/>
      <c r="O2430" s="739"/>
      <c r="P2430" s="739"/>
      <c r="Q2430" s="214"/>
    </row>
    <row r="2431" spans="1:17" ht="12" customHeight="1" x14ac:dyDescent="0.2">
      <c r="A2431" s="735" t="s">
        <v>7733</v>
      </c>
      <c r="B2431" s="735" t="s">
        <v>2170</v>
      </c>
      <c r="C2431" s="735" t="s">
        <v>451</v>
      </c>
      <c r="D2431" s="644" t="s">
        <v>2261</v>
      </c>
      <c r="E2431" s="736">
        <v>2800</v>
      </c>
      <c r="F2431" s="737" t="s">
        <v>8659</v>
      </c>
      <c r="G2431" s="636" t="s">
        <v>8660</v>
      </c>
      <c r="H2431" s="636"/>
      <c r="I2431" s="636"/>
      <c r="J2431" s="644" t="s">
        <v>643</v>
      </c>
      <c r="K2431" s="753">
        <v>1</v>
      </c>
      <c r="L2431" s="754">
        <v>1</v>
      </c>
      <c r="M2431" s="736">
        <v>4760.8</v>
      </c>
      <c r="N2431" s="744"/>
      <c r="O2431" s="739"/>
      <c r="P2431" s="739"/>
      <c r="Q2431" s="214"/>
    </row>
    <row r="2432" spans="1:17" ht="12" customHeight="1" x14ac:dyDescent="0.2">
      <c r="A2432" s="735" t="s">
        <v>7733</v>
      </c>
      <c r="B2432" s="735" t="s">
        <v>2170</v>
      </c>
      <c r="C2432" s="735" t="s">
        <v>451</v>
      </c>
      <c r="D2432" s="644" t="s">
        <v>8301</v>
      </c>
      <c r="E2432" s="736">
        <v>1600</v>
      </c>
      <c r="F2432" s="737" t="s">
        <v>8661</v>
      </c>
      <c r="G2432" s="636" t="s">
        <v>8662</v>
      </c>
      <c r="H2432" s="636" t="s">
        <v>3522</v>
      </c>
      <c r="I2432" s="636" t="s">
        <v>8663</v>
      </c>
      <c r="J2432" s="644" t="s">
        <v>643</v>
      </c>
      <c r="K2432" s="753">
        <v>12</v>
      </c>
      <c r="L2432" s="754">
        <v>12</v>
      </c>
      <c r="M2432" s="736">
        <v>21528</v>
      </c>
      <c r="N2432" s="744"/>
      <c r="O2432" s="739"/>
      <c r="P2432" s="739"/>
      <c r="Q2432" s="214"/>
    </row>
    <row r="2433" spans="1:17" ht="12" customHeight="1" x14ac:dyDescent="0.2">
      <c r="A2433" s="735" t="s">
        <v>7733</v>
      </c>
      <c r="B2433" s="735" t="s">
        <v>2170</v>
      </c>
      <c r="C2433" s="735" t="s">
        <v>451</v>
      </c>
      <c r="D2433" s="644" t="s">
        <v>7855</v>
      </c>
      <c r="E2433" s="736">
        <v>2200</v>
      </c>
      <c r="F2433" s="737" t="s">
        <v>8664</v>
      </c>
      <c r="G2433" s="636" t="s">
        <v>8665</v>
      </c>
      <c r="H2433" s="636" t="s">
        <v>8135</v>
      </c>
      <c r="I2433" s="636" t="s">
        <v>8135</v>
      </c>
      <c r="J2433" s="644" t="s">
        <v>644</v>
      </c>
      <c r="K2433" s="753">
        <v>12</v>
      </c>
      <c r="L2433" s="754">
        <v>12</v>
      </c>
      <c r="M2433" s="736">
        <v>28360.799999999999</v>
      </c>
      <c r="N2433" s="744"/>
      <c r="O2433" s="739"/>
      <c r="P2433" s="739"/>
      <c r="Q2433" s="214"/>
    </row>
    <row r="2434" spans="1:17" ht="12" customHeight="1" x14ac:dyDescent="0.2">
      <c r="A2434" s="735" t="s">
        <v>7733</v>
      </c>
      <c r="B2434" s="735" t="s">
        <v>2170</v>
      </c>
      <c r="C2434" s="735" t="s">
        <v>451</v>
      </c>
      <c r="D2434" s="644" t="s">
        <v>7843</v>
      </c>
      <c r="E2434" s="736">
        <v>3000</v>
      </c>
      <c r="F2434" s="737" t="s">
        <v>8666</v>
      </c>
      <c r="G2434" s="636" t="s">
        <v>8667</v>
      </c>
      <c r="H2434" s="636" t="s">
        <v>2228</v>
      </c>
      <c r="I2434" s="636" t="s">
        <v>2228</v>
      </c>
      <c r="J2434" s="644"/>
      <c r="K2434" s="753">
        <v>8</v>
      </c>
      <c r="L2434" s="754">
        <v>8</v>
      </c>
      <c r="M2434" s="736">
        <v>25960.799999999999</v>
      </c>
      <c r="N2434" s="744"/>
      <c r="O2434" s="739"/>
      <c r="P2434" s="739"/>
      <c r="Q2434" s="214"/>
    </row>
    <row r="2435" spans="1:17" ht="12" customHeight="1" x14ac:dyDescent="0.2">
      <c r="A2435" s="735" t="s">
        <v>7733</v>
      </c>
      <c r="B2435" s="735" t="s">
        <v>2170</v>
      </c>
      <c r="C2435" s="735" t="s">
        <v>451</v>
      </c>
      <c r="D2435" s="644" t="s">
        <v>7921</v>
      </c>
      <c r="E2435" s="736">
        <v>4000</v>
      </c>
      <c r="F2435" s="737" t="s">
        <v>8668</v>
      </c>
      <c r="G2435" s="636" t="s">
        <v>8669</v>
      </c>
      <c r="H2435" s="636" t="s">
        <v>7152</v>
      </c>
      <c r="I2435" s="636" t="s">
        <v>2317</v>
      </c>
      <c r="J2435" s="644" t="s">
        <v>643</v>
      </c>
      <c r="K2435" s="753">
        <v>12</v>
      </c>
      <c r="L2435" s="754">
        <v>12</v>
      </c>
      <c r="M2435" s="736">
        <v>49960.800000000003</v>
      </c>
      <c r="N2435" s="744"/>
      <c r="O2435" s="739"/>
      <c r="P2435" s="739"/>
      <c r="Q2435" s="214"/>
    </row>
    <row r="2436" spans="1:17" ht="12" customHeight="1" x14ac:dyDescent="0.2">
      <c r="A2436" s="735" t="s">
        <v>7733</v>
      </c>
      <c r="B2436" s="735" t="s">
        <v>2170</v>
      </c>
      <c r="C2436" s="735" t="s">
        <v>451</v>
      </c>
      <c r="D2436" s="644" t="s">
        <v>8172</v>
      </c>
      <c r="E2436" s="736">
        <v>3500</v>
      </c>
      <c r="F2436" s="737" t="s">
        <v>8670</v>
      </c>
      <c r="G2436" s="636" t="s">
        <v>8671</v>
      </c>
      <c r="H2436" s="636"/>
      <c r="I2436" s="636"/>
      <c r="J2436" s="644" t="s">
        <v>642</v>
      </c>
      <c r="K2436" s="753">
        <v>12</v>
      </c>
      <c r="L2436" s="754">
        <v>12</v>
      </c>
      <c r="M2436" s="736">
        <v>43960.800000000003</v>
      </c>
      <c r="N2436" s="744"/>
      <c r="O2436" s="739"/>
      <c r="P2436" s="739"/>
      <c r="Q2436" s="214"/>
    </row>
    <row r="2437" spans="1:17" ht="12" customHeight="1" x14ac:dyDescent="0.2">
      <c r="A2437" s="735" t="s">
        <v>7733</v>
      </c>
      <c r="B2437" s="735" t="s">
        <v>2170</v>
      </c>
      <c r="C2437" s="735" t="s">
        <v>451</v>
      </c>
      <c r="D2437" s="644" t="s">
        <v>2772</v>
      </c>
      <c r="E2437" s="736">
        <v>2500</v>
      </c>
      <c r="F2437" s="737" t="s">
        <v>8672</v>
      </c>
      <c r="G2437" s="636" t="s">
        <v>8673</v>
      </c>
      <c r="H2437" s="636"/>
      <c r="I2437" s="636"/>
      <c r="J2437" s="644" t="s">
        <v>642</v>
      </c>
      <c r="K2437" s="753">
        <v>12</v>
      </c>
      <c r="L2437" s="754">
        <v>12</v>
      </c>
      <c r="M2437" s="736">
        <v>31960.799999999999</v>
      </c>
      <c r="N2437" s="744"/>
      <c r="O2437" s="739"/>
      <c r="P2437" s="739"/>
      <c r="Q2437" s="214"/>
    </row>
    <row r="2438" spans="1:17" ht="12" customHeight="1" x14ac:dyDescent="0.2">
      <c r="A2438" s="735" t="s">
        <v>7733</v>
      </c>
      <c r="B2438" s="735" t="s">
        <v>2170</v>
      </c>
      <c r="C2438" s="735" t="s">
        <v>451</v>
      </c>
      <c r="D2438" s="644" t="s">
        <v>7746</v>
      </c>
      <c r="E2438" s="736">
        <v>2200</v>
      </c>
      <c r="F2438" s="737" t="s">
        <v>8674</v>
      </c>
      <c r="G2438" s="636" t="s">
        <v>8675</v>
      </c>
      <c r="H2438" s="636" t="s">
        <v>8676</v>
      </c>
      <c r="I2438" s="636" t="s">
        <v>8036</v>
      </c>
      <c r="J2438" s="644" t="s">
        <v>643</v>
      </c>
      <c r="K2438" s="753">
        <v>12</v>
      </c>
      <c r="L2438" s="754">
        <v>12</v>
      </c>
      <c r="M2438" s="736">
        <v>28360.799999999999</v>
      </c>
      <c r="N2438" s="744"/>
      <c r="O2438" s="739"/>
      <c r="P2438" s="739"/>
      <c r="Q2438" s="214"/>
    </row>
    <row r="2439" spans="1:17" ht="12" customHeight="1" x14ac:dyDescent="0.2">
      <c r="A2439" s="735" t="s">
        <v>7733</v>
      </c>
      <c r="B2439" s="735" t="s">
        <v>2170</v>
      </c>
      <c r="C2439" s="735" t="s">
        <v>451</v>
      </c>
      <c r="D2439" s="644" t="s">
        <v>8158</v>
      </c>
      <c r="E2439" s="736">
        <v>2300</v>
      </c>
      <c r="F2439" s="737" t="s">
        <v>8677</v>
      </c>
      <c r="G2439" s="636" t="s">
        <v>8678</v>
      </c>
      <c r="H2439" s="636"/>
      <c r="I2439" s="636"/>
      <c r="J2439" s="644" t="s">
        <v>643</v>
      </c>
      <c r="K2439" s="753">
        <v>1</v>
      </c>
      <c r="L2439" s="754">
        <v>2</v>
      </c>
      <c r="M2439" s="736">
        <v>6560.8</v>
      </c>
      <c r="N2439" s="744"/>
      <c r="O2439" s="739"/>
      <c r="P2439" s="739"/>
      <c r="Q2439" s="214"/>
    </row>
    <row r="2440" spans="1:17" ht="12" customHeight="1" x14ac:dyDescent="0.2">
      <c r="A2440" s="735" t="s">
        <v>7733</v>
      </c>
      <c r="B2440" s="735" t="s">
        <v>2170</v>
      </c>
      <c r="C2440" s="735" t="s">
        <v>451</v>
      </c>
      <c r="D2440" s="644" t="s">
        <v>8414</v>
      </c>
      <c r="E2440" s="736">
        <v>2000</v>
      </c>
      <c r="F2440" s="737" t="s">
        <v>8679</v>
      </c>
      <c r="G2440" s="636" t="s">
        <v>8680</v>
      </c>
      <c r="H2440" s="636" t="s">
        <v>6778</v>
      </c>
      <c r="I2440" s="636" t="s">
        <v>6778</v>
      </c>
      <c r="J2440" s="644" t="s">
        <v>643</v>
      </c>
      <c r="K2440" s="753">
        <v>12</v>
      </c>
      <c r="L2440" s="754">
        <v>12</v>
      </c>
      <c r="M2440" s="736">
        <v>25960.799999999999</v>
      </c>
      <c r="N2440" s="744"/>
      <c r="O2440" s="739"/>
      <c r="P2440" s="739"/>
      <c r="Q2440" s="214"/>
    </row>
    <row r="2441" spans="1:17" ht="12" customHeight="1" x14ac:dyDescent="0.2">
      <c r="A2441" s="735" t="s">
        <v>7733</v>
      </c>
      <c r="B2441" s="735" t="s">
        <v>2170</v>
      </c>
      <c r="C2441" s="735" t="s">
        <v>451</v>
      </c>
      <c r="D2441" s="644" t="s">
        <v>7946</v>
      </c>
      <c r="E2441" s="736">
        <v>4000</v>
      </c>
      <c r="F2441" s="737" t="s">
        <v>8681</v>
      </c>
      <c r="G2441" s="636" t="s">
        <v>8682</v>
      </c>
      <c r="H2441" s="636" t="s">
        <v>7752</v>
      </c>
      <c r="I2441" s="636" t="s">
        <v>2179</v>
      </c>
      <c r="J2441" s="644" t="s">
        <v>642</v>
      </c>
      <c r="K2441" s="753">
        <v>6</v>
      </c>
      <c r="L2441" s="754">
        <v>12</v>
      </c>
      <c r="M2441" s="736">
        <v>49960.800000000003</v>
      </c>
      <c r="N2441" s="744"/>
      <c r="O2441" s="739"/>
      <c r="P2441" s="739"/>
      <c r="Q2441" s="214"/>
    </row>
    <row r="2442" spans="1:17" ht="12" customHeight="1" x14ac:dyDescent="0.2">
      <c r="A2442" s="735" t="s">
        <v>7733</v>
      </c>
      <c r="B2442" s="735" t="s">
        <v>2170</v>
      </c>
      <c r="C2442" s="735" t="s">
        <v>451</v>
      </c>
      <c r="D2442" s="644" t="s">
        <v>8445</v>
      </c>
      <c r="E2442" s="736">
        <v>2500</v>
      </c>
      <c r="F2442" s="737" t="s">
        <v>8683</v>
      </c>
      <c r="G2442" s="636" t="s">
        <v>8684</v>
      </c>
      <c r="H2442" s="636" t="s">
        <v>6571</v>
      </c>
      <c r="I2442" s="636" t="s">
        <v>2179</v>
      </c>
      <c r="J2442" s="644" t="s">
        <v>642</v>
      </c>
      <c r="K2442" s="753">
        <v>12</v>
      </c>
      <c r="L2442" s="754">
        <v>12</v>
      </c>
      <c r="M2442" s="736">
        <v>31960.799999999999</v>
      </c>
      <c r="N2442" s="744"/>
      <c r="O2442" s="739"/>
      <c r="P2442" s="739"/>
      <c r="Q2442" s="214"/>
    </row>
    <row r="2443" spans="1:17" ht="12" customHeight="1" x14ac:dyDescent="0.2">
      <c r="A2443" s="735" t="s">
        <v>7733</v>
      </c>
      <c r="B2443" s="735" t="s">
        <v>2170</v>
      </c>
      <c r="C2443" s="735" t="s">
        <v>451</v>
      </c>
      <c r="D2443" s="644" t="s">
        <v>7746</v>
      </c>
      <c r="E2443" s="736">
        <v>2200</v>
      </c>
      <c r="F2443" s="737" t="s">
        <v>8685</v>
      </c>
      <c r="G2443" s="636" t="s">
        <v>8686</v>
      </c>
      <c r="H2443" s="636"/>
      <c r="I2443" s="636"/>
      <c r="J2443" s="644" t="s">
        <v>643</v>
      </c>
      <c r="K2443" s="753">
        <v>12</v>
      </c>
      <c r="L2443" s="754">
        <v>12</v>
      </c>
      <c r="M2443" s="736">
        <v>28360.799999999999</v>
      </c>
      <c r="N2443" s="744"/>
      <c r="O2443" s="739"/>
      <c r="P2443" s="739"/>
      <c r="Q2443" s="214"/>
    </row>
    <row r="2444" spans="1:17" ht="12" customHeight="1" x14ac:dyDescent="0.2">
      <c r="A2444" s="735" t="s">
        <v>7733</v>
      </c>
      <c r="B2444" s="735" t="s">
        <v>2170</v>
      </c>
      <c r="C2444" s="735" t="s">
        <v>451</v>
      </c>
      <c r="D2444" s="644" t="s">
        <v>8647</v>
      </c>
      <c r="E2444" s="736">
        <v>2300</v>
      </c>
      <c r="F2444" s="737" t="s">
        <v>8687</v>
      </c>
      <c r="G2444" s="636" t="s">
        <v>8688</v>
      </c>
      <c r="H2444" s="636" t="s">
        <v>3915</v>
      </c>
      <c r="I2444" s="636" t="s">
        <v>8689</v>
      </c>
      <c r="J2444" s="644" t="s">
        <v>643</v>
      </c>
      <c r="K2444" s="753">
        <v>5</v>
      </c>
      <c r="L2444" s="754">
        <v>12</v>
      </c>
      <c r="M2444" s="736">
        <v>29560.799999999999</v>
      </c>
      <c r="N2444" s="744"/>
      <c r="O2444" s="739"/>
      <c r="P2444" s="739"/>
      <c r="Q2444" s="214"/>
    </row>
    <row r="2445" spans="1:17" ht="12" customHeight="1" x14ac:dyDescent="0.2">
      <c r="A2445" s="735" t="s">
        <v>7733</v>
      </c>
      <c r="B2445" s="735" t="s">
        <v>2170</v>
      </c>
      <c r="C2445" s="735" t="s">
        <v>451</v>
      </c>
      <c r="D2445" s="644" t="s">
        <v>8026</v>
      </c>
      <c r="E2445" s="736">
        <v>3000</v>
      </c>
      <c r="F2445" s="737" t="s">
        <v>8690</v>
      </c>
      <c r="G2445" s="636" t="s">
        <v>8691</v>
      </c>
      <c r="H2445" s="636" t="s">
        <v>7152</v>
      </c>
      <c r="I2445" s="636" t="s">
        <v>2317</v>
      </c>
      <c r="J2445" s="644" t="s">
        <v>643</v>
      </c>
      <c r="K2445" s="753">
        <v>12</v>
      </c>
      <c r="L2445" s="754">
        <v>12</v>
      </c>
      <c r="M2445" s="736">
        <v>37960.800000000003</v>
      </c>
      <c r="N2445" s="744"/>
      <c r="O2445" s="739"/>
      <c r="P2445" s="739"/>
      <c r="Q2445" s="214"/>
    </row>
    <row r="2446" spans="1:17" ht="12" customHeight="1" x14ac:dyDescent="0.2">
      <c r="A2446" s="735" t="s">
        <v>7733</v>
      </c>
      <c r="B2446" s="735" t="s">
        <v>2170</v>
      </c>
      <c r="C2446" s="735" t="s">
        <v>451</v>
      </c>
      <c r="D2446" s="644" t="s">
        <v>3484</v>
      </c>
      <c r="E2446" s="736">
        <v>3200</v>
      </c>
      <c r="F2446" s="737" t="s">
        <v>8692</v>
      </c>
      <c r="G2446" s="636" t="s">
        <v>8693</v>
      </c>
      <c r="H2446" s="636" t="s">
        <v>3754</v>
      </c>
      <c r="I2446" s="636" t="s">
        <v>3760</v>
      </c>
      <c r="J2446" s="644" t="s">
        <v>643</v>
      </c>
      <c r="K2446" s="753">
        <v>1</v>
      </c>
      <c r="L2446" s="754">
        <v>1</v>
      </c>
      <c r="M2446" s="736">
        <v>5160.8</v>
      </c>
      <c r="N2446" s="744"/>
      <c r="O2446" s="739"/>
      <c r="P2446" s="739"/>
      <c r="Q2446" s="214"/>
    </row>
    <row r="2447" spans="1:17" ht="12" customHeight="1" x14ac:dyDescent="0.2">
      <c r="A2447" s="735" t="s">
        <v>7733</v>
      </c>
      <c r="B2447" s="735" t="s">
        <v>2170</v>
      </c>
      <c r="C2447" s="735" t="s">
        <v>451</v>
      </c>
      <c r="D2447" s="644" t="s">
        <v>2179</v>
      </c>
      <c r="E2447" s="736">
        <v>6000</v>
      </c>
      <c r="F2447" s="737" t="s">
        <v>8694</v>
      </c>
      <c r="G2447" s="636" t="s">
        <v>8695</v>
      </c>
      <c r="H2447" s="636" t="s">
        <v>6571</v>
      </c>
      <c r="I2447" s="636" t="s">
        <v>2179</v>
      </c>
      <c r="J2447" s="644" t="s">
        <v>642</v>
      </c>
      <c r="K2447" s="753">
        <v>5</v>
      </c>
      <c r="L2447" s="754">
        <v>12</v>
      </c>
      <c r="M2447" s="736">
        <v>73960.800000000003</v>
      </c>
      <c r="N2447" s="744"/>
      <c r="O2447" s="739"/>
      <c r="P2447" s="739"/>
      <c r="Q2447" s="214"/>
    </row>
    <row r="2448" spans="1:17" ht="12" customHeight="1" x14ac:dyDescent="0.2">
      <c r="A2448" s="735" t="s">
        <v>7733</v>
      </c>
      <c r="B2448" s="735" t="s">
        <v>2170</v>
      </c>
      <c r="C2448" s="735" t="s">
        <v>451</v>
      </c>
      <c r="D2448" s="644" t="s">
        <v>8295</v>
      </c>
      <c r="E2448" s="736">
        <v>6500</v>
      </c>
      <c r="F2448" s="737" t="s">
        <v>8696</v>
      </c>
      <c r="G2448" s="636" t="s">
        <v>8697</v>
      </c>
      <c r="H2448" s="636" t="s">
        <v>6571</v>
      </c>
      <c r="I2448" s="636" t="s">
        <v>2179</v>
      </c>
      <c r="J2448" s="644" t="s">
        <v>642</v>
      </c>
      <c r="K2448" s="753">
        <v>4</v>
      </c>
      <c r="L2448" s="754">
        <v>7</v>
      </c>
      <c r="M2448" s="736">
        <v>47460.800000000003</v>
      </c>
      <c r="N2448" s="744"/>
      <c r="O2448" s="739"/>
      <c r="P2448" s="739"/>
      <c r="Q2448" s="214"/>
    </row>
    <row r="2449" spans="1:17" ht="12" customHeight="1" x14ac:dyDescent="0.2">
      <c r="A2449" s="735" t="s">
        <v>7733</v>
      </c>
      <c r="B2449" s="735" t="s">
        <v>2170</v>
      </c>
      <c r="C2449" s="735" t="s">
        <v>451</v>
      </c>
      <c r="D2449" s="644" t="s">
        <v>8032</v>
      </c>
      <c r="E2449" s="736">
        <v>3200</v>
      </c>
      <c r="F2449" s="737" t="s">
        <v>8698</v>
      </c>
      <c r="G2449" s="636" t="s">
        <v>8699</v>
      </c>
      <c r="H2449" s="636" t="s">
        <v>8700</v>
      </c>
      <c r="I2449" s="636" t="s">
        <v>7874</v>
      </c>
      <c r="J2449" s="644" t="s">
        <v>643</v>
      </c>
      <c r="K2449" s="753">
        <v>12</v>
      </c>
      <c r="L2449" s="754">
        <v>12</v>
      </c>
      <c r="M2449" s="736">
        <v>40360.800000000003</v>
      </c>
      <c r="N2449" s="744"/>
      <c r="O2449" s="739"/>
      <c r="P2449" s="739"/>
      <c r="Q2449" s="214"/>
    </row>
    <row r="2450" spans="1:17" ht="12" customHeight="1" x14ac:dyDescent="0.2">
      <c r="A2450" s="735" t="s">
        <v>7733</v>
      </c>
      <c r="B2450" s="735" t="s">
        <v>2170</v>
      </c>
      <c r="C2450" s="735" t="s">
        <v>451</v>
      </c>
      <c r="D2450" s="644" t="s">
        <v>8701</v>
      </c>
      <c r="E2450" s="736">
        <v>3500</v>
      </c>
      <c r="F2450" s="737" t="s">
        <v>8702</v>
      </c>
      <c r="G2450" s="636" t="s">
        <v>8703</v>
      </c>
      <c r="H2450" s="636" t="s">
        <v>7152</v>
      </c>
      <c r="I2450" s="636" t="s">
        <v>4884</v>
      </c>
      <c r="J2450" s="644" t="s">
        <v>642</v>
      </c>
      <c r="K2450" s="753">
        <v>5</v>
      </c>
      <c r="L2450" s="754">
        <v>12</v>
      </c>
      <c r="M2450" s="736">
        <v>43960.800000000003</v>
      </c>
      <c r="N2450" s="744"/>
      <c r="O2450" s="739"/>
      <c r="P2450" s="739"/>
      <c r="Q2450" s="214"/>
    </row>
    <row r="2451" spans="1:17" ht="12" customHeight="1" x14ac:dyDescent="0.2">
      <c r="A2451" s="735" t="s">
        <v>7733</v>
      </c>
      <c r="B2451" s="735" t="s">
        <v>2170</v>
      </c>
      <c r="C2451" s="735" t="s">
        <v>451</v>
      </c>
      <c r="D2451" s="644" t="s">
        <v>8704</v>
      </c>
      <c r="E2451" s="736">
        <v>2200</v>
      </c>
      <c r="F2451" s="737" t="s">
        <v>8705</v>
      </c>
      <c r="G2451" s="636" t="s">
        <v>8706</v>
      </c>
      <c r="H2451" s="636"/>
      <c r="I2451" s="636"/>
      <c r="J2451" s="644" t="s">
        <v>644</v>
      </c>
      <c r="K2451" s="753">
        <v>5</v>
      </c>
      <c r="L2451" s="754">
        <v>12</v>
      </c>
      <c r="M2451" s="736">
        <v>28360.799999999999</v>
      </c>
      <c r="N2451" s="744"/>
      <c r="O2451" s="739"/>
      <c r="P2451" s="739"/>
      <c r="Q2451" s="214"/>
    </row>
    <row r="2452" spans="1:17" ht="12" customHeight="1" x14ac:dyDescent="0.2">
      <c r="A2452" s="735" t="s">
        <v>7733</v>
      </c>
      <c r="B2452" s="735" t="s">
        <v>2170</v>
      </c>
      <c r="C2452" s="735" t="s">
        <v>451</v>
      </c>
      <c r="D2452" s="644" t="s">
        <v>8707</v>
      </c>
      <c r="E2452" s="736">
        <v>4000</v>
      </c>
      <c r="F2452" s="737" t="s">
        <v>8708</v>
      </c>
      <c r="G2452" s="636" t="s">
        <v>8709</v>
      </c>
      <c r="H2452" s="636" t="s">
        <v>7834</v>
      </c>
      <c r="I2452" s="636" t="s">
        <v>7835</v>
      </c>
      <c r="J2452" s="644" t="s">
        <v>642</v>
      </c>
      <c r="K2452" s="753">
        <v>12</v>
      </c>
      <c r="L2452" s="754">
        <v>12</v>
      </c>
      <c r="M2452" s="736">
        <v>49960.800000000003</v>
      </c>
      <c r="N2452" s="744"/>
      <c r="O2452" s="739"/>
      <c r="P2452" s="739"/>
      <c r="Q2452" s="214"/>
    </row>
    <row r="2453" spans="1:17" ht="12" customHeight="1" x14ac:dyDescent="0.2">
      <c r="A2453" s="735" t="s">
        <v>7733</v>
      </c>
      <c r="B2453" s="735" t="s">
        <v>2170</v>
      </c>
      <c r="C2453" s="735" t="s">
        <v>451</v>
      </c>
      <c r="D2453" s="644" t="s">
        <v>7901</v>
      </c>
      <c r="E2453" s="736">
        <v>2500</v>
      </c>
      <c r="F2453" s="737" t="s">
        <v>8710</v>
      </c>
      <c r="G2453" s="636" t="s">
        <v>8711</v>
      </c>
      <c r="H2453" s="636" t="s">
        <v>2228</v>
      </c>
      <c r="I2453" s="636" t="s">
        <v>2228</v>
      </c>
      <c r="J2453" s="644"/>
      <c r="K2453" s="753">
        <v>3</v>
      </c>
      <c r="L2453" s="754">
        <v>3</v>
      </c>
      <c r="M2453" s="736">
        <v>9460.7999999999993</v>
      </c>
      <c r="N2453" s="744"/>
      <c r="O2453" s="739"/>
      <c r="P2453" s="739"/>
      <c r="Q2453" s="214"/>
    </row>
    <row r="2454" spans="1:17" ht="12" customHeight="1" x14ac:dyDescent="0.2">
      <c r="A2454" s="735" t="s">
        <v>7733</v>
      </c>
      <c r="B2454" s="735" t="s">
        <v>2170</v>
      </c>
      <c r="C2454" s="735" t="s">
        <v>451</v>
      </c>
      <c r="D2454" s="644" t="s">
        <v>2261</v>
      </c>
      <c r="E2454" s="736">
        <v>1700</v>
      </c>
      <c r="F2454" s="737" t="s">
        <v>8712</v>
      </c>
      <c r="G2454" s="636" t="s">
        <v>8713</v>
      </c>
      <c r="H2454" s="636" t="s">
        <v>8714</v>
      </c>
      <c r="I2454" s="636" t="s">
        <v>2766</v>
      </c>
      <c r="J2454" s="644" t="s">
        <v>644</v>
      </c>
      <c r="K2454" s="753">
        <v>12</v>
      </c>
      <c r="L2454" s="754">
        <v>12</v>
      </c>
      <c r="M2454" s="736">
        <v>22836</v>
      </c>
      <c r="N2454" s="744"/>
      <c r="O2454" s="739"/>
      <c r="P2454" s="739"/>
      <c r="Q2454" s="214"/>
    </row>
    <row r="2455" spans="1:17" ht="12" customHeight="1" x14ac:dyDescent="0.2">
      <c r="A2455" s="735" t="s">
        <v>7733</v>
      </c>
      <c r="B2455" s="735" t="s">
        <v>2170</v>
      </c>
      <c r="C2455" s="735" t="s">
        <v>451</v>
      </c>
      <c r="D2455" s="644" t="s">
        <v>7817</v>
      </c>
      <c r="E2455" s="736">
        <v>1950</v>
      </c>
      <c r="F2455" s="737" t="s">
        <v>8715</v>
      </c>
      <c r="G2455" s="636" t="s">
        <v>8716</v>
      </c>
      <c r="H2455" s="636" t="s">
        <v>8089</v>
      </c>
      <c r="I2455" s="636" t="s">
        <v>8717</v>
      </c>
      <c r="J2455" s="644" t="s">
        <v>643</v>
      </c>
      <c r="K2455" s="753">
        <v>1</v>
      </c>
      <c r="L2455" s="754">
        <v>12</v>
      </c>
      <c r="M2455" s="736">
        <v>25360.799999999999</v>
      </c>
      <c r="N2455" s="744"/>
      <c r="O2455" s="739"/>
      <c r="P2455" s="739"/>
      <c r="Q2455" s="214"/>
    </row>
    <row r="2456" spans="1:17" ht="12" customHeight="1" x14ac:dyDescent="0.2">
      <c r="A2456" s="735" t="s">
        <v>7733</v>
      </c>
      <c r="B2456" s="735" t="s">
        <v>2170</v>
      </c>
      <c r="C2456" s="735" t="s">
        <v>451</v>
      </c>
      <c r="D2456" s="644" t="s">
        <v>7855</v>
      </c>
      <c r="E2456" s="736">
        <v>2200</v>
      </c>
      <c r="F2456" s="737" t="s">
        <v>8718</v>
      </c>
      <c r="G2456" s="636" t="s">
        <v>8719</v>
      </c>
      <c r="H2456" s="636" t="s">
        <v>7858</v>
      </c>
      <c r="I2456" s="636" t="s">
        <v>7858</v>
      </c>
      <c r="J2456" s="644" t="s">
        <v>644</v>
      </c>
      <c r="K2456" s="753">
        <v>12</v>
      </c>
      <c r="L2456" s="754">
        <v>12</v>
      </c>
      <c r="M2456" s="736">
        <v>28360.799999999999</v>
      </c>
      <c r="N2456" s="744"/>
      <c r="O2456" s="739"/>
      <c r="P2456" s="739"/>
      <c r="Q2456" s="214"/>
    </row>
    <row r="2457" spans="1:17" ht="12" customHeight="1" x14ac:dyDescent="0.2">
      <c r="A2457" s="735" t="s">
        <v>7733</v>
      </c>
      <c r="B2457" s="735" t="s">
        <v>2170</v>
      </c>
      <c r="C2457" s="735" t="s">
        <v>451</v>
      </c>
      <c r="D2457" s="644" t="s">
        <v>2190</v>
      </c>
      <c r="E2457" s="736">
        <v>2200</v>
      </c>
      <c r="F2457" s="737" t="s">
        <v>8720</v>
      </c>
      <c r="G2457" s="636" t="s">
        <v>8721</v>
      </c>
      <c r="H2457" s="636" t="s">
        <v>2228</v>
      </c>
      <c r="I2457" s="636" t="s">
        <v>2228</v>
      </c>
      <c r="J2457" s="644"/>
      <c r="K2457" s="753">
        <v>5</v>
      </c>
      <c r="L2457" s="754">
        <v>5</v>
      </c>
      <c r="M2457" s="736">
        <v>12960.8</v>
      </c>
      <c r="N2457" s="744"/>
      <c r="O2457" s="739"/>
      <c r="P2457" s="739"/>
      <c r="Q2457" s="214"/>
    </row>
    <row r="2458" spans="1:17" ht="12" customHeight="1" x14ac:dyDescent="0.2">
      <c r="A2458" s="735" t="s">
        <v>7733</v>
      </c>
      <c r="B2458" s="735" t="s">
        <v>2170</v>
      </c>
      <c r="C2458" s="735" t="s">
        <v>451</v>
      </c>
      <c r="D2458" s="644" t="s">
        <v>7758</v>
      </c>
      <c r="E2458" s="736">
        <v>3000</v>
      </c>
      <c r="F2458" s="737" t="s">
        <v>8722</v>
      </c>
      <c r="G2458" s="636" t="s">
        <v>8723</v>
      </c>
      <c r="H2458" s="636" t="s">
        <v>2745</v>
      </c>
      <c r="I2458" s="636" t="s">
        <v>7874</v>
      </c>
      <c r="J2458" s="644" t="s">
        <v>642</v>
      </c>
      <c r="K2458" s="753">
        <v>5</v>
      </c>
      <c r="L2458" s="754">
        <v>12</v>
      </c>
      <c r="M2458" s="736">
        <v>37960.800000000003</v>
      </c>
      <c r="N2458" s="744"/>
      <c r="O2458" s="739"/>
      <c r="P2458" s="739"/>
      <c r="Q2458" s="214"/>
    </row>
    <row r="2459" spans="1:17" ht="12" customHeight="1" x14ac:dyDescent="0.2">
      <c r="A2459" s="735" t="s">
        <v>7733</v>
      </c>
      <c r="B2459" s="735" t="s">
        <v>2170</v>
      </c>
      <c r="C2459" s="735" t="s">
        <v>451</v>
      </c>
      <c r="D2459" s="644" t="s">
        <v>8158</v>
      </c>
      <c r="E2459" s="736">
        <v>1800</v>
      </c>
      <c r="F2459" s="737" t="s">
        <v>8724</v>
      </c>
      <c r="G2459" s="636" t="s">
        <v>8725</v>
      </c>
      <c r="H2459" s="636"/>
      <c r="I2459" s="636"/>
      <c r="J2459" s="644" t="s">
        <v>643</v>
      </c>
      <c r="K2459" s="753">
        <v>4</v>
      </c>
      <c r="L2459" s="754">
        <v>9</v>
      </c>
      <c r="M2459" s="736">
        <v>18744</v>
      </c>
      <c r="N2459" s="744"/>
      <c r="O2459" s="739"/>
      <c r="P2459" s="739"/>
      <c r="Q2459" s="214"/>
    </row>
    <row r="2460" spans="1:17" ht="12" customHeight="1" x14ac:dyDescent="0.2">
      <c r="A2460" s="735" t="s">
        <v>7733</v>
      </c>
      <c r="B2460" s="735" t="s">
        <v>2170</v>
      </c>
      <c r="C2460" s="735" t="s">
        <v>451</v>
      </c>
      <c r="D2460" s="644" t="s">
        <v>8041</v>
      </c>
      <c r="E2460" s="736">
        <v>2000</v>
      </c>
      <c r="F2460" s="737" t="s">
        <v>8726</v>
      </c>
      <c r="G2460" s="636" t="s">
        <v>8727</v>
      </c>
      <c r="H2460" s="636"/>
      <c r="I2460" s="636"/>
      <c r="J2460" s="644" t="s">
        <v>643</v>
      </c>
      <c r="K2460" s="753">
        <v>12</v>
      </c>
      <c r="L2460" s="754">
        <v>12</v>
      </c>
      <c r="M2460" s="736">
        <v>25960.799999999999</v>
      </c>
      <c r="N2460" s="744"/>
      <c r="O2460" s="739"/>
      <c r="P2460" s="739"/>
      <c r="Q2460" s="214"/>
    </row>
    <row r="2461" spans="1:17" ht="12" customHeight="1" x14ac:dyDescent="0.2">
      <c r="A2461" s="735" t="s">
        <v>7733</v>
      </c>
      <c r="B2461" s="735" t="s">
        <v>2170</v>
      </c>
      <c r="C2461" s="735" t="s">
        <v>451</v>
      </c>
      <c r="D2461" s="644" t="s">
        <v>5788</v>
      </c>
      <c r="E2461" s="736">
        <v>5000</v>
      </c>
      <c r="F2461" s="737" t="s">
        <v>8728</v>
      </c>
      <c r="G2461" s="636" t="s">
        <v>8729</v>
      </c>
      <c r="H2461" s="636" t="s">
        <v>3754</v>
      </c>
      <c r="I2461" s="636" t="s">
        <v>3760</v>
      </c>
      <c r="J2461" s="644" t="s">
        <v>642</v>
      </c>
      <c r="K2461" s="753">
        <v>12</v>
      </c>
      <c r="L2461" s="754">
        <v>12</v>
      </c>
      <c r="M2461" s="736">
        <v>61960.800000000003</v>
      </c>
      <c r="N2461" s="744"/>
      <c r="O2461" s="739"/>
      <c r="P2461" s="739"/>
      <c r="Q2461" s="214"/>
    </row>
    <row r="2462" spans="1:17" ht="12" customHeight="1" x14ac:dyDescent="0.2">
      <c r="A2462" s="735" t="s">
        <v>7733</v>
      </c>
      <c r="B2462" s="735" t="s">
        <v>2170</v>
      </c>
      <c r="C2462" s="735" t="s">
        <v>451</v>
      </c>
      <c r="D2462" s="644" t="s">
        <v>7764</v>
      </c>
      <c r="E2462" s="736">
        <v>3500</v>
      </c>
      <c r="F2462" s="737" t="s">
        <v>8730</v>
      </c>
      <c r="G2462" s="636" t="s">
        <v>8731</v>
      </c>
      <c r="H2462" s="636" t="s">
        <v>6571</v>
      </c>
      <c r="I2462" s="636" t="s">
        <v>2179</v>
      </c>
      <c r="J2462" s="644" t="s">
        <v>642</v>
      </c>
      <c r="K2462" s="753">
        <v>1</v>
      </c>
      <c r="L2462" s="754">
        <v>1</v>
      </c>
      <c r="M2462" s="736">
        <v>5460.8</v>
      </c>
      <c r="N2462" s="744"/>
      <c r="O2462" s="739"/>
      <c r="P2462" s="739"/>
      <c r="Q2462" s="214"/>
    </row>
    <row r="2463" spans="1:17" ht="12" customHeight="1" x14ac:dyDescent="0.2">
      <c r="A2463" s="735" t="s">
        <v>7733</v>
      </c>
      <c r="B2463" s="735" t="s">
        <v>2170</v>
      </c>
      <c r="C2463" s="735" t="s">
        <v>451</v>
      </c>
      <c r="D2463" s="644" t="s">
        <v>7871</v>
      </c>
      <c r="E2463" s="736">
        <v>4000</v>
      </c>
      <c r="F2463" s="737" t="s">
        <v>8732</v>
      </c>
      <c r="G2463" s="636" t="s">
        <v>8733</v>
      </c>
      <c r="H2463" s="636" t="s">
        <v>2365</v>
      </c>
      <c r="I2463" s="636" t="s">
        <v>2208</v>
      </c>
      <c r="J2463" s="644" t="s">
        <v>642</v>
      </c>
      <c r="K2463" s="753">
        <v>1</v>
      </c>
      <c r="L2463" s="754">
        <v>3</v>
      </c>
      <c r="M2463" s="736">
        <v>13960.8</v>
      </c>
      <c r="N2463" s="744"/>
      <c r="O2463" s="739"/>
      <c r="P2463" s="739"/>
      <c r="Q2463" s="214"/>
    </row>
    <row r="2464" spans="1:17" ht="12" customHeight="1" x14ac:dyDescent="0.2">
      <c r="A2464" s="735" t="s">
        <v>7733</v>
      </c>
      <c r="B2464" s="735" t="s">
        <v>2170</v>
      </c>
      <c r="C2464" s="735" t="s">
        <v>451</v>
      </c>
      <c r="D2464" s="644" t="s">
        <v>8285</v>
      </c>
      <c r="E2464" s="736">
        <v>3500</v>
      </c>
      <c r="F2464" s="737" t="s">
        <v>8734</v>
      </c>
      <c r="G2464" s="636" t="s">
        <v>8735</v>
      </c>
      <c r="H2464" s="636" t="s">
        <v>2228</v>
      </c>
      <c r="I2464" s="636" t="s">
        <v>2228</v>
      </c>
      <c r="J2464" s="644"/>
      <c r="K2464" s="753">
        <v>1</v>
      </c>
      <c r="L2464" s="754">
        <v>2</v>
      </c>
      <c r="M2464" s="736">
        <v>8960.7999999999993</v>
      </c>
      <c r="N2464" s="744"/>
      <c r="O2464" s="739"/>
      <c r="P2464" s="739"/>
      <c r="Q2464" s="214"/>
    </row>
    <row r="2465" spans="1:17" ht="12" customHeight="1" x14ac:dyDescent="0.2">
      <c r="A2465" s="735" t="s">
        <v>7733</v>
      </c>
      <c r="B2465" s="735" t="s">
        <v>2170</v>
      </c>
      <c r="C2465" s="735" t="s">
        <v>451</v>
      </c>
      <c r="D2465" s="644" t="s">
        <v>8288</v>
      </c>
      <c r="E2465" s="736">
        <v>3000</v>
      </c>
      <c r="F2465" s="737" t="s">
        <v>8736</v>
      </c>
      <c r="G2465" s="636" t="s">
        <v>8737</v>
      </c>
      <c r="H2465" s="636" t="s">
        <v>8135</v>
      </c>
      <c r="I2465" s="636" t="s">
        <v>7874</v>
      </c>
      <c r="J2465" s="644" t="s">
        <v>644</v>
      </c>
      <c r="K2465" s="753">
        <v>6</v>
      </c>
      <c r="L2465" s="754">
        <v>12</v>
      </c>
      <c r="M2465" s="736">
        <v>37960.800000000003</v>
      </c>
      <c r="N2465" s="744"/>
      <c r="O2465" s="739"/>
      <c r="P2465" s="739"/>
      <c r="Q2465" s="214"/>
    </row>
    <row r="2466" spans="1:17" ht="12" customHeight="1" x14ac:dyDescent="0.2">
      <c r="A2466" s="735" t="s">
        <v>7733</v>
      </c>
      <c r="B2466" s="735" t="s">
        <v>2170</v>
      </c>
      <c r="C2466" s="735" t="s">
        <v>451</v>
      </c>
      <c r="D2466" s="644" t="s">
        <v>8738</v>
      </c>
      <c r="E2466" s="736">
        <v>4000</v>
      </c>
      <c r="F2466" s="737" t="s">
        <v>8739</v>
      </c>
      <c r="G2466" s="636" t="s">
        <v>8740</v>
      </c>
      <c r="H2466" s="636" t="s">
        <v>8044</v>
      </c>
      <c r="I2466" s="636" t="s">
        <v>8741</v>
      </c>
      <c r="J2466" s="644" t="s">
        <v>642</v>
      </c>
      <c r="K2466" s="753">
        <v>1</v>
      </c>
      <c r="L2466" s="754">
        <v>1</v>
      </c>
      <c r="M2466" s="736">
        <v>5960.8</v>
      </c>
      <c r="N2466" s="744"/>
      <c r="O2466" s="739"/>
      <c r="P2466" s="739"/>
      <c r="Q2466" s="214"/>
    </row>
    <row r="2467" spans="1:17" ht="12" customHeight="1" x14ac:dyDescent="0.2">
      <c r="A2467" s="735" t="s">
        <v>7733</v>
      </c>
      <c r="B2467" s="735" t="s">
        <v>2170</v>
      </c>
      <c r="C2467" s="735" t="s">
        <v>451</v>
      </c>
      <c r="D2467" s="644" t="s">
        <v>8704</v>
      </c>
      <c r="E2467" s="736">
        <v>2200</v>
      </c>
      <c r="F2467" s="737" t="s">
        <v>8742</v>
      </c>
      <c r="G2467" s="636" t="s">
        <v>8743</v>
      </c>
      <c r="H2467" s="636" t="s">
        <v>8143</v>
      </c>
      <c r="I2467" s="636" t="s">
        <v>2253</v>
      </c>
      <c r="J2467" s="644" t="s">
        <v>644</v>
      </c>
      <c r="K2467" s="753">
        <v>4</v>
      </c>
      <c r="L2467" s="754">
        <v>9</v>
      </c>
      <c r="M2467" s="736">
        <v>21760.799999999999</v>
      </c>
      <c r="N2467" s="744"/>
      <c r="O2467" s="739"/>
      <c r="P2467" s="739"/>
      <c r="Q2467" s="214"/>
    </row>
    <row r="2468" spans="1:17" ht="12" customHeight="1" x14ac:dyDescent="0.2">
      <c r="A2468" s="735" t="s">
        <v>7733</v>
      </c>
      <c r="B2468" s="735" t="s">
        <v>2170</v>
      </c>
      <c r="C2468" s="735" t="s">
        <v>451</v>
      </c>
      <c r="D2468" s="644" t="s">
        <v>8078</v>
      </c>
      <c r="E2468" s="736">
        <v>2500</v>
      </c>
      <c r="F2468" s="737" t="s">
        <v>8744</v>
      </c>
      <c r="G2468" s="636" t="s">
        <v>8745</v>
      </c>
      <c r="H2468" s="636" t="s">
        <v>7834</v>
      </c>
      <c r="I2468" s="636" t="s">
        <v>7911</v>
      </c>
      <c r="J2468" s="644" t="s">
        <v>643</v>
      </c>
      <c r="K2468" s="753">
        <v>12</v>
      </c>
      <c r="L2468" s="754">
        <v>12</v>
      </c>
      <c r="M2468" s="736">
        <v>31960.799999999999</v>
      </c>
      <c r="N2468" s="744"/>
      <c r="O2468" s="739"/>
      <c r="P2468" s="739"/>
      <c r="Q2468" s="214"/>
    </row>
    <row r="2469" spans="1:17" ht="12" customHeight="1" x14ac:dyDescent="0.2">
      <c r="A2469" s="735" t="s">
        <v>7733</v>
      </c>
      <c r="B2469" s="735" t="s">
        <v>2170</v>
      </c>
      <c r="C2469" s="735" t="s">
        <v>451</v>
      </c>
      <c r="D2469" s="644" t="s">
        <v>6668</v>
      </c>
      <c r="E2469" s="736">
        <v>3000</v>
      </c>
      <c r="F2469" s="737" t="s">
        <v>8746</v>
      </c>
      <c r="G2469" s="636" t="s">
        <v>8747</v>
      </c>
      <c r="H2469" s="636" t="s">
        <v>6778</v>
      </c>
      <c r="I2469" s="636" t="s">
        <v>2174</v>
      </c>
      <c r="J2469" s="644" t="s">
        <v>642</v>
      </c>
      <c r="K2469" s="753">
        <v>12</v>
      </c>
      <c r="L2469" s="754">
        <v>12</v>
      </c>
      <c r="M2469" s="736">
        <v>37960.800000000003</v>
      </c>
      <c r="N2469" s="744"/>
      <c r="O2469" s="739"/>
      <c r="P2469" s="739"/>
      <c r="Q2469" s="214"/>
    </row>
    <row r="2470" spans="1:17" ht="12" customHeight="1" x14ac:dyDescent="0.2">
      <c r="A2470" s="735" t="s">
        <v>7733</v>
      </c>
      <c r="B2470" s="735" t="s">
        <v>2170</v>
      </c>
      <c r="C2470" s="735" t="s">
        <v>451</v>
      </c>
      <c r="D2470" s="644" t="s">
        <v>7904</v>
      </c>
      <c r="E2470" s="736">
        <v>3000</v>
      </c>
      <c r="F2470" s="737" t="s">
        <v>8748</v>
      </c>
      <c r="G2470" s="636" t="s">
        <v>8749</v>
      </c>
      <c r="H2470" s="636" t="s">
        <v>7152</v>
      </c>
      <c r="I2470" s="636" t="s">
        <v>2317</v>
      </c>
      <c r="J2470" s="644" t="s">
        <v>643</v>
      </c>
      <c r="K2470" s="753">
        <v>12</v>
      </c>
      <c r="L2470" s="754">
        <v>12</v>
      </c>
      <c r="M2470" s="736">
        <v>37960.800000000003</v>
      </c>
      <c r="N2470" s="744"/>
      <c r="O2470" s="739"/>
      <c r="P2470" s="739"/>
      <c r="Q2470" s="214"/>
    </row>
    <row r="2471" spans="1:17" ht="12" customHeight="1" x14ac:dyDescent="0.2">
      <c r="A2471" s="735" t="s">
        <v>7733</v>
      </c>
      <c r="B2471" s="735" t="s">
        <v>2170</v>
      </c>
      <c r="C2471" s="735" t="s">
        <v>451</v>
      </c>
      <c r="D2471" s="644" t="s">
        <v>7755</v>
      </c>
      <c r="E2471" s="736">
        <v>2500</v>
      </c>
      <c r="F2471" s="737" t="s">
        <v>8750</v>
      </c>
      <c r="G2471" s="636" t="s">
        <v>8751</v>
      </c>
      <c r="H2471" s="636"/>
      <c r="I2471" s="636"/>
      <c r="J2471" s="644" t="s">
        <v>643</v>
      </c>
      <c r="K2471" s="753">
        <v>12</v>
      </c>
      <c r="L2471" s="754">
        <v>12</v>
      </c>
      <c r="M2471" s="736">
        <v>31960.799999999999</v>
      </c>
      <c r="N2471" s="744"/>
      <c r="O2471" s="739"/>
      <c r="P2471" s="739"/>
      <c r="Q2471" s="214"/>
    </row>
    <row r="2472" spans="1:17" ht="12" customHeight="1" x14ac:dyDescent="0.2">
      <c r="A2472" s="735" t="s">
        <v>7733</v>
      </c>
      <c r="B2472" s="735" t="s">
        <v>2170</v>
      </c>
      <c r="C2472" s="735" t="s">
        <v>451</v>
      </c>
      <c r="D2472" s="644" t="s">
        <v>7985</v>
      </c>
      <c r="E2472" s="736">
        <v>3000</v>
      </c>
      <c r="F2472" s="737" t="s">
        <v>8752</v>
      </c>
      <c r="G2472" s="636" t="s">
        <v>8753</v>
      </c>
      <c r="H2472" s="636" t="s">
        <v>7916</v>
      </c>
      <c r="I2472" s="636" t="s">
        <v>7917</v>
      </c>
      <c r="J2472" s="644" t="s">
        <v>643</v>
      </c>
      <c r="K2472" s="753">
        <v>12</v>
      </c>
      <c r="L2472" s="754">
        <v>12</v>
      </c>
      <c r="M2472" s="736">
        <v>37960.800000000003</v>
      </c>
      <c r="N2472" s="744"/>
      <c r="O2472" s="739"/>
      <c r="P2472" s="739"/>
      <c r="Q2472" s="214"/>
    </row>
    <row r="2473" spans="1:17" ht="12" customHeight="1" x14ac:dyDescent="0.2">
      <c r="A2473" s="735" t="s">
        <v>7733</v>
      </c>
      <c r="B2473" s="735" t="s">
        <v>2170</v>
      </c>
      <c r="C2473" s="735" t="s">
        <v>451</v>
      </c>
      <c r="D2473" s="644" t="s">
        <v>7783</v>
      </c>
      <c r="E2473" s="736">
        <v>4000</v>
      </c>
      <c r="F2473" s="737" t="s">
        <v>8754</v>
      </c>
      <c r="G2473" s="636" t="s">
        <v>8755</v>
      </c>
      <c r="H2473" s="636" t="s">
        <v>7073</v>
      </c>
      <c r="I2473" s="636" t="s">
        <v>8756</v>
      </c>
      <c r="J2473" s="644" t="s">
        <v>642</v>
      </c>
      <c r="K2473" s="753">
        <v>4</v>
      </c>
      <c r="L2473" s="754">
        <v>12</v>
      </c>
      <c r="M2473" s="736">
        <v>49960.800000000003</v>
      </c>
      <c r="N2473" s="744"/>
      <c r="O2473" s="739"/>
      <c r="P2473" s="739"/>
      <c r="Q2473" s="214"/>
    </row>
    <row r="2474" spans="1:17" ht="12" customHeight="1" x14ac:dyDescent="0.2">
      <c r="A2474" s="735" t="s">
        <v>7733</v>
      </c>
      <c r="B2474" s="735" t="s">
        <v>2170</v>
      </c>
      <c r="C2474" s="735" t="s">
        <v>451</v>
      </c>
      <c r="D2474" s="644" t="s">
        <v>8554</v>
      </c>
      <c r="E2474" s="736">
        <v>3000</v>
      </c>
      <c r="F2474" s="737" t="s">
        <v>8757</v>
      </c>
      <c r="G2474" s="636" t="s">
        <v>8758</v>
      </c>
      <c r="H2474" s="636" t="s">
        <v>3754</v>
      </c>
      <c r="I2474" s="636" t="s">
        <v>3754</v>
      </c>
      <c r="J2474" s="644" t="s">
        <v>642</v>
      </c>
      <c r="K2474" s="753">
        <v>12</v>
      </c>
      <c r="L2474" s="754">
        <v>12</v>
      </c>
      <c r="M2474" s="736">
        <v>37960.800000000003</v>
      </c>
      <c r="N2474" s="744"/>
      <c r="O2474" s="739"/>
      <c r="P2474" s="739"/>
      <c r="Q2474" s="214"/>
    </row>
    <row r="2475" spans="1:17" ht="12" customHeight="1" x14ac:dyDescent="0.2">
      <c r="A2475" s="735" t="s">
        <v>7733</v>
      </c>
      <c r="B2475" s="735" t="s">
        <v>2170</v>
      </c>
      <c r="C2475" s="735" t="s">
        <v>451</v>
      </c>
      <c r="D2475" s="644" t="s">
        <v>8759</v>
      </c>
      <c r="E2475" s="736">
        <v>2800</v>
      </c>
      <c r="F2475" s="737" t="s">
        <v>8760</v>
      </c>
      <c r="G2475" s="636" t="s">
        <v>8761</v>
      </c>
      <c r="H2475" s="636" t="s">
        <v>3915</v>
      </c>
      <c r="I2475" s="636" t="s">
        <v>4559</v>
      </c>
      <c r="J2475" s="644" t="s">
        <v>644</v>
      </c>
      <c r="K2475" s="753">
        <v>6</v>
      </c>
      <c r="L2475" s="754">
        <v>12</v>
      </c>
      <c r="M2475" s="736">
        <v>35560.800000000003</v>
      </c>
      <c r="N2475" s="744"/>
      <c r="O2475" s="739"/>
      <c r="P2475" s="739"/>
      <c r="Q2475" s="214"/>
    </row>
    <row r="2476" spans="1:17" ht="12" customHeight="1" x14ac:dyDescent="0.2">
      <c r="A2476" s="735" t="s">
        <v>7733</v>
      </c>
      <c r="B2476" s="735" t="s">
        <v>2170</v>
      </c>
      <c r="C2476" s="735" t="s">
        <v>451</v>
      </c>
      <c r="D2476" s="644" t="s">
        <v>8114</v>
      </c>
      <c r="E2476" s="736">
        <v>2800</v>
      </c>
      <c r="F2476" s="737" t="s">
        <v>8762</v>
      </c>
      <c r="G2476" s="636" t="s">
        <v>8763</v>
      </c>
      <c r="H2476" s="636" t="s">
        <v>8135</v>
      </c>
      <c r="I2476" s="636" t="s">
        <v>6668</v>
      </c>
      <c r="J2476" s="644" t="s">
        <v>643</v>
      </c>
      <c r="K2476" s="753">
        <v>2</v>
      </c>
      <c r="L2476" s="754">
        <v>2</v>
      </c>
      <c r="M2476" s="736">
        <v>7560.8</v>
      </c>
      <c r="N2476" s="744"/>
      <c r="O2476" s="739"/>
      <c r="P2476" s="739"/>
      <c r="Q2476" s="214"/>
    </row>
    <row r="2477" spans="1:17" ht="12" customHeight="1" x14ac:dyDescent="0.2">
      <c r="A2477" s="735" t="s">
        <v>7733</v>
      </c>
      <c r="B2477" s="735" t="s">
        <v>2170</v>
      </c>
      <c r="C2477" s="735" t="s">
        <v>451</v>
      </c>
      <c r="D2477" s="644" t="s">
        <v>7904</v>
      </c>
      <c r="E2477" s="736">
        <v>3000</v>
      </c>
      <c r="F2477" s="737" t="s">
        <v>8764</v>
      </c>
      <c r="G2477" s="636" t="s">
        <v>8765</v>
      </c>
      <c r="H2477" s="636" t="s">
        <v>7858</v>
      </c>
      <c r="I2477" s="636" t="s">
        <v>7858</v>
      </c>
      <c r="J2477" s="644" t="s">
        <v>642</v>
      </c>
      <c r="K2477" s="753">
        <v>12</v>
      </c>
      <c r="L2477" s="754">
        <v>12</v>
      </c>
      <c r="M2477" s="736">
        <v>37960.800000000003</v>
      </c>
      <c r="N2477" s="744"/>
      <c r="O2477" s="739"/>
      <c r="P2477" s="739"/>
      <c r="Q2477" s="214"/>
    </row>
    <row r="2478" spans="1:17" ht="12" customHeight="1" x14ac:dyDescent="0.2">
      <c r="A2478" s="735" t="s">
        <v>7733</v>
      </c>
      <c r="B2478" s="735" t="s">
        <v>2170</v>
      </c>
      <c r="C2478" s="735" t="s">
        <v>451</v>
      </c>
      <c r="D2478" s="644" t="s">
        <v>5788</v>
      </c>
      <c r="E2478" s="736">
        <v>5000</v>
      </c>
      <c r="F2478" s="737" t="s">
        <v>8766</v>
      </c>
      <c r="G2478" s="636" t="s">
        <v>8767</v>
      </c>
      <c r="H2478" s="636" t="s">
        <v>2228</v>
      </c>
      <c r="I2478" s="636" t="s">
        <v>2228</v>
      </c>
      <c r="J2478" s="644"/>
      <c r="K2478" s="753">
        <v>3</v>
      </c>
      <c r="L2478" s="754">
        <v>3</v>
      </c>
      <c r="M2478" s="736">
        <v>16960.8</v>
      </c>
      <c r="N2478" s="744"/>
      <c r="O2478" s="739"/>
      <c r="P2478" s="739"/>
      <c r="Q2478" s="214"/>
    </row>
    <row r="2479" spans="1:17" ht="12" customHeight="1" x14ac:dyDescent="0.2">
      <c r="A2479" s="735" t="s">
        <v>7733</v>
      </c>
      <c r="B2479" s="735" t="s">
        <v>2170</v>
      </c>
      <c r="C2479" s="735" t="s">
        <v>451</v>
      </c>
      <c r="D2479" s="644" t="s">
        <v>8768</v>
      </c>
      <c r="E2479" s="736">
        <v>3500</v>
      </c>
      <c r="F2479" s="737" t="s">
        <v>8769</v>
      </c>
      <c r="G2479" s="636" t="s">
        <v>8770</v>
      </c>
      <c r="H2479" s="636"/>
      <c r="I2479" s="636"/>
      <c r="J2479" s="644" t="s">
        <v>642</v>
      </c>
      <c r="K2479" s="753">
        <v>11</v>
      </c>
      <c r="L2479" s="754">
        <v>11</v>
      </c>
      <c r="M2479" s="736">
        <v>40460.800000000003</v>
      </c>
      <c r="N2479" s="744"/>
      <c r="O2479" s="739"/>
      <c r="P2479" s="739"/>
      <c r="Q2479" s="214"/>
    </row>
    <row r="2480" spans="1:17" ht="12" customHeight="1" x14ac:dyDescent="0.2">
      <c r="A2480" s="735" t="s">
        <v>7733</v>
      </c>
      <c r="B2480" s="735" t="s">
        <v>2170</v>
      </c>
      <c r="C2480" s="735" t="s">
        <v>451</v>
      </c>
      <c r="D2480" s="644" t="s">
        <v>7921</v>
      </c>
      <c r="E2480" s="736">
        <v>4000</v>
      </c>
      <c r="F2480" s="737" t="s">
        <v>8771</v>
      </c>
      <c r="G2480" s="636" t="s">
        <v>8772</v>
      </c>
      <c r="H2480" s="636" t="s">
        <v>7152</v>
      </c>
      <c r="I2480" s="636" t="s">
        <v>2317</v>
      </c>
      <c r="J2480" s="644" t="s">
        <v>642</v>
      </c>
      <c r="K2480" s="753">
        <v>12</v>
      </c>
      <c r="L2480" s="754">
        <v>12</v>
      </c>
      <c r="M2480" s="736">
        <v>49960.800000000003</v>
      </c>
      <c r="N2480" s="744"/>
      <c r="O2480" s="739"/>
      <c r="P2480" s="739"/>
      <c r="Q2480" s="214"/>
    </row>
    <row r="2481" spans="1:17" ht="12" customHeight="1" x14ac:dyDescent="0.2">
      <c r="A2481" s="735" t="s">
        <v>7733</v>
      </c>
      <c r="B2481" s="735" t="s">
        <v>2170</v>
      </c>
      <c r="C2481" s="735" t="s">
        <v>451</v>
      </c>
      <c r="D2481" s="644" t="s">
        <v>7764</v>
      </c>
      <c r="E2481" s="736">
        <v>3000</v>
      </c>
      <c r="F2481" s="737" t="s">
        <v>8773</v>
      </c>
      <c r="G2481" s="636" t="s">
        <v>8774</v>
      </c>
      <c r="H2481" s="636"/>
      <c r="I2481" s="636"/>
      <c r="J2481" s="644" t="s">
        <v>642</v>
      </c>
      <c r="K2481" s="753">
        <v>2</v>
      </c>
      <c r="L2481" s="754">
        <v>2</v>
      </c>
      <c r="M2481" s="736">
        <v>7960.8</v>
      </c>
      <c r="N2481" s="744"/>
      <c r="O2481" s="739"/>
      <c r="P2481" s="739"/>
      <c r="Q2481" s="214"/>
    </row>
    <row r="2482" spans="1:17" ht="12" customHeight="1" x14ac:dyDescent="0.2">
      <c r="A2482" s="735" t="s">
        <v>7733</v>
      </c>
      <c r="B2482" s="735" t="s">
        <v>2170</v>
      </c>
      <c r="C2482" s="735" t="s">
        <v>451</v>
      </c>
      <c r="D2482" s="644" t="s">
        <v>4885</v>
      </c>
      <c r="E2482" s="736">
        <v>7500</v>
      </c>
      <c r="F2482" s="737" t="s">
        <v>8775</v>
      </c>
      <c r="G2482" s="636" t="s">
        <v>8776</v>
      </c>
      <c r="H2482" s="636"/>
      <c r="I2482" s="636"/>
      <c r="J2482" s="644" t="s">
        <v>642</v>
      </c>
      <c r="K2482" s="753">
        <v>5</v>
      </c>
      <c r="L2482" s="754">
        <v>12</v>
      </c>
      <c r="M2482" s="736">
        <v>91960.8</v>
      </c>
      <c r="N2482" s="744"/>
      <c r="O2482" s="739"/>
      <c r="P2482" s="739"/>
      <c r="Q2482" s="214"/>
    </row>
    <row r="2483" spans="1:17" ht="12" customHeight="1" x14ac:dyDescent="0.2">
      <c r="A2483" s="735" t="s">
        <v>7733</v>
      </c>
      <c r="B2483" s="735" t="s">
        <v>2170</v>
      </c>
      <c r="C2483" s="735" t="s">
        <v>451</v>
      </c>
      <c r="D2483" s="644" t="s">
        <v>7977</v>
      </c>
      <c r="E2483" s="736">
        <v>4000</v>
      </c>
      <c r="F2483" s="737" t="s">
        <v>8777</v>
      </c>
      <c r="G2483" s="636" t="s">
        <v>8778</v>
      </c>
      <c r="H2483" s="636" t="s">
        <v>7782</v>
      </c>
      <c r="I2483" s="636" t="s">
        <v>2208</v>
      </c>
      <c r="J2483" s="644" t="s">
        <v>642</v>
      </c>
      <c r="K2483" s="753">
        <v>12</v>
      </c>
      <c r="L2483" s="754">
        <v>12</v>
      </c>
      <c r="M2483" s="736">
        <v>49960.800000000003</v>
      </c>
      <c r="N2483" s="744"/>
      <c r="O2483" s="739"/>
      <c r="P2483" s="739"/>
      <c r="Q2483" s="214"/>
    </row>
    <row r="2484" spans="1:17" ht="12" customHeight="1" x14ac:dyDescent="0.2">
      <c r="A2484" s="735" t="s">
        <v>7733</v>
      </c>
      <c r="B2484" s="735" t="s">
        <v>2170</v>
      </c>
      <c r="C2484" s="735" t="s">
        <v>451</v>
      </c>
      <c r="D2484" s="644" t="s">
        <v>2737</v>
      </c>
      <c r="E2484" s="736">
        <v>2000</v>
      </c>
      <c r="F2484" s="737" t="s">
        <v>8779</v>
      </c>
      <c r="G2484" s="636" t="s">
        <v>8780</v>
      </c>
      <c r="H2484" s="636" t="s">
        <v>2228</v>
      </c>
      <c r="I2484" s="636" t="s">
        <v>2228</v>
      </c>
      <c r="J2484" s="644"/>
      <c r="K2484" s="753">
        <v>4</v>
      </c>
      <c r="L2484" s="754">
        <v>5</v>
      </c>
      <c r="M2484" s="736">
        <v>11960.8</v>
      </c>
      <c r="N2484" s="744"/>
      <c r="O2484" s="739"/>
      <c r="P2484" s="739"/>
      <c r="Q2484" s="214"/>
    </row>
    <row r="2485" spans="1:17" ht="12" customHeight="1" x14ac:dyDescent="0.2">
      <c r="A2485" s="735" t="s">
        <v>7733</v>
      </c>
      <c r="B2485" s="735" t="s">
        <v>2170</v>
      </c>
      <c r="C2485" s="735" t="s">
        <v>451</v>
      </c>
      <c r="D2485" s="644" t="s">
        <v>8301</v>
      </c>
      <c r="E2485" s="736">
        <v>1800</v>
      </c>
      <c r="F2485" s="737" t="s">
        <v>8781</v>
      </c>
      <c r="G2485" s="636" t="s">
        <v>8782</v>
      </c>
      <c r="H2485" s="636"/>
      <c r="I2485" s="636"/>
      <c r="J2485" s="644" t="s">
        <v>643</v>
      </c>
      <c r="K2485" s="753">
        <v>12</v>
      </c>
      <c r="L2485" s="754">
        <v>12</v>
      </c>
      <c r="M2485" s="736">
        <v>24144</v>
      </c>
      <c r="N2485" s="744"/>
      <c r="O2485" s="739"/>
      <c r="P2485" s="739"/>
      <c r="Q2485" s="214"/>
    </row>
    <row r="2486" spans="1:17" ht="12" customHeight="1" x14ac:dyDescent="0.2">
      <c r="A2486" s="735" t="s">
        <v>7733</v>
      </c>
      <c r="B2486" s="735" t="s">
        <v>2170</v>
      </c>
      <c r="C2486" s="735" t="s">
        <v>451</v>
      </c>
      <c r="D2486" s="644" t="s">
        <v>7779</v>
      </c>
      <c r="E2486" s="736">
        <v>4000</v>
      </c>
      <c r="F2486" s="737" t="s">
        <v>8783</v>
      </c>
      <c r="G2486" s="636" t="s">
        <v>8784</v>
      </c>
      <c r="H2486" s="636" t="s">
        <v>7152</v>
      </c>
      <c r="I2486" s="636" t="s">
        <v>2317</v>
      </c>
      <c r="J2486" s="644" t="s">
        <v>642</v>
      </c>
      <c r="K2486" s="753">
        <v>12</v>
      </c>
      <c r="L2486" s="754">
        <v>12</v>
      </c>
      <c r="M2486" s="736">
        <v>49960.800000000003</v>
      </c>
      <c r="N2486" s="744"/>
      <c r="O2486" s="739"/>
      <c r="P2486" s="739"/>
      <c r="Q2486" s="214"/>
    </row>
    <row r="2487" spans="1:17" ht="12" customHeight="1" x14ac:dyDescent="0.2">
      <c r="A2487" s="735" t="s">
        <v>7733</v>
      </c>
      <c r="B2487" s="735" t="s">
        <v>2170</v>
      </c>
      <c r="C2487" s="735" t="s">
        <v>451</v>
      </c>
      <c r="D2487" s="644" t="s">
        <v>7901</v>
      </c>
      <c r="E2487" s="736">
        <v>2500</v>
      </c>
      <c r="F2487" s="737" t="s">
        <v>8785</v>
      </c>
      <c r="G2487" s="636" t="s">
        <v>8786</v>
      </c>
      <c r="H2487" s="636" t="s">
        <v>2228</v>
      </c>
      <c r="I2487" s="636" t="s">
        <v>2228</v>
      </c>
      <c r="J2487" s="644"/>
      <c r="K2487" s="753">
        <v>1</v>
      </c>
      <c r="L2487" s="754">
        <v>1</v>
      </c>
      <c r="M2487" s="736">
        <v>4460.8</v>
      </c>
      <c r="N2487" s="744"/>
      <c r="O2487" s="739"/>
      <c r="P2487" s="739"/>
      <c r="Q2487" s="214"/>
    </row>
    <row r="2488" spans="1:17" ht="12" customHeight="1" x14ac:dyDescent="0.2">
      <c r="A2488" s="735" t="s">
        <v>7733</v>
      </c>
      <c r="B2488" s="735" t="s">
        <v>2170</v>
      </c>
      <c r="C2488" s="735" t="s">
        <v>451</v>
      </c>
      <c r="D2488" s="644" t="s">
        <v>7779</v>
      </c>
      <c r="E2488" s="736">
        <v>4000</v>
      </c>
      <c r="F2488" s="737" t="s">
        <v>8787</v>
      </c>
      <c r="G2488" s="636" t="s">
        <v>8788</v>
      </c>
      <c r="H2488" s="636" t="s">
        <v>3754</v>
      </c>
      <c r="I2488" s="636" t="s">
        <v>3754</v>
      </c>
      <c r="J2488" s="644" t="s">
        <v>642</v>
      </c>
      <c r="K2488" s="753">
        <v>12</v>
      </c>
      <c r="L2488" s="754">
        <v>12</v>
      </c>
      <c r="M2488" s="736">
        <v>49960.800000000003</v>
      </c>
      <c r="N2488" s="744"/>
      <c r="O2488" s="739"/>
      <c r="P2488" s="739"/>
      <c r="Q2488" s="214"/>
    </row>
    <row r="2489" spans="1:17" ht="12" customHeight="1" x14ac:dyDescent="0.2">
      <c r="A2489" s="735" t="s">
        <v>7733</v>
      </c>
      <c r="B2489" s="735" t="s">
        <v>2170</v>
      </c>
      <c r="C2489" s="735" t="s">
        <v>451</v>
      </c>
      <c r="D2489" s="644" t="s">
        <v>7901</v>
      </c>
      <c r="E2489" s="736">
        <v>2500</v>
      </c>
      <c r="F2489" s="737" t="s">
        <v>8789</v>
      </c>
      <c r="G2489" s="636" t="s">
        <v>8790</v>
      </c>
      <c r="H2489" s="636"/>
      <c r="I2489" s="636"/>
      <c r="J2489" s="644" t="s">
        <v>642</v>
      </c>
      <c r="K2489" s="753">
        <v>12</v>
      </c>
      <c r="L2489" s="754">
        <v>12</v>
      </c>
      <c r="M2489" s="736">
        <v>31960.799999999999</v>
      </c>
      <c r="N2489" s="744"/>
      <c r="O2489" s="739"/>
      <c r="P2489" s="739"/>
      <c r="Q2489" s="214"/>
    </row>
    <row r="2490" spans="1:17" ht="12" customHeight="1" x14ac:dyDescent="0.2">
      <c r="A2490" s="735" t="s">
        <v>7733</v>
      </c>
      <c r="B2490" s="735" t="s">
        <v>2170</v>
      </c>
      <c r="C2490" s="735" t="s">
        <v>451</v>
      </c>
      <c r="D2490" s="644" t="s">
        <v>8791</v>
      </c>
      <c r="E2490" s="736">
        <v>2500</v>
      </c>
      <c r="F2490" s="737" t="s">
        <v>8792</v>
      </c>
      <c r="G2490" s="636" t="s">
        <v>8793</v>
      </c>
      <c r="H2490" s="636" t="s">
        <v>6571</v>
      </c>
      <c r="I2490" s="636" t="s">
        <v>2179</v>
      </c>
      <c r="J2490" s="644" t="s">
        <v>642</v>
      </c>
      <c r="K2490" s="753">
        <v>1</v>
      </c>
      <c r="L2490" s="754">
        <v>1</v>
      </c>
      <c r="M2490" s="736">
        <v>4460.8</v>
      </c>
      <c r="N2490" s="744"/>
      <c r="O2490" s="739"/>
      <c r="P2490" s="739"/>
      <c r="Q2490" s="214"/>
    </row>
    <row r="2491" spans="1:17" ht="12" customHeight="1" x14ac:dyDescent="0.2">
      <c r="A2491" s="735" t="s">
        <v>7733</v>
      </c>
      <c r="B2491" s="735" t="s">
        <v>2170</v>
      </c>
      <c r="C2491" s="735" t="s">
        <v>451</v>
      </c>
      <c r="D2491" s="644" t="s">
        <v>8794</v>
      </c>
      <c r="E2491" s="736">
        <v>3000</v>
      </c>
      <c r="F2491" s="737" t="s">
        <v>8795</v>
      </c>
      <c r="G2491" s="636" t="s">
        <v>8796</v>
      </c>
      <c r="H2491" s="636" t="s">
        <v>7752</v>
      </c>
      <c r="I2491" s="636" t="s">
        <v>2179</v>
      </c>
      <c r="J2491" s="644" t="s">
        <v>642</v>
      </c>
      <c r="K2491" s="753">
        <v>12</v>
      </c>
      <c r="L2491" s="754">
        <v>12</v>
      </c>
      <c r="M2491" s="736">
        <v>37960.800000000003</v>
      </c>
      <c r="N2491" s="744"/>
      <c r="O2491" s="739"/>
      <c r="P2491" s="739"/>
      <c r="Q2491" s="214"/>
    </row>
    <row r="2492" spans="1:17" ht="12" customHeight="1" x14ac:dyDescent="0.2">
      <c r="A2492" s="735" t="s">
        <v>7733</v>
      </c>
      <c r="B2492" s="735" t="s">
        <v>2170</v>
      </c>
      <c r="C2492" s="735" t="s">
        <v>451</v>
      </c>
      <c r="D2492" s="644" t="s">
        <v>2261</v>
      </c>
      <c r="E2492" s="736">
        <v>1500</v>
      </c>
      <c r="F2492" s="737" t="s">
        <v>8797</v>
      </c>
      <c r="G2492" s="636" t="s">
        <v>8798</v>
      </c>
      <c r="H2492" s="636" t="s">
        <v>8799</v>
      </c>
      <c r="I2492" s="636" t="s">
        <v>7874</v>
      </c>
      <c r="J2492" s="644" t="s">
        <v>644</v>
      </c>
      <c r="K2492" s="753">
        <v>5</v>
      </c>
      <c r="L2492" s="754">
        <v>12</v>
      </c>
      <c r="M2492" s="736">
        <v>20220</v>
      </c>
      <c r="N2492" s="744"/>
      <c r="O2492" s="739"/>
      <c r="P2492" s="739"/>
      <c r="Q2492" s="214"/>
    </row>
    <row r="2493" spans="1:17" ht="12" customHeight="1" x14ac:dyDescent="0.2">
      <c r="A2493" s="735" t="s">
        <v>7733</v>
      </c>
      <c r="B2493" s="735" t="s">
        <v>2170</v>
      </c>
      <c r="C2493" s="735" t="s">
        <v>451</v>
      </c>
      <c r="D2493" s="644" t="s">
        <v>2772</v>
      </c>
      <c r="E2493" s="736">
        <v>1500</v>
      </c>
      <c r="F2493" s="737" t="s">
        <v>8800</v>
      </c>
      <c r="G2493" s="636" t="s">
        <v>8801</v>
      </c>
      <c r="H2493" s="636" t="s">
        <v>2228</v>
      </c>
      <c r="I2493" s="636" t="s">
        <v>2228</v>
      </c>
      <c r="J2493" s="644"/>
      <c r="K2493" s="753">
        <v>3</v>
      </c>
      <c r="L2493" s="754">
        <v>7</v>
      </c>
      <c r="M2493" s="736">
        <v>12720</v>
      </c>
      <c r="N2493" s="744"/>
      <c r="O2493" s="739"/>
      <c r="P2493" s="739"/>
      <c r="Q2493" s="214"/>
    </row>
    <row r="2494" spans="1:17" ht="12" customHeight="1" x14ac:dyDescent="0.2">
      <c r="A2494" s="735" t="s">
        <v>7733</v>
      </c>
      <c r="B2494" s="735" t="s">
        <v>2170</v>
      </c>
      <c r="C2494" s="735" t="s">
        <v>451</v>
      </c>
      <c r="D2494" s="644" t="s">
        <v>8045</v>
      </c>
      <c r="E2494" s="736">
        <v>3000</v>
      </c>
      <c r="F2494" s="737" t="s">
        <v>8802</v>
      </c>
      <c r="G2494" s="636" t="s">
        <v>8803</v>
      </c>
      <c r="H2494" s="636"/>
      <c r="I2494" s="636"/>
      <c r="J2494" s="644" t="s">
        <v>642</v>
      </c>
      <c r="K2494" s="753">
        <v>2</v>
      </c>
      <c r="L2494" s="754">
        <v>4</v>
      </c>
      <c r="M2494" s="736">
        <v>13960.8</v>
      </c>
      <c r="N2494" s="744"/>
      <c r="O2494" s="739"/>
      <c r="P2494" s="739"/>
      <c r="Q2494" s="214"/>
    </row>
    <row r="2495" spans="1:17" ht="12" customHeight="1" x14ac:dyDescent="0.2">
      <c r="A2495" s="735" t="s">
        <v>7733</v>
      </c>
      <c r="B2495" s="735" t="s">
        <v>2170</v>
      </c>
      <c r="C2495" s="735" t="s">
        <v>451</v>
      </c>
      <c r="D2495" s="644" t="s">
        <v>8804</v>
      </c>
      <c r="E2495" s="736">
        <v>1500</v>
      </c>
      <c r="F2495" s="737" t="s">
        <v>8805</v>
      </c>
      <c r="G2495" s="636" t="s">
        <v>8806</v>
      </c>
      <c r="H2495" s="636" t="s">
        <v>7280</v>
      </c>
      <c r="I2495" s="636" t="s">
        <v>4559</v>
      </c>
      <c r="J2495" s="644" t="s">
        <v>7991</v>
      </c>
      <c r="K2495" s="753">
        <v>1</v>
      </c>
      <c r="L2495" s="754">
        <v>3</v>
      </c>
      <c r="M2495" s="736">
        <v>6720</v>
      </c>
      <c r="N2495" s="744"/>
      <c r="O2495" s="739"/>
      <c r="P2495" s="739"/>
      <c r="Q2495" s="214"/>
    </row>
    <row r="2496" spans="1:17" ht="12" customHeight="1" x14ac:dyDescent="0.2">
      <c r="A2496" s="735" t="s">
        <v>7733</v>
      </c>
      <c r="B2496" s="735" t="s">
        <v>2170</v>
      </c>
      <c r="C2496" s="735" t="s">
        <v>451</v>
      </c>
      <c r="D2496" s="644" t="s">
        <v>8417</v>
      </c>
      <c r="E2496" s="736">
        <v>1200</v>
      </c>
      <c r="F2496" s="737" t="s">
        <v>8807</v>
      </c>
      <c r="G2496" s="636" t="s">
        <v>8808</v>
      </c>
      <c r="H2496" s="636" t="s">
        <v>2228</v>
      </c>
      <c r="I2496" s="636" t="s">
        <v>2228</v>
      </c>
      <c r="J2496" s="644"/>
      <c r="K2496" s="753">
        <v>1</v>
      </c>
      <c r="L2496" s="754">
        <v>1</v>
      </c>
      <c r="M2496" s="736">
        <v>3096</v>
      </c>
      <c r="N2496" s="744"/>
      <c r="O2496" s="739"/>
      <c r="P2496" s="739"/>
      <c r="Q2496" s="214"/>
    </row>
    <row r="2497" spans="1:17" ht="12" customHeight="1" x14ac:dyDescent="0.2">
      <c r="A2497" s="735" t="s">
        <v>7733</v>
      </c>
      <c r="B2497" s="735" t="s">
        <v>2170</v>
      </c>
      <c r="C2497" s="735" t="s">
        <v>451</v>
      </c>
      <c r="D2497" s="644" t="s">
        <v>8045</v>
      </c>
      <c r="E2497" s="736">
        <v>2200</v>
      </c>
      <c r="F2497" s="737" t="s">
        <v>8809</v>
      </c>
      <c r="G2497" s="636" t="s">
        <v>8810</v>
      </c>
      <c r="H2497" s="636"/>
      <c r="I2497" s="636"/>
      <c r="J2497" s="644" t="s">
        <v>7991</v>
      </c>
      <c r="K2497" s="753">
        <v>1</v>
      </c>
      <c r="L2497" s="754">
        <v>3</v>
      </c>
      <c r="M2497" s="736">
        <v>8560.7999999999993</v>
      </c>
      <c r="N2497" s="744"/>
      <c r="O2497" s="739"/>
      <c r="P2497" s="739"/>
      <c r="Q2497" s="214"/>
    </row>
    <row r="2498" spans="1:17" ht="12" customHeight="1" x14ac:dyDescent="0.2">
      <c r="A2498" s="735" t="s">
        <v>7733</v>
      </c>
      <c r="B2498" s="735" t="s">
        <v>2170</v>
      </c>
      <c r="C2498" s="735" t="s">
        <v>451</v>
      </c>
      <c r="D2498" s="644" t="s">
        <v>2261</v>
      </c>
      <c r="E2498" s="736">
        <v>2200</v>
      </c>
      <c r="F2498" s="737" t="s">
        <v>8811</v>
      </c>
      <c r="G2498" s="636" t="s">
        <v>8812</v>
      </c>
      <c r="H2498" s="636" t="s">
        <v>8813</v>
      </c>
      <c r="I2498" s="636" t="s">
        <v>3760</v>
      </c>
      <c r="J2498" s="644" t="s">
        <v>643</v>
      </c>
      <c r="K2498" s="753">
        <v>7</v>
      </c>
      <c r="L2498" s="754">
        <v>9</v>
      </c>
      <c r="M2498" s="736">
        <v>21760.799999999999</v>
      </c>
      <c r="N2498" s="744"/>
      <c r="O2498" s="739"/>
      <c r="P2498" s="739"/>
      <c r="Q2498" s="214"/>
    </row>
    <row r="2499" spans="1:17" ht="12" customHeight="1" x14ac:dyDescent="0.2">
      <c r="A2499" s="735" t="s">
        <v>7733</v>
      </c>
      <c r="B2499" s="735" t="s">
        <v>2170</v>
      </c>
      <c r="C2499" s="735" t="s">
        <v>451</v>
      </c>
      <c r="D2499" s="644" t="s">
        <v>8367</v>
      </c>
      <c r="E2499" s="736">
        <v>2300</v>
      </c>
      <c r="F2499" s="737" t="s">
        <v>8814</v>
      </c>
      <c r="G2499" s="636" t="s">
        <v>8815</v>
      </c>
      <c r="H2499" s="636" t="s">
        <v>2745</v>
      </c>
      <c r="I2499" s="636" t="s">
        <v>2745</v>
      </c>
      <c r="J2499" s="644" t="s">
        <v>643</v>
      </c>
      <c r="K2499" s="753">
        <v>5</v>
      </c>
      <c r="L2499" s="754">
        <v>12</v>
      </c>
      <c r="M2499" s="736">
        <v>29560.799999999999</v>
      </c>
      <c r="N2499" s="744"/>
      <c r="O2499" s="739"/>
      <c r="P2499" s="739"/>
      <c r="Q2499" s="214"/>
    </row>
    <row r="2500" spans="1:17" ht="12" customHeight="1" x14ac:dyDescent="0.2">
      <c r="A2500" s="735" t="s">
        <v>7733</v>
      </c>
      <c r="B2500" s="735" t="s">
        <v>2170</v>
      </c>
      <c r="C2500" s="735" t="s">
        <v>451</v>
      </c>
      <c r="D2500" s="644" t="s">
        <v>7921</v>
      </c>
      <c r="E2500" s="736">
        <v>4000</v>
      </c>
      <c r="F2500" s="737" t="s">
        <v>8816</v>
      </c>
      <c r="G2500" s="636" t="s">
        <v>8817</v>
      </c>
      <c r="H2500" s="636" t="s">
        <v>2228</v>
      </c>
      <c r="I2500" s="636" t="s">
        <v>2228</v>
      </c>
      <c r="J2500" s="644"/>
      <c r="K2500" s="753">
        <v>3</v>
      </c>
      <c r="L2500" s="754">
        <v>3</v>
      </c>
      <c r="M2500" s="736">
        <v>13960.8</v>
      </c>
      <c r="N2500" s="744"/>
      <c r="O2500" s="739"/>
      <c r="P2500" s="739"/>
      <c r="Q2500" s="214"/>
    </row>
    <row r="2501" spans="1:17" ht="12" customHeight="1" x14ac:dyDescent="0.2">
      <c r="A2501" s="735" t="s">
        <v>7733</v>
      </c>
      <c r="B2501" s="735" t="s">
        <v>2170</v>
      </c>
      <c r="C2501" s="735" t="s">
        <v>451</v>
      </c>
      <c r="D2501" s="644" t="s">
        <v>2179</v>
      </c>
      <c r="E2501" s="736">
        <v>3000</v>
      </c>
      <c r="F2501" s="737" t="s">
        <v>8818</v>
      </c>
      <c r="G2501" s="636" t="s">
        <v>8819</v>
      </c>
      <c r="H2501" s="636" t="s">
        <v>6571</v>
      </c>
      <c r="I2501" s="636" t="s">
        <v>2179</v>
      </c>
      <c r="J2501" s="644" t="s">
        <v>642</v>
      </c>
      <c r="K2501" s="753">
        <v>12</v>
      </c>
      <c r="L2501" s="754">
        <v>12</v>
      </c>
      <c r="M2501" s="736">
        <v>37960.800000000003</v>
      </c>
      <c r="N2501" s="744"/>
      <c r="O2501" s="739"/>
      <c r="P2501" s="739"/>
      <c r="Q2501" s="214"/>
    </row>
    <row r="2502" spans="1:17" ht="12" customHeight="1" x14ac:dyDescent="0.2">
      <c r="A2502" s="735" t="s">
        <v>7733</v>
      </c>
      <c r="B2502" s="735" t="s">
        <v>2170</v>
      </c>
      <c r="C2502" s="735" t="s">
        <v>451</v>
      </c>
      <c r="D2502" s="644" t="s">
        <v>8820</v>
      </c>
      <c r="E2502" s="736">
        <v>2000</v>
      </c>
      <c r="F2502" s="737" t="s">
        <v>8821</v>
      </c>
      <c r="G2502" s="636" t="s">
        <v>8822</v>
      </c>
      <c r="H2502" s="636" t="s">
        <v>7816</v>
      </c>
      <c r="I2502" s="636" t="s">
        <v>8036</v>
      </c>
      <c r="J2502" s="644" t="s">
        <v>643</v>
      </c>
      <c r="K2502" s="753">
        <v>12</v>
      </c>
      <c r="L2502" s="754">
        <v>12</v>
      </c>
      <c r="M2502" s="736">
        <v>25960.799999999999</v>
      </c>
      <c r="N2502" s="744"/>
      <c r="O2502" s="739"/>
      <c r="P2502" s="739"/>
      <c r="Q2502" s="214"/>
    </row>
    <row r="2503" spans="1:17" ht="12" customHeight="1" x14ac:dyDescent="0.2">
      <c r="A2503" s="735" t="s">
        <v>7733</v>
      </c>
      <c r="B2503" s="735" t="s">
        <v>2170</v>
      </c>
      <c r="C2503" s="735" t="s">
        <v>451</v>
      </c>
      <c r="D2503" s="644" t="s">
        <v>6668</v>
      </c>
      <c r="E2503" s="736">
        <v>4000</v>
      </c>
      <c r="F2503" s="737" t="s">
        <v>8823</v>
      </c>
      <c r="G2503" s="636" t="s">
        <v>8824</v>
      </c>
      <c r="H2503" s="636" t="s">
        <v>3915</v>
      </c>
      <c r="I2503" s="636" t="s">
        <v>3070</v>
      </c>
      <c r="J2503" s="644" t="s">
        <v>642</v>
      </c>
      <c r="K2503" s="753">
        <v>12</v>
      </c>
      <c r="L2503" s="754">
        <v>12</v>
      </c>
      <c r="M2503" s="736">
        <v>49960.800000000003</v>
      </c>
      <c r="N2503" s="744"/>
      <c r="O2503" s="739"/>
      <c r="P2503" s="739"/>
      <c r="Q2503" s="214"/>
    </row>
    <row r="2504" spans="1:17" ht="12" customHeight="1" x14ac:dyDescent="0.2">
      <c r="A2504" s="735" t="s">
        <v>7733</v>
      </c>
      <c r="B2504" s="735" t="s">
        <v>2170</v>
      </c>
      <c r="C2504" s="735" t="s">
        <v>451</v>
      </c>
      <c r="D2504" s="644" t="s">
        <v>7843</v>
      </c>
      <c r="E2504" s="736">
        <v>4000</v>
      </c>
      <c r="F2504" s="737" t="s">
        <v>8825</v>
      </c>
      <c r="G2504" s="636" t="s">
        <v>8826</v>
      </c>
      <c r="H2504" s="636" t="s">
        <v>7752</v>
      </c>
      <c r="I2504" s="636" t="s">
        <v>2179</v>
      </c>
      <c r="J2504" s="644" t="s">
        <v>642</v>
      </c>
      <c r="K2504" s="753">
        <v>2</v>
      </c>
      <c r="L2504" s="754">
        <v>4</v>
      </c>
      <c r="M2504" s="736">
        <v>17960.8</v>
      </c>
      <c r="N2504" s="744"/>
      <c r="O2504" s="739"/>
      <c r="P2504" s="739"/>
      <c r="Q2504" s="214"/>
    </row>
    <row r="2505" spans="1:17" ht="12" customHeight="1" x14ac:dyDescent="0.2">
      <c r="A2505" s="735" t="s">
        <v>7733</v>
      </c>
      <c r="B2505" s="735" t="s">
        <v>2170</v>
      </c>
      <c r="C2505" s="735" t="s">
        <v>451</v>
      </c>
      <c r="D2505" s="644" t="s">
        <v>8827</v>
      </c>
      <c r="E2505" s="736">
        <v>5000</v>
      </c>
      <c r="F2505" s="737" t="s">
        <v>8828</v>
      </c>
      <c r="G2505" s="636" t="s">
        <v>8829</v>
      </c>
      <c r="H2505" s="636"/>
      <c r="I2505" s="636"/>
      <c r="J2505" s="644" t="s">
        <v>644</v>
      </c>
      <c r="K2505" s="753">
        <v>5</v>
      </c>
      <c r="L2505" s="754">
        <v>12</v>
      </c>
      <c r="M2505" s="736">
        <v>61960.800000000003</v>
      </c>
      <c r="N2505" s="744"/>
      <c r="O2505" s="739"/>
      <c r="P2505" s="739"/>
      <c r="Q2505" s="214"/>
    </row>
    <row r="2506" spans="1:17" ht="12" customHeight="1" x14ac:dyDescent="0.2">
      <c r="A2506" s="735" t="s">
        <v>7733</v>
      </c>
      <c r="B2506" s="735" t="s">
        <v>2170</v>
      </c>
      <c r="C2506" s="735" t="s">
        <v>451</v>
      </c>
      <c r="D2506" s="644" t="s">
        <v>2778</v>
      </c>
      <c r="E2506" s="736">
        <v>4500</v>
      </c>
      <c r="F2506" s="737" t="s">
        <v>8830</v>
      </c>
      <c r="G2506" s="636" t="s">
        <v>8831</v>
      </c>
      <c r="H2506" s="636" t="s">
        <v>7910</v>
      </c>
      <c r="I2506" s="636" t="s">
        <v>7835</v>
      </c>
      <c r="J2506" s="644" t="s">
        <v>642</v>
      </c>
      <c r="K2506" s="753">
        <v>6</v>
      </c>
      <c r="L2506" s="754">
        <v>12</v>
      </c>
      <c r="M2506" s="736">
        <v>55960.800000000003</v>
      </c>
      <c r="N2506" s="744"/>
      <c r="O2506" s="739"/>
      <c r="P2506" s="739"/>
      <c r="Q2506" s="214"/>
    </row>
    <row r="2507" spans="1:17" ht="12" customHeight="1" x14ac:dyDescent="0.2">
      <c r="A2507" s="735" t="s">
        <v>7733</v>
      </c>
      <c r="B2507" s="735" t="s">
        <v>2170</v>
      </c>
      <c r="C2507" s="735" t="s">
        <v>451</v>
      </c>
      <c r="D2507" s="644" t="s">
        <v>2261</v>
      </c>
      <c r="E2507" s="736">
        <v>2200</v>
      </c>
      <c r="F2507" s="737" t="s">
        <v>8832</v>
      </c>
      <c r="G2507" s="636" t="s">
        <v>8833</v>
      </c>
      <c r="H2507" s="636" t="s">
        <v>7752</v>
      </c>
      <c r="I2507" s="636" t="s">
        <v>8036</v>
      </c>
      <c r="J2507" s="644" t="s">
        <v>644</v>
      </c>
      <c r="K2507" s="753">
        <v>6</v>
      </c>
      <c r="L2507" s="754">
        <v>12</v>
      </c>
      <c r="M2507" s="736">
        <v>28360.799999999999</v>
      </c>
      <c r="N2507" s="744"/>
      <c r="O2507" s="739"/>
      <c r="P2507" s="739"/>
      <c r="Q2507" s="214"/>
    </row>
    <row r="2508" spans="1:17" ht="12" customHeight="1" x14ac:dyDescent="0.2">
      <c r="A2508" s="735" t="s">
        <v>7733</v>
      </c>
      <c r="B2508" s="735" t="s">
        <v>2170</v>
      </c>
      <c r="C2508" s="735" t="s">
        <v>451</v>
      </c>
      <c r="D2508" s="644" t="s">
        <v>8834</v>
      </c>
      <c r="E2508" s="736">
        <v>7500</v>
      </c>
      <c r="F2508" s="737" t="s">
        <v>8835</v>
      </c>
      <c r="G2508" s="636" t="s">
        <v>8836</v>
      </c>
      <c r="H2508" s="636" t="s">
        <v>7752</v>
      </c>
      <c r="I2508" s="636" t="s">
        <v>2179</v>
      </c>
      <c r="J2508" s="644" t="s">
        <v>642</v>
      </c>
      <c r="K2508" s="753">
        <v>5</v>
      </c>
      <c r="L2508" s="754">
        <v>12</v>
      </c>
      <c r="M2508" s="736">
        <v>91960.8</v>
      </c>
      <c r="N2508" s="744"/>
      <c r="O2508" s="739"/>
      <c r="P2508" s="739"/>
      <c r="Q2508" s="214"/>
    </row>
    <row r="2509" spans="1:17" ht="12" customHeight="1" x14ac:dyDescent="0.2">
      <c r="A2509" s="735" t="s">
        <v>7733</v>
      </c>
      <c r="B2509" s="735" t="s">
        <v>2170</v>
      </c>
      <c r="C2509" s="735" t="s">
        <v>451</v>
      </c>
      <c r="D2509" s="644" t="s">
        <v>8837</v>
      </c>
      <c r="E2509" s="736">
        <v>4000</v>
      </c>
      <c r="F2509" s="737" t="s">
        <v>8838</v>
      </c>
      <c r="G2509" s="636" t="s">
        <v>8839</v>
      </c>
      <c r="H2509" s="636" t="s">
        <v>6778</v>
      </c>
      <c r="I2509" s="636" t="s">
        <v>2174</v>
      </c>
      <c r="J2509" s="644" t="s">
        <v>642</v>
      </c>
      <c r="K2509" s="753">
        <v>1</v>
      </c>
      <c r="L2509" s="754">
        <v>3</v>
      </c>
      <c r="M2509" s="736">
        <v>13960.8</v>
      </c>
      <c r="N2509" s="744"/>
      <c r="O2509" s="739"/>
      <c r="P2509" s="739"/>
      <c r="Q2509" s="214"/>
    </row>
    <row r="2510" spans="1:17" ht="12" customHeight="1" x14ac:dyDescent="0.2">
      <c r="A2510" s="735" t="s">
        <v>7733</v>
      </c>
      <c r="B2510" s="735" t="s">
        <v>2170</v>
      </c>
      <c r="C2510" s="735" t="s">
        <v>451</v>
      </c>
      <c r="D2510" s="644" t="s">
        <v>8840</v>
      </c>
      <c r="E2510" s="736">
        <v>5000</v>
      </c>
      <c r="F2510" s="737" t="s">
        <v>8841</v>
      </c>
      <c r="G2510" s="636" t="s">
        <v>8842</v>
      </c>
      <c r="H2510" s="636" t="s">
        <v>3915</v>
      </c>
      <c r="I2510" s="636" t="s">
        <v>4559</v>
      </c>
      <c r="J2510" s="644" t="s">
        <v>642</v>
      </c>
      <c r="K2510" s="753">
        <v>7</v>
      </c>
      <c r="L2510" s="754">
        <v>12</v>
      </c>
      <c r="M2510" s="736">
        <v>61960.800000000003</v>
      </c>
      <c r="N2510" s="744"/>
      <c r="O2510" s="739"/>
      <c r="P2510" s="739"/>
      <c r="Q2510" s="214"/>
    </row>
    <row r="2511" spans="1:17" ht="12" customHeight="1" x14ac:dyDescent="0.2">
      <c r="A2511" s="735" t="s">
        <v>7733</v>
      </c>
      <c r="B2511" s="735" t="s">
        <v>2170</v>
      </c>
      <c r="C2511" s="735" t="s">
        <v>451</v>
      </c>
      <c r="D2511" s="644" t="s">
        <v>8360</v>
      </c>
      <c r="E2511" s="736">
        <v>3500</v>
      </c>
      <c r="F2511" s="737" t="s">
        <v>8843</v>
      </c>
      <c r="G2511" s="636" t="s">
        <v>8844</v>
      </c>
      <c r="H2511" s="636"/>
      <c r="I2511" s="636"/>
      <c r="J2511" s="644" t="s">
        <v>642</v>
      </c>
      <c r="K2511" s="753">
        <v>12</v>
      </c>
      <c r="L2511" s="754">
        <v>12</v>
      </c>
      <c r="M2511" s="736">
        <v>43960.800000000003</v>
      </c>
      <c r="N2511" s="744"/>
      <c r="O2511" s="739"/>
      <c r="P2511" s="739"/>
      <c r="Q2511" s="214"/>
    </row>
    <row r="2512" spans="1:17" ht="12" customHeight="1" x14ac:dyDescent="0.2">
      <c r="A2512" s="735" t="s">
        <v>7733</v>
      </c>
      <c r="B2512" s="735" t="s">
        <v>2170</v>
      </c>
      <c r="C2512" s="735" t="s">
        <v>451</v>
      </c>
      <c r="D2512" s="644" t="s">
        <v>7977</v>
      </c>
      <c r="E2512" s="736">
        <v>4000</v>
      </c>
      <c r="F2512" s="737" t="s">
        <v>8845</v>
      </c>
      <c r="G2512" s="636" t="s">
        <v>8846</v>
      </c>
      <c r="H2512" s="636" t="s">
        <v>7782</v>
      </c>
      <c r="I2512" s="636" t="s">
        <v>2208</v>
      </c>
      <c r="J2512" s="644" t="s">
        <v>642</v>
      </c>
      <c r="K2512" s="753">
        <v>12</v>
      </c>
      <c r="L2512" s="754">
        <v>12</v>
      </c>
      <c r="M2512" s="736">
        <v>49960.800000000003</v>
      </c>
      <c r="N2512" s="744"/>
      <c r="O2512" s="739"/>
      <c r="P2512" s="739"/>
      <c r="Q2512" s="214"/>
    </row>
    <row r="2513" spans="1:17" ht="12" customHeight="1" x14ac:dyDescent="0.2">
      <c r="A2513" s="735" t="s">
        <v>7733</v>
      </c>
      <c r="B2513" s="735" t="s">
        <v>2170</v>
      </c>
      <c r="C2513" s="735" t="s">
        <v>451</v>
      </c>
      <c r="D2513" s="644" t="s">
        <v>7746</v>
      </c>
      <c r="E2513" s="736">
        <v>2800</v>
      </c>
      <c r="F2513" s="737" t="s">
        <v>8847</v>
      </c>
      <c r="G2513" s="636" t="s">
        <v>8848</v>
      </c>
      <c r="H2513" s="636" t="s">
        <v>7280</v>
      </c>
      <c r="I2513" s="636" t="s">
        <v>7280</v>
      </c>
      <c r="J2513" s="644" t="s">
        <v>644</v>
      </c>
      <c r="K2513" s="753">
        <v>5</v>
      </c>
      <c r="L2513" s="754">
        <v>12</v>
      </c>
      <c r="M2513" s="736">
        <v>35560.800000000003</v>
      </c>
      <c r="N2513" s="744"/>
      <c r="O2513" s="739"/>
      <c r="P2513" s="739"/>
      <c r="Q2513" s="214"/>
    </row>
    <row r="2514" spans="1:17" ht="12" customHeight="1" x14ac:dyDescent="0.2">
      <c r="A2514" s="735" t="s">
        <v>7733</v>
      </c>
      <c r="B2514" s="735" t="s">
        <v>2170</v>
      </c>
      <c r="C2514" s="735" t="s">
        <v>451</v>
      </c>
      <c r="D2514" s="644" t="s">
        <v>2179</v>
      </c>
      <c r="E2514" s="736">
        <v>8000</v>
      </c>
      <c r="F2514" s="737" t="s">
        <v>8849</v>
      </c>
      <c r="G2514" s="636" t="s">
        <v>8850</v>
      </c>
      <c r="H2514" s="636" t="s">
        <v>6571</v>
      </c>
      <c r="I2514" s="636" t="s">
        <v>2179</v>
      </c>
      <c r="J2514" s="644" t="s">
        <v>642</v>
      </c>
      <c r="K2514" s="753">
        <v>1</v>
      </c>
      <c r="L2514" s="754">
        <v>3</v>
      </c>
      <c r="M2514" s="736">
        <v>25960.799999999999</v>
      </c>
      <c r="N2514" s="744"/>
      <c r="O2514" s="739"/>
      <c r="P2514" s="739"/>
      <c r="Q2514" s="214"/>
    </row>
    <row r="2515" spans="1:17" ht="12" customHeight="1" x14ac:dyDescent="0.2">
      <c r="A2515" s="735" t="s">
        <v>7733</v>
      </c>
      <c r="B2515" s="735" t="s">
        <v>2170</v>
      </c>
      <c r="C2515" s="735" t="s">
        <v>451</v>
      </c>
      <c r="D2515" s="644" t="s">
        <v>2179</v>
      </c>
      <c r="E2515" s="736">
        <v>7000</v>
      </c>
      <c r="F2515" s="737" t="s">
        <v>8851</v>
      </c>
      <c r="G2515" s="636" t="s">
        <v>8852</v>
      </c>
      <c r="H2515" s="636" t="s">
        <v>6571</v>
      </c>
      <c r="I2515" s="636" t="s">
        <v>2179</v>
      </c>
      <c r="J2515" s="644" t="s">
        <v>642</v>
      </c>
      <c r="K2515" s="753">
        <v>5</v>
      </c>
      <c r="L2515" s="754">
        <v>12</v>
      </c>
      <c r="M2515" s="736">
        <v>85960.8</v>
      </c>
      <c r="N2515" s="744"/>
      <c r="O2515" s="739"/>
      <c r="P2515" s="739"/>
      <c r="Q2515" s="214"/>
    </row>
    <row r="2516" spans="1:17" ht="12" customHeight="1" x14ac:dyDescent="0.2">
      <c r="A2516" s="735" t="s">
        <v>7733</v>
      </c>
      <c r="B2516" s="735" t="s">
        <v>2170</v>
      </c>
      <c r="C2516" s="735" t="s">
        <v>451</v>
      </c>
      <c r="D2516" s="644" t="s">
        <v>8853</v>
      </c>
      <c r="E2516" s="736">
        <v>3000</v>
      </c>
      <c r="F2516" s="737" t="s">
        <v>8854</v>
      </c>
      <c r="G2516" s="636" t="s">
        <v>8855</v>
      </c>
      <c r="H2516" s="636" t="s">
        <v>8856</v>
      </c>
      <c r="I2516" s="636" t="s">
        <v>2766</v>
      </c>
      <c r="J2516" s="644" t="s">
        <v>642</v>
      </c>
      <c r="K2516" s="753">
        <v>5</v>
      </c>
      <c r="L2516" s="754">
        <v>12</v>
      </c>
      <c r="M2516" s="736">
        <v>37960.800000000003</v>
      </c>
      <c r="N2516" s="744"/>
      <c r="O2516" s="739"/>
      <c r="P2516" s="739"/>
      <c r="Q2516" s="214"/>
    </row>
    <row r="2517" spans="1:17" ht="12" customHeight="1" x14ac:dyDescent="0.2">
      <c r="A2517" s="735" t="s">
        <v>7733</v>
      </c>
      <c r="B2517" s="735" t="s">
        <v>2170</v>
      </c>
      <c r="C2517" s="735" t="s">
        <v>451</v>
      </c>
      <c r="D2517" s="644" t="s">
        <v>7901</v>
      </c>
      <c r="E2517" s="736">
        <v>2500</v>
      </c>
      <c r="F2517" s="737" t="s">
        <v>8857</v>
      </c>
      <c r="G2517" s="636" t="s">
        <v>8858</v>
      </c>
      <c r="H2517" s="636" t="s">
        <v>6778</v>
      </c>
      <c r="I2517" s="636" t="s">
        <v>2174</v>
      </c>
      <c r="J2517" s="644" t="s">
        <v>644</v>
      </c>
      <c r="K2517" s="753">
        <v>3</v>
      </c>
      <c r="L2517" s="754">
        <v>3</v>
      </c>
      <c r="M2517" s="736">
        <v>9460.7999999999993</v>
      </c>
      <c r="N2517" s="744"/>
      <c r="O2517" s="739"/>
      <c r="P2517" s="739"/>
      <c r="Q2517" s="214"/>
    </row>
    <row r="2518" spans="1:17" ht="12" customHeight="1" x14ac:dyDescent="0.2">
      <c r="A2518" s="735" t="s">
        <v>7733</v>
      </c>
      <c r="B2518" s="735" t="s">
        <v>2170</v>
      </c>
      <c r="C2518" s="735" t="s">
        <v>451</v>
      </c>
      <c r="D2518" s="644" t="s">
        <v>8149</v>
      </c>
      <c r="E2518" s="736">
        <v>2300</v>
      </c>
      <c r="F2518" s="737" t="s">
        <v>8859</v>
      </c>
      <c r="G2518" s="636" t="s">
        <v>8860</v>
      </c>
      <c r="H2518" s="636" t="s">
        <v>6778</v>
      </c>
      <c r="I2518" s="636" t="s">
        <v>4559</v>
      </c>
      <c r="J2518" s="644" t="s">
        <v>643</v>
      </c>
      <c r="K2518" s="753">
        <v>1</v>
      </c>
      <c r="L2518" s="754">
        <v>2</v>
      </c>
      <c r="M2518" s="736">
        <v>6560.8</v>
      </c>
      <c r="N2518" s="744"/>
      <c r="O2518" s="739"/>
      <c r="P2518" s="739"/>
      <c r="Q2518" s="214"/>
    </row>
    <row r="2519" spans="1:17" ht="12" customHeight="1" x14ac:dyDescent="0.2">
      <c r="A2519" s="735" t="s">
        <v>7733</v>
      </c>
      <c r="B2519" s="735" t="s">
        <v>2170</v>
      </c>
      <c r="C2519" s="735" t="s">
        <v>451</v>
      </c>
      <c r="D2519" s="644" t="s">
        <v>8360</v>
      </c>
      <c r="E2519" s="736">
        <v>3500</v>
      </c>
      <c r="F2519" s="737" t="s">
        <v>8861</v>
      </c>
      <c r="G2519" s="636" t="s">
        <v>8862</v>
      </c>
      <c r="H2519" s="636"/>
      <c r="I2519" s="636"/>
      <c r="J2519" s="644" t="s">
        <v>642</v>
      </c>
      <c r="K2519" s="753">
        <v>12</v>
      </c>
      <c r="L2519" s="754">
        <v>12</v>
      </c>
      <c r="M2519" s="736">
        <v>43960.800000000003</v>
      </c>
      <c r="N2519" s="744"/>
      <c r="O2519" s="739"/>
      <c r="P2519" s="739"/>
      <c r="Q2519" s="214"/>
    </row>
    <row r="2520" spans="1:17" ht="12" customHeight="1" x14ac:dyDescent="0.2">
      <c r="A2520" s="735" t="s">
        <v>7733</v>
      </c>
      <c r="B2520" s="735" t="s">
        <v>2170</v>
      </c>
      <c r="C2520" s="735" t="s">
        <v>451</v>
      </c>
      <c r="D2520" s="644" t="s">
        <v>6668</v>
      </c>
      <c r="E2520" s="736">
        <v>3000</v>
      </c>
      <c r="F2520" s="737" t="s">
        <v>8863</v>
      </c>
      <c r="G2520" s="636" t="s">
        <v>8864</v>
      </c>
      <c r="H2520" s="636" t="s">
        <v>3915</v>
      </c>
      <c r="I2520" s="636" t="s">
        <v>3070</v>
      </c>
      <c r="J2520" s="644" t="s">
        <v>642</v>
      </c>
      <c r="K2520" s="753">
        <v>12</v>
      </c>
      <c r="L2520" s="754">
        <v>12</v>
      </c>
      <c r="M2520" s="736">
        <v>37960.800000000003</v>
      </c>
      <c r="N2520" s="744"/>
      <c r="O2520" s="739"/>
      <c r="P2520" s="739"/>
      <c r="Q2520" s="214"/>
    </row>
    <row r="2521" spans="1:17" ht="12" customHeight="1" x14ac:dyDescent="0.2">
      <c r="A2521" s="735" t="s">
        <v>7733</v>
      </c>
      <c r="B2521" s="735" t="s">
        <v>2170</v>
      </c>
      <c r="C2521" s="735" t="s">
        <v>451</v>
      </c>
      <c r="D2521" s="644" t="s">
        <v>2788</v>
      </c>
      <c r="E2521" s="736">
        <v>1800</v>
      </c>
      <c r="F2521" s="737" t="s">
        <v>8865</v>
      </c>
      <c r="G2521" s="636" t="s">
        <v>8866</v>
      </c>
      <c r="H2521" s="636" t="s">
        <v>2228</v>
      </c>
      <c r="I2521" s="636" t="s">
        <v>2228</v>
      </c>
      <c r="J2521" s="644"/>
      <c r="K2521" s="753">
        <v>5</v>
      </c>
      <c r="L2521" s="754">
        <v>5</v>
      </c>
      <c r="M2521" s="736">
        <v>11544</v>
      </c>
      <c r="N2521" s="744"/>
      <c r="O2521" s="739"/>
      <c r="P2521" s="739"/>
      <c r="Q2521" s="214"/>
    </row>
    <row r="2522" spans="1:17" ht="12" customHeight="1" x14ac:dyDescent="0.2">
      <c r="A2522" s="735" t="s">
        <v>7733</v>
      </c>
      <c r="B2522" s="735" t="s">
        <v>2170</v>
      </c>
      <c r="C2522" s="735" t="s">
        <v>451</v>
      </c>
      <c r="D2522" s="644" t="s">
        <v>8867</v>
      </c>
      <c r="E2522" s="736">
        <v>4500</v>
      </c>
      <c r="F2522" s="737" t="s">
        <v>8868</v>
      </c>
      <c r="G2522" s="636" t="s">
        <v>8869</v>
      </c>
      <c r="H2522" s="636" t="s">
        <v>8003</v>
      </c>
      <c r="I2522" s="636" t="s">
        <v>7911</v>
      </c>
      <c r="J2522" s="644" t="s">
        <v>643</v>
      </c>
      <c r="K2522" s="753">
        <v>5</v>
      </c>
      <c r="L2522" s="754">
        <v>10</v>
      </c>
      <c r="M2522" s="736">
        <v>46960.800000000003</v>
      </c>
      <c r="N2522" s="744"/>
      <c r="O2522" s="739"/>
      <c r="P2522" s="739"/>
      <c r="Q2522" s="214"/>
    </row>
    <row r="2523" spans="1:17" ht="12" customHeight="1" x14ac:dyDescent="0.2">
      <c r="A2523" s="735" t="s">
        <v>7733</v>
      </c>
      <c r="B2523" s="735" t="s">
        <v>2170</v>
      </c>
      <c r="C2523" s="735" t="s">
        <v>451</v>
      </c>
      <c r="D2523" s="644" t="s">
        <v>7901</v>
      </c>
      <c r="E2523" s="736">
        <v>2500</v>
      </c>
      <c r="F2523" s="737" t="s">
        <v>8870</v>
      </c>
      <c r="G2523" s="636" t="s">
        <v>8871</v>
      </c>
      <c r="H2523" s="636" t="s">
        <v>6608</v>
      </c>
      <c r="I2523" s="636" t="s">
        <v>2766</v>
      </c>
      <c r="J2523" s="644" t="s">
        <v>644</v>
      </c>
      <c r="K2523" s="753">
        <v>12</v>
      </c>
      <c r="L2523" s="754">
        <v>12</v>
      </c>
      <c r="M2523" s="736">
        <v>31960.799999999999</v>
      </c>
      <c r="N2523" s="744"/>
      <c r="O2523" s="739"/>
      <c r="P2523" s="739"/>
      <c r="Q2523" s="214"/>
    </row>
    <row r="2524" spans="1:17" ht="12" customHeight="1" x14ac:dyDescent="0.2">
      <c r="A2524" s="735" t="s">
        <v>7733</v>
      </c>
      <c r="B2524" s="735" t="s">
        <v>2170</v>
      </c>
      <c r="C2524" s="735" t="s">
        <v>451</v>
      </c>
      <c r="D2524" s="644" t="s">
        <v>8791</v>
      </c>
      <c r="E2524" s="736">
        <v>2500</v>
      </c>
      <c r="F2524" s="737" t="s">
        <v>8872</v>
      </c>
      <c r="G2524" s="636" t="s">
        <v>8873</v>
      </c>
      <c r="H2524" s="636" t="s">
        <v>7939</v>
      </c>
      <c r="I2524" s="636" t="s">
        <v>8874</v>
      </c>
      <c r="J2524" s="644" t="s">
        <v>642</v>
      </c>
      <c r="K2524" s="753">
        <v>1</v>
      </c>
      <c r="L2524" s="754">
        <v>3</v>
      </c>
      <c r="M2524" s="736">
        <v>9460.7999999999993</v>
      </c>
      <c r="N2524" s="744"/>
      <c r="O2524" s="739"/>
      <c r="P2524" s="739"/>
      <c r="Q2524" s="214"/>
    </row>
    <row r="2525" spans="1:17" ht="12" customHeight="1" x14ac:dyDescent="0.2">
      <c r="A2525" s="735" t="s">
        <v>7733</v>
      </c>
      <c r="B2525" s="735" t="s">
        <v>2170</v>
      </c>
      <c r="C2525" s="735" t="s">
        <v>451</v>
      </c>
      <c r="D2525" s="644" t="s">
        <v>8875</v>
      </c>
      <c r="E2525" s="736">
        <v>2000</v>
      </c>
      <c r="F2525" s="737" t="s">
        <v>8876</v>
      </c>
      <c r="G2525" s="636" t="s">
        <v>8877</v>
      </c>
      <c r="H2525" s="636" t="s">
        <v>6778</v>
      </c>
      <c r="I2525" s="636" t="s">
        <v>3092</v>
      </c>
      <c r="J2525" s="644" t="s">
        <v>643</v>
      </c>
      <c r="K2525" s="753">
        <v>1</v>
      </c>
      <c r="L2525" s="754">
        <v>1</v>
      </c>
      <c r="M2525" s="736">
        <v>3960.8</v>
      </c>
      <c r="N2525" s="744"/>
      <c r="O2525" s="739"/>
      <c r="P2525" s="739"/>
      <c r="Q2525" s="214"/>
    </row>
    <row r="2526" spans="1:17" ht="12" customHeight="1" x14ac:dyDescent="0.2">
      <c r="A2526" s="735" t="s">
        <v>7733</v>
      </c>
      <c r="B2526" s="735" t="s">
        <v>2170</v>
      </c>
      <c r="C2526" s="735" t="s">
        <v>451</v>
      </c>
      <c r="D2526" s="644" t="s">
        <v>2261</v>
      </c>
      <c r="E2526" s="736">
        <v>2500</v>
      </c>
      <c r="F2526" s="737" t="s">
        <v>8878</v>
      </c>
      <c r="G2526" s="636" t="s">
        <v>8879</v>
      </c>
      <c r="H2526" s="636" t="s">
        <v>3754</v>
      </c>
      <c r="I2526" s="636" t="s">
        <v>2979</v>
      </c>
      <c r="J2526" s="644" t="s">
        <v>643</v>
      </c>
      <c r="K2526" s="753">
        <v>12</v>
      </c>
      <c r="L2526" s="754">
        <v>12</v>
      </c>
      <c r="M2526" s="736">
        <v>31960.799999999999</v>
      </c>
      <c r="N2526" s="744"/>
      <c r="O2526" s="739"/>
      <c r="P2526" s="739"/>
      <c r="Q2526" s="214"/>
    </row>
    <row r="2527" spans="1:17" ht="12" customHeight="1" x14ac:dyDescent="0.2">
      <c r="A2527" s="735" t="s">
        <v>7733</v>
      </c>
      <c r="B2527" s="735" t="s">
        <v>2170</v>
      </c>
      <c r="C2527" s="735" t="s">
        <v>451</v>
      </c>
      <c r="D2527" s="644" t="s">
        <v>7855</v>
      </c>
      <c r="E2527" s="736">
        <v>2200</v>
      </c>
      <c r="F2527" s="737" t="s">
        <v>8880</v>
      </c>
      <c r="G2527" s="636" t="s">
        <v>8881</v>
      </c>
      <c r="H2527" s="636" t="s">
        <v>7867</v>
      </c>
      <c r="I2527" s="636" t="s">
        <v>7867</v>
      </c>
      <c r="J2527" s="644" t="s">
        <v>644</v>
      </c>
      <c r="K2527" s="753">
        <v>12</v>
      </c>
      <c r="L2527" s="754">
        <v>12</v>
      </c>
      <c r="M2527" s="736">
        <v>28360.799999999999</v>
      </c>
      <c r="N2527" s="744"/>
      <c r="O2527" s="739"/>
      <c r="P2527" s="739"/>
      <c r="Q2527" s="214"/>
    </row>
    <row r="2528" spans="1:17" ht="12" customHeight="1" x14ac:dyDescent="0.2">
      <c r="A2528" s="735" t="s">
        <v>7733</v>
      </c>
      <c r="B2528" s="735" t="s">
        <v>2170</v>
      </c>
      <c r="C2528" s="735" t="s">
        <v>451</v>
      </c>
      <c r="D2528" s="644" t="s">
        <v>8298</v>
      </c>
      <c r="E2528" s="736">
        <v>930</v>
      </c>
      <c r="F2528" s="737" t="s">
        <v>8882</v>
      </c>
      <c r="G2528" s="636" t="s">
        <v>8883</v>
      </c>
      <c r="H2528" s="636"/>
      <c r="I2528" s="636"/>
      <c r="J2528" s="644" t="s">
        <v>644</v>
      </c>
      <c r="K2528" s="753">
        <v>12</v>
      </c>
      <c r="L2528" s="754">
        <v>12</v>
      </c>
      <c r="M2528" s="736">
        <v>12764.4</v>
      </c>
      <c r="N2528" s="744"/>
      <c r="O2528" s="739"/>
      <c r="P2528" s="739"/>
      <c r="Q2528" s="214"/>
    </row>
    <row r="2529" spans="1:17" ht="12" customHeight="1" x14ac:dyDescent="0.2">
      <c r="A2529" s="735" t="s">
        <v>7733</v>
      </c>
      <c r="B2529" s="735" t="s">
        <v>2170</v>
      </c>
      <c r="C2529" s="735" t="s">
        <v>451</v>
      </c>
      <c r="D2529" s="644" t="s">
        <v>7740</v>
      </c>
      <c r="E2529" s="736">
        <v>2200</v>
      </c>
      <c r="F2529" s="737" t="s">
        <v>8884</v>
      </c>
      <c r="G2529" s="636" t="s">
        <v>8885</v>
      </c>
      <c r="H2529" s="636" t="s">
        <v>8886</v>
      </c>
      <c r="I2529" s="636" t="s">
        <v>2323</v>
      </c>
      <c r="J2529" s="644" t="s">
        <v>642</v>
      </c>
      <c r="K2529" s="753">
        <v>1</v>
      </c>
      <c r="L2529" s="754">
        <v>1</v>
      </c>
      <c r="M2529" s="736">
        <v>4160.8</v>
      </c>
      <c r="N2529" s="744"/>
      <c r="O2529" s="739"/>
      <c r="P2529" s="739"/>
      <c r="Q2529" s="214"/>
    </row>
    <row r="2530" spans="1:17" ht="12" customHeight="1" x14ac:dyDescent="0.2">
      <c r="A2530" s="735" t="s">
        <v>7733</v>
      </c>
      <c r="B2530" s="735" t="s">
        <v>2170</v>
      </c>
      <c r="C2530" s="735" t="s">
        <v>451</v>
      </c>
      <c r="D2530" s="644" t="s">
        <v>7769</v>
      </c>
      <c r="E2530" s="736">
        <v>2200</v>
      </c>
      <c r="F2530" s="737" t="s">
        <v>8887</v>
      </c>
      <c r="G2530" s="636" t="s">
        <v>8888</v>
      </c>
      <c r="H2530" s="636" t="s">
        <v>7782</v>
      </c>
      <c r="I2530" s="636" t="s">
        <v>2208</v>
      </c>
      <c r="J2530" s="644" t="s">
        <v>642</v>
      </c>
      <c r="K2530" s="753">
        <v>12</v>
      </c>
      <c r="L2530" s="754">
        <v>12</v>
      </c>
      <c r="M2530" s="736">
        <v>28360.799999999999</v>
      </c>
      <c r="N2530" s="744"/>
      <c r="O2530" s="739"/>
      <c r="P2530" s="739"/>
      <c r="Q2530" s="214"/>
    </row>
    <row r="2531" spans="1:17" ht="12" customHeight="1" x14ac:dyDescent="0.2">
      <c r="A2531" s="735" t="s">
        <v>7733</v>
      </c>
      <c r="B2531" s="735" t="s">
        <v>2170</v>
      </c>
      <c r="C2531" s="735" t="s">
        <v>451</v>
      </c>
      <c r="D2531" s="644" t="s">
        <v>8889</v>
      </c>
      <c r="E2531" s="736">
        <v>6000</v>
      </c>
      <c r="F2531" s="737" t="s">
        <v>8890</v>
      </c>
      <c r="G2531" s="636" t="s">
        <v>8891</v>
      </c>
      <c r="H2531" s="636" t="s">
        <v>6571</v>
      </c>
      <c r="I2531" s="636" t="s">
        <v>2179</v>
      </c>
      <c r="J2531" s="644" t="s">
        <v>642</v>
      </c>
      <c r="K2531" s="753">
        <v>4</v>
      </c>
      <c r="L2531" s="754">
        <v>9</v>
      </c>
      <c r="M2531" s="736">
        <v>55960.800000000003</v>
      </c>
      <c r="N2531" s="744"/>
      <c r="O2531" s="739"/>
      <c r="P2531" s="739"/>
      <c r="Q2531" s="214"/>
    </row>
    <row r="2532" spans="1:17" ht="12" customHeight="1" x14ac:dyDescent="0.2">
      <c r="A2532" s="735" t="s">
        <v>7733</v>
      </c>
      <c r="B2532" s="735" t="s">
        <v>2170</v>
      </c>
      <c r="C2532" s="735" t="s">
        <v>451</v>
      </c>
      <c r="D2532" s="644" t="s">
        <v>8622</v>
      </c>
      <c r="E2532" s="736">
        <v>4000</v>
      </c>
      <c r="F2532" s="737" t="s">
        <v>8892</v>
      </c>
      <c r="G2532" s="636" t="s">
        <v>8893</v>
      </c>
      <c r="H2532" s="636" t="s">
        <v>6571</v>
      </c>
      <c r="I2532" s="636" t="s">
        <v>2179</v>
      </c>
      <c r="J2532" s="644" t="s">
        <v>642</v>
      </c>
      <c r="K2532" s="753">
        <v>1</v>
      </c>
      <c r="L2532" s="754">
        <v>1</v>
      </c>
      <c r="M2532" s="736">
        <v>5960.8</v>
      </c>
      <c r="N2532" s="744"/>
      <c r="O2532" s="739"/>
      <c r="P2532" s="739"/>
      <c r="Q2532" s="214"/>
    </row>
    <row r="2533" spans="1:17" ht="12" customHeight="1" x14ac:dyDescent="0.2">
      <c r="A2533" s="735" t="s">
        <v>7733</v>
      </c>
      <c r="B2533" s="735" t="s">
        <v>2170</v>
      </c>
      <c r="C2533" s="735" t="s">
        <v>451</v>
      </c>
      <c r="D2533" s="644" t="s">
        <v>8894</v>
      </c>
      <c r="E2533" s="736">
        <v>11000</v>
      </c>
      <c r="F2533" s="737" t="s">
        <v>8895</v>
      </c>
      <c r="G2533" s="636" t="s">
        <v>8896</v>
      </c>
      <c r="H2533" s="636" t="s">
        <v>7910</v>
      </c>
      <c r="I2533" s="636" t="s">
        <v>7835</v>
      </c>
      <c r="J2533" s="644" t="s">
        <v>642</v>
      </c>
      <c r="K2533" s="753">
        <v>1</v>
      </c>
      <c r="L2533" s="754">
        <v>12</v>
      </c>
      <c r="M2533" s="736">
        <v>133960.79999999999</v>
      </c>
      <c r="N2533" s="744"/>
      <c r="O2533" s="739"/>
      <c r="P2533" s="739"/>
      <c r="Q2533" s="214"/>
    </row>
    <row r="2534" spans="1:17" ht="12" customHeight="1" x14ac:dyDescent="0.2">
      <c r="A2534" s="735" t="s">
        <v>7733</v>
      </c>
      <c r="B2534" s="735" t="s">
        <v>2170</v>
      </c>
      <c r="C2534" s="735" t="s">
        <v>451</v>
      </c>
      <c r="D2534" s="644" t="s">
        <v>8032</v>
      </c>
      <c r="E2534" s="736">
        <v>2200</v>
      </c>
      <c r="F2534" s="737" t="s">
        <v>8897</v>
      </c>
      <c r="G2534" s="636" t="s">
        <v>8898</v>
      </c>
      <c r="H2534" s="636" t="s">
        <v>6608</v>
      </c>
      <c r="I2534" s="636" t="s">
        <v>6608</v>
      </c>
      <c r="J2534" s="644" t="s">
        <v>643</v>
      </c>
      <c r="K2534" s="753">
        <v>12</v>
      </c>
      <c r="L2534" s="754">
        <v>12</v>
      </c>
      <c r="M2534" s="736">
        <v>28360.799999999999</v>
      </c>
      <c r="N2534" s="744"/>
      <c r="O2534" s="739"/>
      <c r="P2534" s="739"/>
      <c r="Q2534" s="214"/>
    </row>
    <row r="2535" spans="1:17" ht="12" customHeight="1" x14ac:dyDescent="0.2">
      <c r="A2535" s="735" t="s">
        <v>7733</v>
      </c>
      <c r="B2535" s="735" t="s">
        <v>2170</v>
      </c>
      <c r="C2535" s="735" t="s">
        <v>451</v>
      </c>
      <c r="D2535" s="644" t="s">
        <v>8899</v>
      </c>
      <c r="E2535" s="736">
        <v>3000</v>
      </c>
      <c r="F2535" s="737" t="s">
        <v>8900</v>
      </c>
      <c r="G2535" s="636" t="s">
        <v>8901</v>
      </c>
      <c r="H2535" s="636" t="s">
        <v>6625</v>
      </c>
      <c r="I2535" s="636" t="s">
        <v>6874</v>
      </c>
      <c r="J2535" s="644" t="s">
        <v>642</v>
      </c>
      <c r="K2535" s="753">
        <v>2</v>
      </c>
      <c r="L2535" s="754">
        <v>4</v>
      </c>
      <c r="M2535" s="736">
        <v>13960.8</v>
      </c>
      <c r="N2535" s="744"/>
      <c r="O2535" s="739"/>
      <c r="P2535" s="739"/>
      <c r="Q2535" s="214"/>
    </row>
    <row r="2536" spans="1:17" ht="12" customHeight="1" x14ac:dyDescent="0.2">
      <c r="A2536" s="735" t="s">
        <v>7733</v>
      </c>
      <c r="B2536" s="735" t="s">
        <v>2170</v>
      </c>
      <c r="C2536" s="735" t="s">
        <v>451</v>
      </c>
      <c r="D2536" s="644" t="s">
        <v>5832</v>
      </c>
      <c r="E2536" s="736">
        <v>3800</v>
      </c>
      <c r="F2536" s="737" t="s">
        <v>8902</v>
      </c>
      <c r="G2536" s="636" t="s">
        <v>8903</v>
      </c>
      <c r="H2536" s="636" t="s">
        <v>3522</v>
      </c>
      <c r="I2536" s="636" t="s">
        <v>2346</v>
      </c>
      <c r="J2536" s="644" t="s">
        <v>643</v>
      </c>
      <c r="K2536" s="753">
        <v>6</v>
      </c>
      <c r="L2536" s="754">
        <v>12</v>
      </c>
      <c r="M2536" s="736">
        <v>47560.800000000003</v>
      </c>
      <c r="N2536" s="744"/>
      <c r="O2536" s="739"/>
      <c r="P2536" s="739"/>
      <c r="Q2536" s="214"/>
    </row>
    <row r="2537" spans="1:17" ht="12" customHeight="1" x14ac:dyDescent="0.2">
      <c r="A2537" s="735" t="s">
        <v>7733</v>
      </c>
      <c r="B2537" s="735" t="s">
        <v>2170</v>
      </c>
      <c r="C2537" s="735" t="s">
        <v>451</v>
      </c>
      <c r="D2537" s="644" t="s">
        <v>8360</v>
      </c>
      <c r="E2537" s="736">
        <v>3500</v>
      </c>
      <c r="F2537" s="737" t="s">
        <v>8904</v>
      </c>
      <c r="G2537" s="636" t="s">
        <v>8905</v>
      </c>
      <c r="H2537" s="636" t="s">
        <v>2228</v>
      </c>
      <c r="I2537" s="636" t="s">
        <v>2228</v>
      </c>
      <c r="J2537" s="644"/>
      <c r="K2537" s="753">
        <v>3</v>
      </c>
      <c r="L2537" s="754">
        <v>3</v>
      </c>
      <c r="M2537" s="736">
        <v>12460.8</v>
      </c>
      <c r="N2537" s="744"/>
      <c r="O2537" s="739"/>
      <c r="P2537" s="739"/>
      <c r="Q2537" s="214"/>
    </row>
    <row r="2538" spans="1:17" ht="12" customHeight="1" x14ac:dyDescent="0.2">
      <c r="A2538" s="735" t="s">
        <v>7733</v>
      </c>
      <c r="B2538" s="735" t="s">
        <v>2170</v>
      </c>
      <c r="C2538" s="735" t="s">
        <v>451</v>
      </c>
      <c r="D2538" s="644" t="s">
        <v>8906</v>
      </c>
      <c r="E2538" s="736">
        <v>6000</v>
      </c>
      <c r="F2538" s="737" t="s">
        <v>8907</v>
      </c>
      <c r="G2538" s="636" t="s">
        <v>8908</v>
      </c>
      <c r="H2538" s="636" t="s">
        <v>6571</v>
      </c>
      <c r="I2538" s="636"/>
      <c r="J2538" s="644" t="s">
        <v>642</v>
      </c>
      <c r="K2538" s="753">
        <v>4</v>
      </c>
      <c r="L2538" s="754">
        <v>12</v>
      </c>
      <c r="M2538" s="736">
        <v>73960.800000000003</v>
      </c>
      <c r="N2538" s="744"/>
      <c r="O2538" s="739"/>
      <c r="P2538" s="739"/>
      <c r="Q2538" s="214"/>
    </row>
    <row r="2539" spans="1:17" ht="12" customHeight="1" x14ac:dyDescent="0.2">
      <c r="A2539" s="735" t="s">
        <v>7733</v>
      </c>
      <c r="B2539" s="735" t="s">
        <v>2170</v>
      </c>
      <c r="C2539" s="735" t="s">
        <v>451</v>
      </c>
      <c r="D2539" s="644" t="s">
        <v>2788</v>
      </c>
      <c r="E2539" s="736">
        <v>1800</v>
      </c>
      <c r="F2539" s="737" t="s">
        <v>8909</v>
      </c>
      <c r="G2539" s="636" t="s">
        <v>8910</v>
      </c>
      <c r="H2539" s="636"/>
      <c r="I2539" s="636"/>
      <c r="J2539" s="644" t="s">
        <v>643</v>
      </c>
      <c r="K2539" s="753">
        <v>12</v>
      </c>
      <c r="L2539" s="754">
        <v>12</v>
      </c>
      <c r="M2539" s="736">
        <v>24144</v>
      </c>
      <c r="N2539" s="744"/>
      <c r="O2539" s="739"/>
      <c r="P2539" s="739"/>
      <c r="Q2539" s="214"/>
    </row>
    <row r="2540" spans="1:17" ht="12" customHeight="1" x14ac:dyDescent="0.2">
      <c r="A2540" s="735" t="s">
        <v>7733</v>
      </c>
      <c r="B2540" s="735" t="s">
        <v>2170</v>
      </c>
      <c r="C2540" s="735" t="s">
        <v>451</v>
      </c>
      <c r="D2540" s="644" t="s">
        <v>8911</v>
      </c>
      <c r="E2540" s="736">
        <v>4000</v>
      </c>
      <c r="F2540" s="737" t="s">
        <v>8912</v>
      </c>
      <c r="G2540" s="636" t="s">
        <v>8913</v>
      </c>
      <c r="H2540" s="636" t="s">
        <v>7782</v>
      </c>
      <c r="I2540" s="636" t="s">
        <v>2208</v>
      </c>
      <c r="J2540" s="644" t="s">
        <v>642</v>
      </c>
      <c r="K2540" s="753">
        <v>7</v>
      </c>
      <c r="L2540" s="754">
        <v>9</v>
      </c>
      <c r="M2540" s="736">
        <v>37960.800000000003</v>
      </c>
      <c r="N2540" s="744"/>
      <c r="O2540" s="739"/>
      <c r="P2540" s="739"/>
      <c r="Q2540" s="214"/>
    </row>
    <row r="2541" spans="1:17" ht="12" customHeight="1" x14ac:dyDescent="0.2">
      <c r="A2541" s="735" t="s">
        <v>7733</v>
      </c>
      <c r="B2541" s="735" t="s">
        <v>2170</v>
      </c>
      <c r="C2541" s="735" t="s">
        <v>451</v>
      </c>
      <c r="D2541" s="644" t="s">
        <v>2208</v>
      </c>
      <c r="E2541" s="736">
        <v>2350</v>
      </c>
      <c r="F2541" s="737" t="s">
        <v>8914</v>
      </c>
      <c r="G2541" s="636" t="s">
        <v>8915</v>
      </c>
      <c r="H2541" s="636" t="s">
        <v>7782</v>
      </c>
      <c r="I2541" s="636" t="s">
        <v>2208</v>
      </c>
      <c r="J2541" s="644" t="s">
        <v>642</v>
      </c>
      <c r="K2541" s="753">
        <v>2</v>
      </c>
      <c r="L2541" s="754">
        <v>24</v>
      </c>
      <c r="M2541" s="736">
        <v>58360.800000000003</v>
      </c>
      <c r="N2541" s="744"/>
      <c r="O2541" s="739"/>
      <c r="P2541" s="739"/>
      <c r="Q2541" s="214"/>
    </row>
    <row r="2542" spans="1:17" ht="12" customHeight="1" x14ac:dyDescent="0.2">
      <c r="A2542" s="735" t="s">
        <v>7733</v>
      </c>
      <c r="B2542" s="735" t="s">
        <v>2170</v>
      </c>
      <c r="C2542" s="735" t="s">
        <v>451</v>
      </c>
      <c r="D2542" s="644" t="s">
        <v>3022</v>
      </c>
      <c r="E2542" s="736">
        <v>4500</v>
      </c>
      <c r="F2542" s="737" t="s">
        <v>8916</v>
      </c>
      <c r="G2542" s="636" t="s">
        <v>8917</v>
      </c>
      <c r="H2542" s="636"/>
      <c r="I2542" s="636"/>
      <c r="J2542" s="644" t="s">
        <v>642</v>
      </c>
      <c r="K2542" s="753">
        <v>6</v>
      </c>
      <c r="L2542" s="754">
        <v>12</v>
      </c>
      <c r="M2542" s="736">
        <v>55960.800000000003</v>
      </c>
      <c r="N2542" s="744"/>
      <c r="O2542" s="739"/>
      <c r="P2542" s="739"/>
      <c r="Q2542" s="214"/>
    </row>
    <row r="2543" spans="1:17" ht="12" customHeight="1" x14ac:dyDescent="0.2">
      <c r="A2543" s="735" t="s">
        <v>7733</v>
      </c>
      <c r="B2543" s="735" t="s">
        <v>2170</v>
      </c>
      <c r="C2543" s="735" t="s">
        <v>451</v>
      </c>
      <c r="D2543" s="644" t="s">
        <v>7838</v>
      </c>
      <c r="E2543" s="736">
        <v>2500</v>
      </c>
      <c r="F2543" s="737" t="s">
        <v>8918</v>
      </c>
      <c r="G2543" s="636" t="s">
        <v>8919</v>
      </c>
      <c r="H2543" s="636" t="s">
        <v>8315</v>
      </c>
      <c r="I2543" s="636" t="s">
        <v>2317</v>
      </c>
      <c r="J2543" s="644" t="s">
        <v>643</v>
      </c>
      <c r="K2543" s="753">
        <v>10</v>
      </c>
      <c r="L2543" s="754">
        <v>10</v>
      </c>
      <c r="M2543" s="736">
        <v>26960.799999999999</v>
      </c>
      <c r="N2543" s="744"/>
      <c r="O2543" s="739"/>
      <c r="P2543" s="739"/>
      <c r="Q2543" s="214"/>
    </row>
    <row r="2544" spans="1:17" ht="12" customHeight="1" x14ac:dyDescent="0.2">
      <c r="A2544" s="735" t="s">
        <v>7733</v>
      </c>
      <c r="B2544" s="735" t="s">
        <v>2170</v>
      </c>
      <c r="C2544" s="735" t="s">
        <v>451</v>
      </c>
      <c r="D2544" s="644" t="s">
        <v>8158</v>
      </c>
      <c r="E2544" s="736">
        <v>2200</v>
      </c>
      <c r="F2544" s="737" t="s">
        <v>8920</v>
      </c>
      <c r="G2544" s="636" t="s">
        <v>8921</v>
      </c>
      <c r="H2544" s="636"/>
      <c r="I2544" s="636"/>
      <c r="J2544" s="644" t="s">
        <v>644</v>
      </c>
      <c r="K2544" s="753">
        <v>5</v>
      </c>
      <c r="L2544" s="754">
        <v>12</v>
      </c>
      <c r="M2544" s="736">
        <v>28360.799999999999</v>
      </c>
      <c r="N2544" s="744"/>
      <c r="O2544" s="739"/>
      <c r="P2544" s="739"/>
      <c r="Q2544" s="214"/>
    </row>
    <row r="2545" spans="1:17" ht="12" customHeight="1" x14ac:dyDescent="0.2">
      <c r="A2545" s="735" t="s">
        <v>7733</v>
      </c>
      <c r="B2545" s="735" t="s">
        <v>2170</v>
      </c>
      <c r="C2545" s="735" t="s">
        <v>451</v>
      </c>
      <c r="D2545" s="644" t="s">
        <v>7817</v>
      </c>
      <c r="E2545" s="736">
        <v>1950</v>
      </c>
      <c r="F2545" s="737" t="s">
        <v>8922</v>
      </c>
      <c r="G2545" s="636" t="s">
        <v>8923</v>
      </c>
      <c r="H2545" s="636" t="s">
        <v>6778</v>
      </c>
      <c r="I2545" s="636" t="s">
        <v>8924</v>
      </c>
      <c r="J2545" s="644" t="s">
        <v>643</v>
      </c>
      <c r="K2545" s="753">
        <v>1</v>
      </c>
      <c r="L2545" s="754">
        <v>12</v>
      </c>
      <c r="M2545" s="736">
        <v>25360.799999999999</v>
      </c>
      <c r="N2545" s="744"/>
      <c r="O2545" s="739"/>
      <c r="P2545" s="739"/>
      <c r="Q2545" s="214"/>
    </row>
    <row r="2546" spans="1:17" ht="12" customHeight="1" x14ac:dyDescent="0.2">
      <c r="A2546" s="735" t="s">
        <v>7733</v>
      </c>
      <c r="B2546" s="735" t="s">
        <v>2170</v>
      </c>
      <c r="C2546" s="735" t="s">
        <v>451</v>
      </c>
      <c r="D2546" s="644" t="s">
        <v>7897</v>
      </c>
      <c r="E2546" s="736">
        <v>3000</v>
      </c>
      <c r="F2546" s="737" t="s">
        <v>8925</v>
      </c>
      <c r="G2546" s="636" t="s">
        <v>8926</v>
      </c>
      <c r="H2546" s="636" t="s">
        <v>2365</v>
      </c>
      <c r="I2546" s="636" t="s">
        <v>2365</v>
      </c>
      <c r="J2546" s="644" t="s">
        <v>642</v>
      </c>
      <c r="K2546" s="753">
        <v>12</v>
      </c>
      <c r="L2546" s="754">
        <v>12</v>
      </c>
      <c r="M2546" s="736">
        <v>37960.800000000003</v>
      </c>
      <c r="N2546" s="744"/>
      <c r="O2546" s="739"/>
      <c r="P2546" s="739"/>
      <c r="Q2546" s="214"/>
    </row>
    <row r="2547" spans="1:17" ht="12" customHeight="1" x14ac:dyDescent="0.2">
      <c r="A2547" s="735" t="s">
        <v>7733</v>
      </c>
      <c r="B2547" s="735" t="s">
        <v>2170</v>
      </c>
      <c r="C2547" s="735" t="s">
        <v>451</v>
      </c>
      <c r="D2547" s="644" t="s">
        <v>8927</v>
      </c>
      <c r="E2547" s="736">
        <v>4000</v>
      </c>
      <c r="F2547" s="737" t="s">
        <v>8928</v>
      </c>
      <c r="G2547" s="636" t="s">
        <v>8929</v>
      </c>
      <c r="H2547" s="636" t="s">
        <v>7752</v>
      </c>
      <c r="I2547" s="636" t="s">
        <v>8036</v>
      </c>
      <c r="J2547" s="644" t="s">
        <v>644</v>
      </c>
      <c r="K2547" s="753">
        <v>9</v>
      </c>
      <c r="L2547" s="754">
        <v>12</v>
      </c>
      <c r="M2547" s="736">
        <v>49960.800000000003</v>
      </c>
      <c r="N2547" s="744"/>
      <c r="O2547" s="739"/>
      <c r="P2547" s="739"/>
      <c r="Q2547" s="214"/>
    </row>
    <row r="2548" spans="1:17" ht="12" customHeight="1" x14ac:dyDescent="0.2">
      <c r="A2548" s="735" t="s">
        <v>7733</v>
      </c>
      <c r="B2548" s="735" t="s">
        <v>2170</v>
      </c>
      <c r="C2548" s="735" t="s">
        <v>451</v>
      </c>
      <c r="D2548" s="644" t="s">
        <v>7965</v>
      </c>
      <c r="E2548" s="736">
        <v>4000</v>
      </c>
      <c r="F2548" s="737" t="s">
        <v>8930</v>
      </c>
      <c r="G2548" s="636" t="s">
        <v>8931</v>
      </c>
      <c r="H2548" s="636" t="s">
        <v>7752</v>
      </c>
      <c r="I2548" s="636" t="s">
        <v>2179</v>
      </c>
      <c r="J2548" s="644" t="s">
        <v>642</v>
      </c>
      <c r="K2548" s="753">
        <v>1</v>
      </c>
      <c r="L2548" s="754">
        <v>1</v>
      </c>
      <c r="M2548" s="736">
        <v>5960.8</v>
      </c>
      <c r="N2548" s="744"/>
      <c r="O2548" s="739"/>
      <c r="P2548" s="739"/>
      <c r="Q2548" s="214"/>
    </row>
    <row r="2549" spans="1:17" ht="12" customHeight="1" x14ac:dyDescent="0.2">
      <c r="A2549" s="735" t="s">
        <v>7733</v>
      </c>
      <c r="B2549" s="735" t="s">
        <v>2170</v>
      </c>
      <c r="C2549" s="735" t="s">
        <v>451</v>
      </c>
      <c r="D2549" s="644" t="s">
        <v>8168</v>
      </c>
      <c r="E2549" s="736">
        <v>5000</v>
      </c>
      <c r="F2549" s="737" t="s">
        <v>8932</v>
      </c>
      <c r="G2549" s="636" t="s">
        <v>8933</v>
      </c>
      <c r="H2549" s="636" t="s">
        <v>8067</v>
      </c>
      <c r="I2549" s="636" t="s">
        <v>3162</v>
      </c>
      <c r="J2549" s="644" t="s">
        <v>643</v>
      </c>
      <c r="K2549" s="753">
        <v>4</v>
      </c>
      <c r="L2549" s="754">
        <v>12</v>
      </c>
      <c r="M2549" s="736">
        <v>61960.800000000003</v>
      </c>
      <c r="N2549" s="744"/>
      <c r="O2549" s="739"/>
      <c r="P2549" s="739"/>
      <c r="Q2549" s="214"/>
    </row>
    <row r="2550" spans="1:17" ht="12" customHeight="1" x14ac:dyDescent="0.2">
      <c r="A2550" s="735" t="s">
        <v>7733</v>
      </c>
      <c r="B2550" s="735" t="s">
        <v>2170</v>
      </c>
      <c r="C2550" s="735" t="s">
        <v>451</v>
      </c>
      <c r="D2550" s="644" t="s">
        <v>8934</v>
      </c>
      <c r="E2550" s="736">
        <v>3000</v>
      </c>
      <c r="F2550" s="737" t="s">
        <v>8935</v>
      </c>
      <c r="G2550" s="636" t="s">
        <v>8936</v>
      </c>
      <c r="H2550" s="636" t="s">
        <v>7752</v>
      </c>
      <c r="I2550" s="636" t="s">
        <v>2179</v>
      </c>
      <c r="J2550" s="644" t="s">
        <v>642</v>
      </c>
      <c r="K2550" s="753">
        <v>2</v>
      </c>
      <c r="L2550" s="754">
        <v>4</v>
      </c>
      <c r="M2550" s="736">
        <v>13960.8</v>
      </c>
      <c r="N2550" s="744"/>
      <c r="O2550" s="739"/>
      <c r="P2550" s="739"/>
      <c r="Q2550" s="214"/>
    </row>
    <row r="2551" spans="1:17" ht="12" customHeight="1" x14ac:dyDescent="0.2">
      <c r="A2551" s="735" t="s">
        <v>7733</v>
      </c>
      <c r="B2551" s="735" t="s">
        <v>2170</v>
      </c>
      <c r="C2551" s="735" t="s">
        <v>451</v>
      </c>
      <c r="D2551" s="644" t="s">
        <v>8704</v>
      </c>
      <c r="E2551" s="736">
        <v>2200</v>
      </c>
      <c r="F2551" s="737" t="s">
        <v>8937</v>
      </c>
      <c r="G2551" s="636" t="s">
        <v>8938</v>
      </c>
      <c r="H2551" s="636"/>
      <c r="I2551" s="636"/>
      <c r="J2551" s="644" t="s">
        <v>644</v>
      </c>
      <c r="K2551" s="753">
        <v>5</v>
      </c>
      <c r="L2551" s="754">
        <v>12</v>
      </c>
      <c r="M2551" s="736">
        <v>28360.799999999999</v>
      </c>
      <c r="N2551" s="744"/>
      <c r="O2551" s="739"/>
      <c r="P2551" s="739"/>
      <c r="Q2551" s="214"/>
    </row>
    <row r="2552" spans="1:17" ht="12" customHeight="1" x14ac:dyDescent="0.2">
      <c r="A2552" s="735" t="s">
        <v>7733</v>
      </c>
      <c r="B2552" s="735" t="s">
        <v>2170</v>
      </c>
      <c r="C2552" s="735" t="s">
        <v>451</v>
      </c>
      <c r="D2552" s="644" t="s">
        <v>8939</v>
      </c>
      <c r="E2552" s="736">
        <v>4000</v>
      </c>
      <c r="F2552" s="737" t="s">
        <v>8940</v>
      </c>
      <c r="G2552" s="636" t="s">
        <v>8941</v>
      </c>
      <c r="H2552" s="636" t="s">
        <v>8942</v>
      </c>
      <c r="I2552" s="636" t="s">
        <v>4559</v>
      </c>
      <c r="J2552" s="644" t="s">
        <v>642</v>
      </c>
      <c r="K2552" s="753">
        <v>1</v>
      </c>
      <c r="L2552" s="754">
        <v>3</v>
      </c>
      <c r="M2552" s="736">
        <v>13960.8</v>
      </c>
      <c r="N2552" s="744"/>
      <c r="O2552" s="739"/>
      <c r="P2552" s="739"/>
      <c r="Q2552" s="214"/>
    </row>
    <row r="2553" spans="1:17" ht="12" customHeight="1" x14ac:dyDescent="0.2">
      <c r="A2553" s="735" t="s">
        <v>7733</v>
      </c>
      <c r="B2553" s="735" t="s">
        <v>2170</v>
      </c>
      <c r="C2553" s="735" t="s">
        <v>451</v>
      </c>
      <c r="D2553" s="644" t="s">
        <v>5832</v>
      </c>
      <c r="E2553" s="736">
        <v>3500</v>
      </c>
      <c r="F2553" s="737" t="s">
        <v>8943</v>
      </c>
      <c r="G2553" s="636" t="s">
        <v>8944</v>
      </c>
      <c r="H2553" s="636" t="s">
        <v>3522</v>
      </c>
      <c r="I2553" s="636" t="s">
        <v>2346</v>
      </c>
      <c r="J2553" s="644" t="s">
        <v>643</v>
      </c>
      <c r="K2553" s="753">
        <v>1</v>
      </c>
      <c r="L2553" s="754">
        <v>1</v>
      </c>
      <c r="M2553" s="736">
        <v>5460.8</v>
      </c>
      <c r="N2553" s="744"/>
      <c r="O2553" s="739"/>
      <c r="P2553" s="739"/>
      <c r="Q2553" s="214"/>
    </row>
    <row r="2554" spans="1:17" ht="12" customHeight="1" x14ac:dyDescent="0.2">
      <c r="A2554" s="735" t="s">
        <v>7733</v>
      </c>
      <c r="B2554" s="735" t="s">
        <v>2170</v>
      </c>
      <c r="C2554" s="735" t="s">
        <v>451</v>
      </c>
      <c r="D2554" s="644" t="s">
        <v>7901</v>
      </c>
      <c r="E2554" s="736">
        <v>2500</v>
      </c>
      <c r="F2554" s="737" t="s">
        <v>8945</v>
      </c>
      <c r="G2554" s="636" t="s">
        <v>8946</v>
      </c>
      <c r="H2554" s="636"/>
      <c r="I2554" s="636"/>
      <c r="J2554" s="644" t="s">
        <v>643</v>
      </c>
      <c r="K2554" s="753">
        <v>12</v>
      </c>
      <c r="L2554" s="754">
        <v>12</v>
      </c>
      <c r="M2554" s="736">
        <v>31960.799999999999</v>
      </c>
      <c r="N2554" s="744"/>
      <c r="O2554" s="739"/>
      <c r="P2554" s="739"/>
      <c r="Q2554" s="214"/>
    </row>
    <row r="2555" spans="1:17" ht="12" customHeight="1" x14ac:dyDescent="0.2">
      <c r="A2555" s="735" t="s">
        <v>7733</v>
      </c>
      <c r="B2555" s="735" t="s">
        <v>2170</v>
      </c>
      <c r="C2555" s="735" t="s">
        <v>451</v>
      </c>
      <c r="D2555" s="644" t="s">
        <v>8360</v>
      </c>
      <c r="E2555" s="736">
        <v>3500</v>
      </c>
      <c r="F2555" s="737" t="s">
        <v>8947</v>
      </c>
      <c r="G2555" s="636" t="s">
        <v>8948</v>
      </c>
      <c r="H2555" s="636"/>
      <c r="I2555" s="636"/>
      <c r="J2555" s="644" t="s">
        <v>642</v>
      </c>
      <c r="K2555" s="753">
        <v>5</v>
      </c>
      <c r="L2555" s="754">
        <v>5</v>
      </c>
      <c r="M2555" s="736">
        <v>19460.8</v>
      </c>
      <c r="N2555" s="744"/>
      <c r="O2555" s="739"/>
      <c r="P2555" s="739"/>
      <c r="Q2555" s="214"/>
    </row>
    <row r="2556" spans="1:17" ht="12" customHeight="1" x14ac:dyDescent="0.2">
      <c r="A2556" s="735" t="s">
        <v>7733</v>
      </c>
      <c r="B2556" s="735" t="s">
        <v>2170</v>
      </c>
      <c r="C2556" s="735" t="s">
        <v>451</v>
      </c>
      <c r="D2556" s="644" t="s">
        <v>7746</v>
      </c>
      <c r="E2556" s="736">
        <v>2200</v>
      </c>
      <c r="F2556" s="737" t="s">
        <v>8949</v>
      </c>
      <c r="G2556" s="636" t="s">
        <v>8950</v>
      </c>
      <c r="H2556" s="636"/>
      <c r="I2556" s="636"/>
      <c r="J2556" s="644" t="s">
        <v>643</v>
      </c>
      <c r="K2556" s="753">
        <v>12</v>
      </c>
      <c r="L2556" s="754">
        <v>12</v>
      </c>
      <c r="M2556" s="736">
        <v>28360.799999999999</v>
      </c>
      <c r="N2556" s="744"/>
      <c r="O2556" s="739"/>
      <c r="P2556" s="739"/>
      <c r="Q2556" s="214"/>
    </row>
    <row r="2557" spans="1:17" ht="12" customHeight="1" x14ac:dyDescent="0.2">
      <c r="A2557" s="735" t="s">
        <v>7733</v>
      </c>
      <c r="B2557" s="735" t="s">
        <v>2170</v>
      </c>
      <c r="C2557" s="735" t="s">
        <v>451</v>
      </c>
      <c r="D2557" s="644" t="s">
        <v>7786</v>
      </c>
      <c r="E2557" s="736">
        <v>6000</v>
      </c>
      <c r="F2557" s="737" t="s">
        <v>8951</v>
      </c>
      <c r="G2557" s="636" t="s">
        <v>8952</v>
      </c>
      <c r="H2557" s="636" t="s">
        <v>7834</v>
      </c>
      <c r="I2557" s="636" t="s">
        <v>7835</v>
      </c>
      <c r="J2557" s="644" t="s">
        <v>642</v>
      </c>
      <c r="K2557" s="753">
        <v>5</v>
      </c>
      <c r="L2557" s="754">
        <v>12</v>
      </c>
      <c r="M2557" s="736">
        <v>73960.800000000003</v>
      </c>
      <c r="N2557" s="744"/>
      <c r="O2557" s="739"/>
      <c r="P2557" s="739"/>
      <c r="Q2557" s="214"/>
    </row>
    <row r="2558" spans="1:17" ht="12" customHeight="1" x14ac:dyDescent="0.2">
      <c r="A2558" s="735" t="s">
        <v>7733</v>
      </c>
      <c r="B2558" s="735" t="s">
        <v>2170</v>
      </c>
      <c r="C2558" s="735" t="s">
        <v>451</v>
      </c>
      <c r="D2558" s="644" t="s">
        <v>7800</v>
      </c>
      <c r="E2558" s="736">
        <v>3500</v>
      </c>
      <c r="F2558" s="737" t="s">
        <v>8953</v>
      </c>
      <c r="G2558" s="636" t="s">
        <v>8954</v>
      </c>
      <c r="H2558" s="636" t="s">
        <v>2228</v>
      </c>
      <c r="I2558" s="636" t="s">
        <v>2228</v>
      </c>
      <c r="J2558" s="644"/>
      <c r="K2558" s="753">
        <v>2</v>
      </c>
      <c r="L2558" s="754">
        <v>2</v>
      </c>
      <c r="M2558" s="736">
        <v>8960.7999999999993</v>
      </c>
      <c r="N2558" s="744"/>
      <c r="O2558" s="739"/>
      <c r="P2558" s="739"/>
      <c r="Q2558" s="214"/>
    </row>
    <row r="2559" spans="1:17" ht="12" customHeight="1" x14ac:dyDescent="0.2">
      <c r="A2559" s="735" t="s">
        <v>7733</v>
      </c>
      <c r="B2559" s="735" t="s">
        <v>2170</v>
      </c>
      <c r="C2559" s="735" t="s">
        <v>451</v>
      </c>
      <c r="D2559" s="644" t="s">
        <v>7868</v>
      </c>
      <c r="E2559" s="736">
        <v>4000</v>
      </c>
      <c r="F2559" s="737" t="s">
        <v>8955</v>
      </c>
      <c r="G2559" s="636" t="s">
        <v>8956</v>
      </c>
      <c r="H2559" s="636"/>
      <c r="I2559" s="636"/>
      <c r="J2559" s="644" t="s">
        <v>642</v>
      </c>
      <c r="K2559" s="753">
        <v>12</v>
      </c>
      <c r="L2559" s="754">
        <v>12</v>
      </c>
      <c r="M2559" s="736">
        <v>49960.800000000003</v>
      </c>
      <c r="N2559" s="744"/>
      <c r="O2559" s="739"/>
      <c r="P2559" s="739"/>
      <c r="Q2559" s="214"/>
    </row>
    <row r="2560" spans="1:17" ht="12" customHeight="1" x14ac:dyDescent="0.2">
      <c r="A2560" s="735" t="s">
        <v>7733</v>
      </c>
      <c r="B2560" s="735" t="s">
        <v>2170</v>
      </c>
      <c r="C2560" s="735" t="s">
        <v>451</v>
      </c>
      <c r="D2560" s="644" t="s">
        <v>7769</v>
      </c>
      <c r="E2560" s="736">
        <v>3000</v>
      </c>
      <c r="F2560" s="737" t="s">
        <v>8957</v>
      </c>
      <c r="G2560" s="636" t="s">
        <v>8958</v>
      </c>
      <c r="H2560" s="636" t="s">
        <v>8000</v>
      </c>
      <c r="I2560" s="636" t="s">
        <v>2766</v>
      </c>
      <c r="J2560" s="644" t="s">
        <v>642</v>
      </c>
      <c r="K2560" s="753">
        <v>6</v>
      </c>
      <c r="L2560" s="754">
        <v>12</v>
      </c>
      <c r="M2560" s="736">
        <v>37960.800000000003</v>
      </c>
      <c r="N2560" s="744"/>
      <c r="O2560" s="739"/>
      <c r="P2560" s="739"/>
      <c r="Q2560" s="214"/>
    </row>
    <row r="2561" spans="1:17" ht="12" customHeight="1" x14ac:dyDescent="0.2">
      <c r="A2561" s="735" t="s">
        <v>7733</v>
      </c>
      <c r="B2561" s="735" t="s">
        <v>2170</v>
      </c>
      <c r="C2561" s="735" t="s">
        <v>451</v>
      </c>
      <c r="D2561" s="644" t="s">
        <v>8959</v>
      </c>
      <c r="E2561" s="736">
        <v>6000</v>
      </c>
      <c r="F2561" s="737" t="s">
        <v>8960</v>
      </c>
      <c r="G2561" s="636" t="s">
        <v>8961</v>
      </c>
      <c r="H2561" s="636" t="s">
        <v>7752</v>
      </c>
      <c r="I2561" s="636" t="s">
        <v>2179</v>
      </c>
      <c r="J2561" s="644" t="s">
        <v>642</v>
      </c>
      <c r="K2561" s="753">
        <v>11</v>
      </c>
      <c r="L2561" s="754">
        <v>11</v>
      </c>
      <c r="M2561" s="736">
        <v>67960.800000000003</v>
      </c>
      <c r="N2561" s="744"/>
      <c r="O2561" s="739"/>
      <c r="P2561" s="739"/>
      <c r="Q2561" s="214"/>
    </row>
    <row r="2562" spans="1:17" ht="12" customHeight="1" x14ac:dyDescent="0.2">
      <c r="A2562" s="735" t="s">
        <v>7733</v>
      </c>
      <c r="B2562" s="735" t="s">
        <v>2170</v>
      </c>
      <c r="C2562" s="735" t="s">
        <v>451</v>
      </c>
      <c r="D2562" s="644" t="s">
        <v>7871</v>
      </c>
      <c r="E2562" s="736">
        <v>4000</v>
      </c>
      <c r="F2562" s="737" t="s">
        <v>8962</v>
      </c>
      <c r="G2562" s="636" t="s">
        <v>8963</v>
      </c>
      <c r="H2562" s="636" t="s">
        <v>7782</v>
      </c>
      <c r="I2562" s="636" t="s">
        <v>2208</v>
      </c>
      <c r="J2562" s="644" t="s">
        <v>642</v>
      </c>
      <c r="K2562" s="753">
        <v>1</v>
      </c>
      <c r="L2562" s="754">
        <v>1</v>
      </c>
      <c r="M2562" s="736">
        <v>5960.8</v>
      </c>
      <c r="N2562" s="744"/>
      <c r="O2562" s="739"/>
      <c r="P2562" s="739"/>
      <c r="Q2562" s="214"/>
    </row>
    <row r="2563" spans="1:17" ht="12" customHeight="1" x14ac:dyDescent="0.2">
      <c r="A2563" s="735" t="s">
        <v>7733</v>
      </c>
      <c r="B2563" s="735" t="s">
        <v>2170</v>
      </c>
      <c r="C2563" s="735" t="s">
        <v>451</v>
      </c>
      <c r="D2563" s="644" t="s">
        <v>8417</v>
      </c>
      <c r="E2563" s="736">
        <v>1000</v>
      </c>
      <c r="F2563" s="737" t="s">
        <v>8964</v>
      </c>
      <c r="G2563" s="636" t="s">
        <v>8965</v>
      </c>
      <c r="H2563" s="636"/>
      <c r="I2563" s="636"/>
      <c r="J2563" s="644" t="s">
        <v>644</v>
      </c>
      <c r="K2563" s="753">
        <v>12</v>
      </c>
      <c r="L2563" s="754">
        <v>12</v>
      </c>
      <c r="M2563" s="736">
        <v>13680</v>
      </c>
      <c r="N2563" s="744"/>
      <c r="O2563" s="739"/>
      <c r="P2563" s="739"/>
      <c r="Q2563" s="214"/>
    </row>
    <row r="2564" spans="1:17" ht="12" customHeight="1" x14ac:dyDescent="0.2">
      <c r="A2564" s="735" t="s">
        <v>7733</v>
      </c>
      <c r="B2564" s="735" t="s">
        <v>2170</v>
      </c>
      <c r="C2564" s="735" t="s">
        <v>451</v>
      </c>
      <c r="D2564" s="644" t="s">
        <v>8966</v>
      </c>
      <c r="E2564" s="736">
        <v>2400</v>
      </c>
      <c r="F2564" s="737" t="s">
        <v>8967</v>
      </c>
      <c r="G2564" s="636" t="s">
        <v>8968</v>
      </c>
      <c r="H2564" s="636" t="s">
        <v>8969</v>
      </c>
      <c r="I2564" s="636" t="s">
        <v>7782</v>
      </c>
      <c r="J2564" s="644" t="s">
        <v>643</v>
      </c>
      <c r="K2564" s="753">
        <v>12</v>
      </c>
      <c r="L2564" s="754">
        <v>12</v>
      </c>
      <c r="M2564" s="736">
        <v>30760.799999999999</v>
      </c>
      <c r="N2564" s="744"/>
      <c r="O2564" s="739"/>
      <c r="P2564" s="739"/>
      <c r="Q2564" s="214"/>
    </row>
    <row r="2565" spans="1:17" ht="12" customHeight="1" x14ac:dyDescent="0.2">
      <c r="A2565" s="735" t="s">
        <v>7733</v>
      </c>
      <c r="B2565" s="735" t="s">
        <v>2170</v>
      </c>
      <c r="C2565" s="735" t="s">
        <v>451</v>
      </c>
      <c r="D2565" s="644" t="s">
        <v>8301</v>
      </c>
      <c r="E2565" s="736">
        <v>1600</v>
      </c>
      <c r="F2565" s="737" t="s">
        <v>8970</v>
      </c>
      <c r="G2565" s="636" t="s">
        <v>8971</v>
      </c>
      <c r="H2565" s="636" t="s">
        <v>3522</v>
      </c>
      <c r="I2565" s="636" t="s">
        <v>7874</v>
      </c>
      <c r="J2565" s="644" t="s">
        <v>643</v>
      </c>
      <c r="K2565" s="753">
        <v>12</v>
      </c>
      <c r="L2565" s="754">
        <v>12</v>
      </c>
      <c r="M2565" s="736">
        <v>21528</v>
      </c>
      <c r="N2565" s="744"/>
      <c r="O2565" s="739"/>
      <c r="P2565" s="739"/>
      <c r="Q2565" s="214"/>
    </row>
    <row r="2566" spans="1:17" ht="12" customHeight="1" x14ac:dyDescent="0.2">
      <c r="A2566" s="735" t="s">
        <v>7733</v>
      </c>
      <c r="B2566" s="735" t="s">
        <v>2170</v>
      </c>
      <c r="C2566" s="735" t="s">
        <v>451</v>
      </c>
      <c r="D2566" s="644" t="s">
        <v>8007</v>
      </c>
      <c r="E2566" s="736">
        <v>4000</v>
      </c>
      <c r="F2566" s="737" t="s">
        <v>8972</v>
      </c>
      <c r="G2566" s="636" t="s">
        <v>8973</v>
      </c>
      <c r="H2566" s="636"/>
      <c r="I2566" s="636"/>
      <c r="J2566" s="644" t="s">
        <v>642</v>
      </c>
      <c r="K2566" s="753">
        <v>11</v>
      </c>
      <c r="L2566" s="754">
        <v>12</v>
      </c>
      <c r="M2566" s="736">
        <v>49960.800000000003</v>
      </c>
      <c r="N2566" s="744"/>
      <c r="O2566" s="739"/>
      <c r="P2566" s="739"/>
      <c r="Q2566" s="214"/>
    </row>
    <row r="2567" spans="1:17" ht="12" customHeight="1" x14ac:dyDescent="0.2">
      <c r="A2567" s="735" t="s">
        <v>7733</v>
      </c>
      <c r="B2567" s="735" t="s">
        <v>2170</v>
      </c>
      <c r="C2567" s="735" t="s">
        <v>451</v>
      </c>
      <c r="D2567" s="644" t="s">
        <v>8367</v>
      </c>
      <c r="E2567" s="736">
        <v>2300</v>
      </c>
      <c r="F2567" s="737" t="s">
        <v>8974</v>
      </c>
      <c r="G2567" s="636" t="s">
        <v>8975</v>
      </c>
      <c r="H2567" s="636" t="s">
        <v>6613</v>
      </c>
      <c r="I2567" s="636" t="s">
        <v>2745</v>
      </c>
      <c r="J2567" s="644" t="s">
        <v>643</v>
      </c>
      <c r="K2567" s="753">
        <v>5</v>
      </c>
      <c r="L2567" s="754">
        <v>12</v>
      </c>
      <c r="M2567" s="736">
        <v>29560.799999999999</v>
      </c>
      <c r="N2567" s="744"/>
      <c r="O2567" s="739"/>
      <c r="P2567" s="739"/>
      <c r="Q2567" s="214"/>
    </row>
    <row r="2568" spans="1:17" ht="12" customHeight="1" x14ac:dyDescent="0.2">
      <c r="A2568" s="735" t="s">
        <v>7733</v>
      </c>
      <c r="B2568" s="735" t="s">
        <v>2170</v>
      </c>
      <c r="C2568" s="735" t="s">
        <v>451</v>
      </c>
      <c r="D2568" s="644" t="s">
        <v>7746</v>
      </c>
      <c r="E2568" s="736">
        <v>2200</v>
      </c>
      <c r="F2568" s="737" t="s">
        <v>8976</v>
      </c>
      <c r="G2568" s="636" t="s">
        <v>8977</v>
      </c>
      <c r="H2568" s="636"/>
      <c r="I2568" s="636"/>
      <c r="J2568" s="644" t="s">
        <v>643</v>
      </c>
      <c r="K2568" s="753">
        <v>1</v>
      </c>
      <c r="L2568" s="754">
        <v>2</v>
      </c>
      <c r="M2568" s="736">
        <v>6360.8</v>
      </c>
      <c r="N2568" s="744"/>
      <c r="O2568" s="739"/>
      <c r="P2568" s="739"/>
      <c r="Q2568" s="214"/>
    </row>
    <row r="2569" spans="1:17" ht="12" customHeight="1" x14ac:dyDescent="0.2">
      <c r="A2569" s="735" t="s">
        <v>7733</v>
      </c>
      <c r="B2569" s="735" t="s">
        <v>2170</v>
      </c>
      <c r="C2569" s="735" t="s">
        <v>451</v>
      </c>
      <c r="D2569" s="644" t="s">
        <v>8978</v>
      </c>
      <c r="E2569" s="736">
        <v>4000</v>
      </c>
      <c r="F2569" s="737" t="s">
        <v>8979</v>
      </c>
      <c r="G2569" s="636" t="s">
        <v>8980</v>
      </c>
      <c r="H2569" s="636" t="s">
        <v>7152</v>
      </c>
      <c r="I2569" s="636" t="s">
        <v>4884</v>
      </c>
      <c r="J2569" s="644" t="s">
        <v>642</v>
      </c>
      <c r="K2569" s="753">
        <v>12</v>
      </c>
      <c r="L2569" s="754">
        <v>12</v>
      </c>
      <c r="M2569" s="736">
        <v>49960.800000000003</v>
      </c>
      <c r="N2569" s="744"/>
      <c r="O2569" s="739"/>
      <c r="P2569" s="739"/>
      <c r="Q2569" s="214"/>
    </row>
    <row r="2570" spans="1:17" ht="12" customHeight="1" x14ac:dyDescent="0.2">
      <c r="A2570" s="735" t="s">
        <v>7733</v>
      </c>
      <c r="B2570" s="735" t="s">
        <v>2170</v>
      </c>
      <c r="C2570" s="735" t="s">
        <v>451</v>
      </c>
      <c r="D2570" s="644" t="s">
        <v>8041</v>
      </c>
      <c r="E2570" s="736">
        <v>2000</v>
      </c>
      <c r="F2570" s="737" t="s">
        <v>8981</v>
      </c>
      <c r="G2570" s="636" t="s">
        <v>8982</v>
      </c>
      <c r="H2570" s="636"/>
      <c r="I2570" s="636"/>
      <c r="J2570" s="644" t="s">
        <v>644</v>
      </c>
      <c r="K2570" s="753">
        <v>12</v>
      </c>
      <c r="L2570" s="754">
        <v>12</v>
      </c>
      <c r="M2570" s="736">
        <v>25960.799999999999</v>
      </c>
      <c r="N2570" s="744"/>
      <c r="O2570" s="739"/>
      <c r="P2570" s="739"/>
      <c r="Q2570" s="214"/>
    </row>
    <row r="2571" spans="1:17" ht="12" customHeight="1" x14ac:dyDescent="0.2">
      <c r="A2571" s="735" t="s">
        <v>7733</v>
      </c>
      <c r="B2571" s="735" t="s">
        <v>2170</v>
      </c>
      <c r="C2571" s="735" t="s">
        <v>451</v>
      </c>
      <c r="D2571" s="644" t="s">
        <v>6271</v>
      </c>
      <c r="E2571" s="736">
        <v>9000</v>
      </c>
      <c r="F2571" s="737" t="s">
        <v>8983</v>
      </c>
      <c r="G2571" s="636" t="s">
        <v>8984</v>
      </c>
      <c r="H2571" s="636" t="s">
        <v>2228</v>
      </c>
      <c r="I2571" s="636" t="s">
        <v>2228</v>
      </c>
      <c r="J2571" s="644"/>
      <c r="K2571" s="753">
        <v>1</v>
      </c>
      <c r="L2571" s="754">
        <v>1</v>
      </c>
      <c r="M2571" s="736">
        <v>10960.8</v>
      </c>
      <c r="N2571" s="744"/>
      <c r="O2571" s="739"/>
      <c r="P2571" s="739"/>
      <c r="Q2571" s="214"/>
    </row>
    <row r="2572" spans="1:17" ht="12" customHeight="1" x14ac:dyDescent="0.2">
      <c r="A2572" s="735" t="s">
        <v>7733</v>
      </c>
      <c r="B2572" s="735" t="s">
        <v>2170</v>
      </c>
      <c r="C2572" s="735" t="s">
        <v>451</v>
      </c>
      <c r="D2572" s="644" t="s">
        <v>8007</v>
      </c>
      <c r="E2572" s="736">
        <v>4000</v>
      </c>
      <c r="F2572" s="737" t="s">
        <v>8985</v>
      </c>
      <c r="G2572" s="636" t="s">
        <v>8986</v>
      </c>
      <c r="H2572" s="636"/>
      <c r="I2572" s="636"/>
      <c r="J2572" s="644" t="s">
        <v>642</v>
      </c>
      <c r="K2572" s="753">
        <v>12</v>
      </c>
      <c r="L2572" s="754">
        <v>12</v>
      </c>
      <c r="M2572" s="736">
        <v>49960.800000000003</v>
      </c>
      <c r="N2572" s="744"/>
      <c r="O2572" s="739"/>
      <c r="P2572" s="739"/>
      <c r="Q2572" s="214"/>
    </row>
    <row r="2573" spans="1:17" ht="12" customHeight="1" x14ac:dyDescent="0.2">
      <c r="A2573" s="735" t="s">
        <v>7733</v>
      </c>
      <c r="B2573" s="735" t="s">
        <v>2170</v>
      </c>
      <c r="C2573" s="735" t="s">
        <v>451</v>
      </c>
      <c r="D2573" s="644" t="s">
        <v>8554</v>
      </c>
      <c r="E2573" s="736">
        <v>3000</v>
      </c>
      <c r="F2573" s="737" t="s">
        <v>8987</v>
      </c>
      <c r="G2573" s="636" t="s">
        <v>8988</v>
      </c>
      <c r="H2573" s="636" t="s">
        <v>2228</v>
      </c>
      <c r="I2573" s="636" t="s">
        <v>2228</v>
      </c>
      <c r="J2573" s="644"/>
      <c r="K2573" s="753">
        <v>6</v>
      </c>
      <c r="L2573" s="754">
        <v>6</v>
      </c>
      <c r="M2573" s="736">
        <v>19960.8</v>
      </c>
      <c r="N2573" s="744"/>
      <c r="O2573" s="739"/>
      <c r="P2573" s="739"/>
      <c r="Q2573" s="214"/>
    </row>
    <row r="2574" spans="1:17" ht="12" customHeight="1" x14ac:dyDescent="0.2">
      <c r="A2574" s="735" t="s">
        <v>7733</v>
      </c>
      <c r="B2574" s="735" t="s">
        <v>2170</v>
      </c>
      <c r="C2574" s="735" t="s">
        <v>451</v>
      </c>
      <c r="D2574" s="644" t="s">
        <v>2261</v>
      </c>
      <c r="E2574" s="736">
        <v>2500</v>
      </c>
      <c r="F2574" s="737" t="s">
        <v>8989</v>
      </c>
      <c r="G2574" s="636" t="s">
        <v>8990</v>
      </c>
      <c r="H2574" s="636"/>
      <c r="I2574" s="636"/>
      <c r="J2574" s="644" t="s">
        <v>643</v>
      </c>
      <c r="K2574" s="753">
        <v>5</v>
      </c>
      <c r="L2574" s="754">
        <v>12</v>
      </c>
      <c r="M2574" s="736">
        <v>31960.799999999999</v>
      </c>
      <c r="N2574" s="744"/>
      <c r="O2574" s="739"/>
      <c r="P2574" s="739"/>
      <c r="Q2574" s="214"/>
    </row>
    <row r="2575" spans="1:17" ht="12" customHeight="1" x14ac:dyDescent="0.2">
      <c r="A2575" s="735" t="s">
        <v>7733</v>
      </c>
      <c r="B2575" s="735" t="s">
        <v>2170</v>
      </c>
      <c r="C2575" s="735" t="s">
        <v>451</v>
      </c>
      <c r="D2575" s="644" t="s">
        <v>2179</v>
      </c>
      <c r="E2575" s="736">
        <v>3000</v>
      </c>
      <c r="F2575" s="737" t="s">
        <v>8991</v>
      </c>
      <c r="G2575" s="636" t="s">
        <v>8992</v>
      </c>
      <c r="H2575" s="636" t="s">
        <v>6571</v>
      </c>
      <c r="I2575" s="636" t="s">
        <v>2179</v>
      </c>
      <c r="J2575" s="644" t="s">
        <v>642</v>
      </c>
      <c r="K2575" s="753">
        <v>12</v>
      </c>
      <c r="L2575" s="754">
        <v>12</v>
      </c>
      <c r="M2575" s="736">
        <v>37960.800000000003</v>
      </c>
      <c r="N2575" s="744"/>
      <c r="O2575" s="739"/>
      <c r="P2575" s="739"/>
      <c r="Q2575" s="214"/>
    </row>
    <row r="2576" spans="1:17" ht="12" customHeight="1" x14ac:dyDescent="0.2">
      <c r="A2576" s="735" t="s">
        <v>7733</v>
      </c>
      <c r="B2576" s="735" t="s">
        <v>2170</v>
      </c>
      <c r="C2576" s="735" t="s">
        <v>451</v>
      </c>
      <c r="D2576" s="644" t="s">
        <v>7746</v>
      </c>
      <c r="E2576" s="736">
        <v>1700</v>
      </c>
      <c r="F2576" s="737" t="s">
        <v>8993</v>
      </c>
      <c r="G2576" s="636" t="s">
        <v>8994</v>
      </c>
      <c r="H2576" s="636"/>
      <c r="I2576" s="636"/>
      <c r="J2576" s="644" t="s">
        <v>643</v>
      </c>
      <c r="K2576" s="753">
        <v>1</v>
      </c>
      <c r="L2576" s="754">
        <v>12</v>
      </c>
      <c r="M2576" s="736">
        <v>22836</v>
      </c>
      <c r="N2576" s="744"/>
      <c r="O2576" s="739"/>
      <c r="P2576" s="739"/>
      <c r="Q2576" s="214"/>
    </row>
    <row r="2577" spans="1:17" ht="12" customHeight="1" x14ac:dyDescent="0.2">
      <c r="A2577" s="735" t="s">
        <v>7733</v>
      </c>
      <c r="B2577" s="735" t="s">
        <v>2170</v>
      </c>
      <c r="C2577" s="735" t="s">
        <v>451</v>
      </c>
      <c r="D2577" s="644" t="s">
        <v>8995</v>
      </c>
      <c r="E2577" s="736">
        <v>4000</v>
      </c>
      <c r="F2577" s="737" t="s">
        <v>8996</v>
      </c>
      <c r="G2577" s="636" t="s">
        <v>8997</v>
      </c>
      <c r="H2577" s="636" t="s">
        <v>6571</v>
      </c>
      <c r="I2577" s="636" t="s">
        <v>2179</v>
      </c>
      <c r="J2577" s="644" t="s">
        <v>642</v>
      </c>
      <c r="K2577" s="753">
        <v>1</v>
      </c>
      <c r="L2577" s="754">
        <v>3</v>
      </c>
      <c r="M2577" s="736">
        <v>13960.8</v>
      </c>
      <c r="N2577" s="744"/>
      <c r="O2577" s="739"/>
      <c r="P2577" s="739"/>
      <c r="Q2577" s="214"/>
    </row>
    <row r="2578" spans="1:17" ht="12" customHeight="1" x14ac:dyDescent="0.2">
      <c r="A2578" s="735" t="s">
        <v>7733</v>
      </c>
      <c r="B2578" s="735" t="s">
        <v>2170</v>
      </c>
      <c r="C2578" s="735" t="s">
        <v>451</v>
      </c>
      <c r="D2578" s="644" t="s">
        <v>8998</v>
      </c>
      <c r="E2578" s="736">
        <v>4500</v>
      </c>
      <c r="F2578" s="737" t="s">
        <v>8999</v>
      </c>
      <c r="G2578" s="636" t="s">
        <v>9000</v>
      </c>
      <c r="H2578" s="636" t="s">
        <v>7752</v>
      </c>
      <c r="I2578" s="636" t="s">
        <v>2179</v>
      </c>
      <c r="J2578" s="644" t="s">
        <v>642</v>
      </c>
      <c r="K2578" s="753">
        <v>5</v>
      </c>
      <c r="L2578" s="754">
        <v>12</v>
      </c>
      <c r="M2578" s="736">
        <v>55960.800000000003</v>
      </c>
      <c r="N2578" s="744"/>
      <c r="O2578" s="739"/>
      <c r="P2578" s="739"/>
      <c r="Q2578" s="214"/>
    </row>
    <row r="2579" spans="1:17" ht="12" customHeight="1" x14ac:dyDescent="0.2">
      <c r="A2579" s="735" t="s">
        <v>7733</v>
      </c>
      <c r="B2579" s="735" t="s">
        <v>2170</v>
      </c>
      <c r="C2579" s="735" t="s">
        <v>451</v>
      </c>
      <c r="D2579" s="644" t="s">
        <v>8995</v>
      </c>
      <c r="E2579" s="736">
        <v>4000</v>
      </c>
      <c r="F2579" s="737" t="s">
        <v>9001</v>
      </c>
      <c r="G2579" s="636" t="s">
        <v>9002</v>
      </c>
      <c r="H2579" s="636" t="s">
        <v>7834</v>
      </c>
      <c r="I2579" s="636" t="s">
        <v>7835</v>
      </c>
      <c r="J2579" s="644" t="s">
        <v>642</v>
      </c>
      <c r="K2579" s="753">
        <v>10</v>
      </c>
      <c r="L2579" s="754">
        <v>10</v>
      </c>
      <c r="M2579" s="736">
        <v>41960.800000000003</v>
      </c>
      <c r="N2579" s="744"/>
      <c r="O2579" s="739"/>
      <c r="P2579" s="739"/>
      <c r="Q2579" s="214"/>
    </row>
    <row r="2580" spans="1:17" ht="12" customHeight="1" x14ac:dyDescent="0.2">
      <c r="A2580" s="735" t="s">
        <v>7733</v>
      </c>
      <c r="B2580" s="735" t="s">
        <v>2170</v>
      </c>
      <c r="C2580" s="735" t="s">
        <v>451</v>
      </c>
      <c r="D2580" s="644" t="s">
        <v>2560</v>
      </c>
      <c r="E2580" s="736">
        <v>2500</v>
      </c>
      <c r="F2580" s="737" t="s">
        <v>9003</v>
      </c>
      <c r="G2580" s="636" t="s">
        <v>9004</v>
      </c>
      <c r="H2580" s="636" t="s">
        <v>8089</v>
      </c>
      <c r="I2580" s="636" t="s">
        <v>8089</v>
      </c>
      <c r="J2580" s="644" t="s">
        <v>643</v>
      </c>
      <c r="K2580" s="753">
        <v>5</v>
      </c>
      <c r="L2580" s="754">
        <v>12</v>
      </c>
      <c r="M2580" s="736">
        <v>31960.799999999999</v>
      </c>
      <c r="N2580" s="744"/>
      <c r="O2580" s="739"/>
      <c r="P2580" s="739"/>
      <c r="Q2580" s="214"/>
    </row>
    <row r="2581" spans="1:17" ht="12" customHeight="1" x14ac:dyDescent="0.2">
      <c r="A2581" s="735" t="s">
        <v>7733</v>
      </c>
      <c r="B2581" s="735" t="s">
        <v>2170</v>
      </c>
      <c r="C2581" s="735" t="s">
        <v>451</v>
      </c>
      <c r="D2581" s="644" t="s">
        <v>9005</v>
      </c>
      <c r="E2581" s="736">
        <v>3500</v>
      </c>
      <c r="F2581" s="737" t="s">
        <v>9006</v>
      </c>
      <c r="G2581" s="636" t="s">
        <v>9007</v>
      </c>
      <c r="H2581" s="636"/>
      <c r="I2581" s="636"/>
      <c r="J2581" s="644" t="s">
        <v>644</v>
      </c>
      <c r="K2581" s="753">
        <v>2</v>
      </c>
      <c r="L2581" s="754">
        <v>5</v>
      </c>
      <c r="M2581" s="736">
        <v>19460.8</v>
      </c>
      <c r="N2581" s="744"/>
      <c r="O2581" s="739"/>
      <c r="P2581" s="739"/>
      <c r="Q2581" s="214"/>
    </row>
    <row r="2582" spans="1:17" ht="12" customHeight="1" x14ac:dyDescent="0.2">
      <c r="A2582" s="735" t="s">
        <v>7733</v>
      </c>
      <c r="B2582" s="735" t="s">
        <v>2170</v>
      </c>
      <c r="C2582" s="735" t="s">
        <v>451</v>
      </c>
      <c r="D2582" s="644" t="s">
        <v>8995</v>
      </c>
      <c r="E2582" s="736">
        <v>4000</v>
      </c>
      <c r="F2582" s="737" t="s">
        <v>9008</v>
      </c>
      <c r="G2582" s="636" t="s">
        <v>9009</v>
      </c>
      <c r="H2582" s="636" t="s">
        <v>6571</v>
      </c>
      <c r="I2582" s="636" t="s">
        <v>2179</v>
      </c>
      <c r="J2582" s="644" t="s">
        <v>642</v>
      </c>
      <c r="K2582" s="753">
        <v>12</v>
      </c>
      <c r="L2582" s="754">
        <v>12</v>
      </c>
      <c r="M2582" s="736">
        <v>49960.800000000003</v>
      </c>
      <c r="N2582" s="744"/>
      <c r="O2582" s="739"/>
      <c r="P2582" s="739"/>
      <c r="Q2582" s="214"/>
    </row>
    <row r="2583" spans="1:17" ht="12" customHeight="1" x14ac:dyDescent="0.2">
      <c r="A2583" s="735" t="s">
        <v>7733</v>
      </c>
      <c r="B2583" s="735" t="s">
        <v>2170</v>
      </c>
      <c r="C2583" s="735" t="s">
        <v>451</v>
      </c>
      <c r="D2583" s="644" t="s">
        <v>8268</v>
      </c>
      <c r="E2583" s="736">
        <v>2200</v>
      </c>
      <c r="F2583" s="737" t="s">
        <v>9010</v>
      </c>
      <c r="G2583" s="636" t="s">
        <v>9011</v>
      </c>
      <c r="H2583" s="636"/>
      <c r="I2583" s="636"/>
      <c r="J2583" s="644" t="s">
        <v>643</v>
      </c>
      <c r="K2583" s="753">
        <v>1</v>
      </c>
      <c r="L2583" s="754">
        <v>2</v>
      </c>
      <c r="M2583" s="736">
        <v>6360.8</v>
      </c>
      <c r="N2583" s="744"/>
      <c r="O2583" s="739"/>
      <c r="P2583" s="739"/>
      <c r="Q2583" s="214"/>
    </row>
    <row r="2584" spans="1:17" ht="12" customHeight="1" x14ac:dyDescent="0.2">
      <c r="A2584" s="735" t="s">
        <v>7733</v>
      </c>
      <c r="B2584" s="735" t="s">
        <v>2170</v>
      </c>
      <c r="C2584" s="735" t="s">
        <v>451</v>
      </c>
      <c r="D2584" s="644" t="s">
        <v>2788</v>
      </c>
      <c r="E2584" s="736">
        <v>1800</v>
      </c>
      <c r="F2584" s="737" t="s">
        <v>9012</v>
      </c>
      <c r="G2584" s="636" t="s">
        <v>9013</v>
      </c>
      <c r="H2584" s="636" t="s">
        <v>6571</v>
      </c>
      <c r="I2584" s="636" t="s">
        <v>4559</v>
      </c>
      <c r="J2584" s="644" t="s">
        <v>643</v>
      </c>
      <c r="K2584" s="753">
        <v>1</v>
      </c>
      <c r="L2584" s="754">
        <v>3</v>
      </c>
      <c r="M2584" s="736">
        <v>7944</v>
      </c>
      <c r="N2584" s="744"/>
      <c r="O2584" s="739"/>
      <c r="P2584" s="739"/>
      <c r="Q2584" s="214"/>
    </row>
    <row r="2585" spans="1:17" ht="12" customHeight="1" x14ac:dyDescent="0.2">
      <c r="A2585" s="735" t="s">
        <v>7733</v>
      </c>
      <c r="B2585" s="735" t="s">
        <v>2170</v>
      </c>
      <c r="C2585" s="735" t="s">
        <v>451</v>
      </c>
      <c r="D2585" s="644" t="s">
        <v>9014</v>
      </c>
      <c r="E2585" s="736">
        <v>3950</v>
      </c>
      <c r="F2585" s="737" t="s">
        <v>9015</v>
      </c>
      <c r="G2585" s="636" t="s">
        <v>9016</v>
      </c>
      <c r="H2585" s="636" t="s">
        <v>9017</v>
      </c>
      <c r="I2585" s="636" t="s">
        <v>7858</v>
      </c>
      <c r="J2585" s="644" t="s">
        <v>643</v>
      </c>
      <c r="K2585" s="753">
        <v>1</v>
      </c>
      <c r="L2585" s="754">
        <v>12</v>
      </c>
      <c r="M2585" s="736">
        <v>49360.800000000003</v>
      </c>
      <c r="N2585" s="744"/>
      <c r="O2585" s="739"/>
      <c r="P2585" s="739"/>
      <c r="Q2585" s="214"/>
    </row>
    <row r="2586" spans="1:17" ht="12" customHeight="1" x14ac:dyDescent="0.2">
      <c r="A2586" s="735" t="s">
        <v>7733</v>
      </c>
      <c r="B2586" s="735" t="s">
        <v>2170</v>
      </c>
      <c r="C2586" s="735" t="s">
        <v>451</v>
      </c>
      <c r="D2586" s="644" t="s">
        <v>7746</v>
      </c>
      <c r="E2586" s="736">
        <v>1700</v>
      </c>
      <c r="F2586" s="737" t="s">
        <v>9018</v>
      </c>
      <c r="G2586" s="636" t="s">
        <v>9019</v>
      </c>
      <c r="H2586" s="636"/>
      <c r="I2586" s="636"/>
      <c r="J2586" s="644" t="s">
        <v>643</v>
      </c>
      <c r="K2586" s="753">
        <v>12</v>
      </c>
      <c r="L2586" s="754">
        <v>12</v>
      </c>
      <c r="M2586" s="736">
        <v>22836</v>
      </c>
      <c r="N2586" s="744"/>
      <c r="O2586" s="739"/>
      <c r="P2586" s="739"/>
      <c r="Q2586" s="214"/>
    </row>
    <row r="2587" spans="1:17" ht="12" customHeight="1" x14ac:dyDescent="0.2">
      <c r="A2587" s="735" t="s">
        <v>7733</v>
      </c>
      <c r="B2587" s="735" t="s">
        <v>2170</v>
      </c>
      <c r="C2587" s="735" t="s">
        <v>451</v>
      </c>
      <c r="D2587" s="644" t="s">
        <v>9020</v>
      </c>
      <c r="E2587" s="736">
        <v>4000</v>
      </c>
      <c r="F2587" s="737" t="s">
        <v>9021</v>
      </c>
      <c r="G2587" s="636" t="s">
        <v>9022</v>
      </c>
      <c r="H2587" s="636" t="s">
        <v>3754</v>
      </c>
      <c r="I2587" s="636" t="s">
        <v>3754</v>
      </c>
      <c r="J2587" s="644" t="s">
        <v>642</v>
      </c>
      <c r="K2587" s="753">
        <v>3</v>
      </c>
      <c r="L2587" s="754">
        <v>9</v>
      </c>
      <c r="M2587" s="736">
        <v>37960.800000000003</v>
      </c>
      <c r="N2587" s="744"/>
      <c r="O2587" s="739"/>
      <c r="P2587" s="739"/>
      <c r="Q2587" s="214"/>
    </row>
    <row r="2588" spans="1:17" ht="12" customHeight="1" x14ac:dyDescent="0.2">
      <c r="A2588" s="735" t="s">
        <v>7733</v>
      </c>
      <c r="B2588" s="735" t="s">
        <v>2170</v>
      </c>
      <c r="C2588" s="735" t="s">
        <v>451</v>
      </c>
      <c r="D2588" s="644" t="s">
        <v>7868</v>
      </c>
      <c r="E2588" s="736">
        <v>4000</v>
      </c>
      <c r="F2588" s="737" t="s">
        <v>9023</v>
      </c>
      <c r="G2588" s="636" t="s">
        <v>9024</v>
      </c>
      <c r="H2588" s="636" t="s">
        <v>7752</v>
      </c>
      <c r="I2588" s="636" t="s">
        <v>2179</v>
      </c>
      <c r="J2588" s="644" t="s">
        <v>642</v>
      </c>
      <c r="K2588" s="753">
        <v>12</v>
      </c>
      <c r="L2588" s="754">
        <v>12</v>
      </c>
      <c r="M2588" s="736">
        <v>49960.800000000003</v>
      </c>
      <c r="N2588" s="744"/>
      <c r="O2588" s="739"/>
      <c r="P2588" s="739"/>
      <c r="Q2588" s="214"/>
    </row>
    <row r="2589" spans="1:17" ht="12" customHeight="1" x14ac:dyDescent="0.2">
      <c r="A2589" s="735" t="s">
        <v>7733</v>
      </c>
      <c r="B2589" s="735" t="s">
        <v>2170</v>
      </c>
      <c r="C2589" s="735" t="s">
        <v>451</v>
      </c>
      <c r="D2589" s="644" t="s">
        <v>9025</v>
      </c>
      <c r="E2589" s="736">
        <v>1500</v>
      </c>
      <c r="F2589" s="737" t="s">
        <v>9026</v>
      </c>
      <c r="G2589" s="636" t="s">
        <v>9027</v>
      </c>
      <c r="H2589" s="636" t="s">
        <v>7858</v>
      </c>
      <c r="I2589" s="636" t="s">
        <v>7859</v>
      </c>
      <c r="J2589" s="644" t="s">
        <v>644</v>
      </c>
      <c r="K2589" s="753">
        <v>12</v>
      </c>
      <c r="L2589" s="754">
        <v>12</v>
      </c>
      <c r="M2589" s="736">
        <v>20220</v>
      </c>
      <c r="N2589" s="744"/>
      <c r="O2589" s="739"/>
      <c r="P2589" s="739"/>
      <c r="Q2589" s="214"/>
    </row>
    <row r="2590" spans="1:17" ht="12" customHeight="1" x14ac:dyDescent="0.2">
      <c r="A2590" s="735" t="s">
        <v>7733</v>
      </c>
      <c r="B2590" s="735" t="s">
        <v>2170</v>
      </c>
      <c r="C2590" s="735" t="s">
        <v>451</v>
      </c>
      <c r="D2590" s="644" t="s">
        <v>6271</v>
      </c>
      <c r="E2590" s="736">
        <v>8000</v>
      </c>
      <c r="F2590" s="737" t="s">
        <v>9028</v>
      </c>
      <c r="G2590" s="636" t="s">
        <v>9029</v>
      </c>
      <c r="H2590" s="636" t="s">
        <v>6571</v>
      </c>
      <c r="I2590" s="636" t="s">
        <v>2179</v>
      </c>
      <c r="J2590" s="644" t="s">
        <v>642</v>
      </c>
      <c r="K2590" s="753">
        <v>1</v>
      </c>
      <c r="L2590" s="754">
        <v>1</v>
      </c>
      <c r="M2590" s="736">
        <v>9960.7999999999993</v>
      </c>
      <c r="N2590" s="744"/>
      <c r="O2590" s="739"/>
      <c r="P2590" s="739"/>
      <c r="Q2590" s="214"/>
    </row>
    <row r="2591" spans="1:17" ht="12" customHeight="1" x14ac:dyDescent="0.2">
      <c r="A2591" s="735" t="s">
        <v>7733</v>
      </c>
      <c r="B2591" s="735" t="s">
        <v>2170</v>
      </c>
      <c r="C2591" s="735" t="s">
        <v>451</v>
      </c>
      <c r="D2591" s="644" t="s">
        <v>9030</v>
      </c>
      <c r="E2591" s="736">
        <v>2500</v>
      </c>
      <c r="F2591" s="737" t="s">
        <v>9031</v>
      </c>
      <c r="G2591" s="636" t="s">
        <v>9032</v>
      </c>
      <c r="H2591" s="636" t="s">
        <v>7854</v>
      </c>
      <c r="I2591" s="636" t="s">
        <v>9033</v>
      </c>
      <c r="J2591" s="644" t="s">
        <v>644</v>
      </c>
      <c r="K2591" s="753">
        <v>5</v>
      </c>
      <c r="L2591" s="754">
        <v>12</v>
      </c>
      <c r="M2591" s="736">
        <v>31960.799999999999</v>
      </c>
      <c r="N2591" s="744"/>
      <c r="O2591" s="739"/>
      <c r="P2591" s="739"/>
      <c r="Q2591" s="214"/>
    </row>
    <row r="2592" spans="1:17" ht="12" customHeight="1" x14ac:dyDescent="0.2">
      <c r="A2592" s="735" t="s">
        <v>7733</v>
      </c>
      <c r="B2592" s="735" t="s">
        <v>2170</v>
      </c>
      <c r="C2592" s="735" t="s">
        <v>451</v>
      </c>
      <c r="D2592" s="644" t="s">
        <v>9034</v>
      </c>
      <c r="E2592" s="736">
        <v>1800</v>
      </c>
      <c r="F2592" s="737" t="s">
        <v>9035</v>
      </c>
      <c r="G2592" s="636" t="s">
        <v>9036</v>
      </c>
      <c r="H2592" s="636"/>
      <c r="I2592" s="636"/>
      <c r="J2592" s="644" t="s">
        <v>644</v>
      </c>
      <c r="K2592" s="753">
        <v>5</v>
      </c>
      <c r="L2592" s="754">
        <v>12</v>
      </c>
      <c r="M2592" s="736">
        <v>24144</v>
      </c>
      <c r="N2592" s="744"/>
      <c r="O2592" s="739"/>
      <c r="P2592" s="739"/>
      <c r="Q2592" s="214"/>
    </row>
    <row r="2593" spans="1:17" ht="12" customHeight="1" x14ac:dyDescent="0.2">
      <c r="A2593" s="735" t="s">
        <v>7733</v>
      </c>
      <c r="B2593" s="735" t="s">
        <v>2170</v>
      </c>
      <c r="C2593" s="735" t="s">
        <v>451</v>
      </c>
      <c r="D2593" s="644" t="s">
        <v>9037</v>
      </c>
      <c r="E2593" s="736">
        <v>2400</v>
      </c>
      <c r="F2593" s="737" t="s">
        <v>9038</v>
      </c>
      <c r="G2593" s="636" t="s">
        <v>9039</v>
      </c>
      <c r="H2593" s="636" t="s">
        <v>3915</v>
      </c>
      <c r="I2593" s="636" t="s">
        <v>3162</v>
      </c>
      <c r="J2593" s="644" t="s">
        <v>643</v>
      </c>
      <c r="K2593" s="753">
        <v>12</v>
      </c>
      <c r="L2593" s="754">
        <v>12</v>
      </c>
      <c r="M2593" s="736">
        <v>30760.799999999999</v>
      </c>
      <c r="N2593" s="744"/>
      <c r="O2593" s="739"/>
      <c r="P2593" s="739"/>
      <c r="Q2593" s="214"/>
    </row>
    <row r="2594" spans="1:17" ht="12" customHeight="1" x14ac:dyDescent="0.2">
      <c r="A2594" s="735" t="s">
        <v>7733</v>
      </c>
      <c r="B2594" s="735" t="s">
        <v>2170</v>
      </c>
      <c r="C2594" s="735" t="s">
        <v>451</v>
      </c>
      <c r="D2594" s="644" t="s">
        <v>9040</v>
      </c>
      <c r="E2594" s="736">
        <v>3000</v>
      </c>
      <c r="F2594" s="737" t="s">
        <v>9041</v>
      </c>
      <c r="G2594" s="636" t="s">
        <v>9042</v>
      </c>
      <c r="H2594" s="636"/>
      <c r="I2594" s="636"/>
      <c r="J2594" s="644" t="s">
        <v>643</v>
      </c>
      <c r="K2594" s="753">
        <v>4</v>
      </c>
      <c r="L2594" s="754">
        <v>11</v>
      </c>
      <c r="M2594" s="736">
        <v>34960.800000000003</v>
      </c>
      <c r="N2594" s="744"/>
      <c r="O2594" s="739"/>
      <c r="P2594" s="739"/>
      <c r="Q2594" s="214"/>
    </row>
    <row r="2595" spans="1:17" ht="12" customHeight="1" x14ac:dyDescent="0.2">
      <c r="A2595" s="735" t="s">
        <v>7733</v>
      </c>
      <c r="B2595" s="735" t="s">
        <v>2170</v>
      </c>
      <c r="C2595" s="735" t="s">
        <v>451</v>
      </c>
      <c r="D2595" s="644" t="s">
        <v>9043</v>
      </c>
      <c r="E2595" s="736">
        <v>4500</v>
      </c>
      <c r="F2595" s="737" t="s">
        <v>9044</v>
      </c>
      <c r="G2595" s="636" t="s">
        <v>9045</v>
      </c>
      <c r="H2595" s="636" t="s">
        <v>7772</v>
      </c>
      <c r="I2595" s="636" t="s">
        <v>8075</v>
      </c>
      <c r="J2595" s="644" t="s">
        <v>643</v>
      </c>
      <c r="K2595" s="753">
        <v>12</v>
      </c>
      <c r="L2595" s="754">
        <v>12</v>
      </c>
      <c r="M2595" s="736">
        <v>55960.800000000003</v>
      </c>
      <c r="N2595" s="744"/>
      <c r="O2595" s="739"/>
      <c r="P2595" s="739"/>
      <c r="Q2595" s="214"/>
    </row>
    <row r="2596" spans="1:17" ht="12" customHeight="1" x14ac:dyDescent="0.2">
      <c r="A2596" s="735" t="s">
        <v>7733</v>
      </c>
      <c r="B2596" s="735" t="s">
        <v>2170</v>
      </c>
      <c r="C2596" s="735" t="s">
        <v>451</v>
      </c>
      <c r="D2596" s="644" t="s">
        <v>2261</v>
      </c>
      <c r="E2596" s="736">
        <v>2500</v>
      </c>
      <c r="F2596" s="737" t="s">
        <v>9046</v>
      </c>
      <c r="G2596" s="636" t="s">
        <v>9047</v>
      </c>
      <c r="H2596" s="636" t="s">
        <v>9048</v>
      </c>
      <c r="I2596" s="636" t="s">
        <v>3760</v>
      </c>
      <c r="J2596" s="644" t="s">
        <v>644</v>
      </c>
      <c r="K2596" s="753">
        <v>12</v>
      </c>
      <c r="L2596" s="754">
        <v>12</v>
      </c>
      <c r="M2596" s="736">
        <v>31960.799999999999</v>
      </c>
      <c r="N2596" s="744"/>
      <c r="O2596" s="739"/>
      <c r="P2596" s="739"/>
      <c r="Q2596" s="214"/>
    </row>
    <row r="2597" spans="1:17" ht="12" customHeight="1" x14ac:dyDescent="0.2">
      <c r="A2597" s="735" t="s">
        <v>7733</v>
      </c>
      <c r="B2597" s="735" t="s">
        <v>2170</v>
      </c>
      <c r="C2597" s="735" t="s">
        <v>451</v>
      </c>
      <c r="D2597" s="644" t="s">
        <v>8704</v>
      </c>
      <c r="E2597" s="736">
        <v>2200</v>
      </c>
      <c r="F2597" s="737" t="s">
        <v>9049</v>
      </c>
      <c r="G2597" s="636" t="s">
        <v>9050</v>
      </c>
      <c r="H2597" s="636"/>
      <c r="I2597" s="636"/>
      <c r="J2597" s="644" t="s">
        <v>643</v>
      </c>
      <c r="K2597" s="753">
        <v>1</v>
      </c>
      <c r="L2597" s="754">
        <v>1</v>
      </c>
      <c r="M2597" s="736">
        <v>4160.8</v>
      </c>
      <c r="N2597" s="744"/>
      <c r="O2597" s="739"/>
      <c r="P2597" s="739"/>
      <c r="Q2597" s="214"/>
    </row>
    <row r="2598" spans="1:17" ht="12" customHeight="1" x14ac:dyDescent="0.2">
      <c r="A2598" s="735" t="s">
        <v>7733</v>
      </c>
      <c r="B2598" s="735" t="s">
        <v>2170</v>
      </c>
      <c r="C2598" s="735" t="s">
        <v>451</v>
      </c>
      <c r="D2598" s="644" t="s">
        <v>8032</v>
      </c>
      <c r="E2598" s="736">
        <v>1800</v>
      </c>
      <c r="F2598" s="737" t="s">
        <v>9051</v>
      </c>
      <c r="G2598" s="636" t="s">
        <v>9052</v>
      </c>
      <c r="H2598" s="636" t="s">
        <v>8143</v>
      </c>
      <c r="I2598" s="636" t="s">
        <v>2253</v>
      </c>
      <c r="J2598" s="644" t="s">
        <v>643</v>
      </c>
      <c r="K2598" s="753">
        <v>12</v>
      </c>
      <c r="L2598" s="754">
        <v>12</v>
      </c>
      <c r="M2598" s="736">
        <v>24144</v>
      </c>
      <c r="N2598" s="744"/>
      <c r="O2598" s="739"/>
      <c r="P2598" s="739"/>
      <c r="Q2598" s="214"/>
    </row>
    <row r="2599" spans="1:17" ht="12" customHeight="1" x14ac:dyDescent="0.2">
      <c r="A2599" s="735" t="s">
        <v>7733</v>
      </c>
      <c r="B2599" s="735" t="s">
        <v>2170</v>
      </c>
      <c r="C2599" s="735" t="s">
        <v>451</v>
      </c>
      <c r="D2599" s="644" t="s">
        <v>7868</v>
      </c>
      <c r="E2599" s="736">
        <v>4000</v>
      </c>
      <c r="F2599" s="737" t="s">
        <v>9053</v>
      </c>
      <c r="G2599" s="636" t="s">
        <v>9054</v>
      </c>
      <c r="H2599" s="636"/>
      <c r="I2599" s="636"/>
      <c r="J2599" s="644" t="s">
        <v>642</v>
      </c>
      <c r="K2599" s="753">
        <v>12</v>
      </c>
      <c r="L2599" s="754">
        <v>12</v>
      </c>
      <c r="M2599" s="736">
        <v>49960.800000000003</v>
      </c>
      <c r="N2599" s="744"/>
      <c r="O2599" s="739"/>
      <c r="P2599" s="739"/>
      <c r="Q2599" s="214"/>
    </row>
    <row r="2600" spans="1:17" ht="12" customHeight="1" x14ac:dyDescent="0.2">
      <c r="A2600" s="735" t="s">
        <v>7733</v>
      </c>
      <c r="B2600" s="735" t="s">
        <v>2170</v>
      </c>
      <c r="C2600" s="735" t="s">
        <v>451</v>
      </c>
      <c r="D2600" s="644" t="s">
        <v>2788</v>
      </c>
      <c r="E2600" s="736">
        <v>1600</v>
      </c>
      <c r="F2600" s="737" t="s">
        <v>9055</v>
      </c>
      <c r="G2600" s="636" t="s">
        <v>9056</v>
      </c>
      <c r="H2600" s="636" t="s">
        <v>6571</v>
      </c>
      <c r="I2600" s="636" t="s">
        <v>8036</v>
      </c>
      <c r="J2600" s="644" t="s">
        <v>643</v>
      </c>
      <c r="K2600" s="753">
        <v>12</v>
      </c>
      <c r="L2600" s="754">
        <v>12</v>
      </c>
      <c r="M2600" s="736">
        <v>21528</v>
      </c>
      <c r="N2600" s="744"/>
      <c r="O2600" s="739"/>
      <c r="P2600" s="739"/>
      <c r="Q2600" s="214"/>
    </row>
    <row r="2601" spans="1:17" ht="12" customHeight="1" x14ac:dyDescent="0.2">
      <c r="A2601" s="735" t="s">
        <v>7733</v>
      </c>
      <c r="B2601" s="735" t="s">
        <v>2170</v>
      </c>
      <c r="C2601" s="735" t="s">
        <v>451</v>
      </c>
      <c r="D2601" s="644" t="s">
        <v>7901</v>
      </c>
      <c r="E2601" s="736">
        <v>2500</v>
      </c>
      <c r="F2601" s="737" t="s">
        <v>9057</v>
      </c>
      <c r="G2601" s="636" t="s">
        <v>9058</v>
      </c>
      <c r="H2601" s="636"/>
      <c r="I2601" s="636"/>
      <c r="J2601" s="644" t="s">
        <v>644</v>
      </c>
      <c r="K2601" s="753">
        <v>12</v>
      </c>
      <c r="L2601" s="754">
        <v>12</v>
      </c>
      <c r="M2601" s="736">
        <v>31960.799999999999</v>
      </c>
      <c r="N2601" s="744"/>
      <c r="O2601" s="739"/>
      <c r="P2601" s="739"/>
      <c r="Q2601" s="214"/>
    </row>
    <row r="2602" spans="1:17" ht="12" customHeight="1" x14ac:dyDescent="0.2">
      <c r="A2602" s="735" t="s">
        <v>7733</v>
      </c>
      <c r="B2602" s="735" t="s">
        <v>2170</v>
      </c>
      <c r="C2602" s="735" t="s">
        <v>451</v>
      </c>
      <c r="D2602" s="644" t="s">
        <v>7800</v>
      </c>
      <c r="E2602" s="736">
        <v>3500</v>
      </c>
      <c r="F2602" s="737" t="s">
        <v>9059</v>
      </c>
      <c r="G2602" s="636" t="s">
        <v>9060</v>
      </c>
      <c r="H2602" s="636"/>
      <c r="I2602" s="636"/>
      <c r="J2602" s="644" t="s">
        <v>642</v>
      </c>
      <c r="K2602" s="753">
        <v>12</v>
      </c>
      <c r="L2602" s="754">
        <v>12</v>
      </c>
      <c r="M2602" s="736">
        <v>43960.800000000003</v>
      </c>
      <c r="N2602" s="744"/>
      <c r="O2602" s="739"/>
      <c r="P2602" s="739"/>
      <c r="Q2602" s="214"/>
    </row>
    <row r="2603" spans="1:17" ht="12" customHeight="1" x14ac:dyDescent="0.2">
      <c r="A2603" s="735" t="s">
        <v>7733</v>
      </c>
      <c r="B2603" s="735" t="s">
        <v>2170</v>
      </c>
      <c r="C2603" s="735" t="s">
        <v>451</v>
      </c>
      <c r="D2603" s="644" t="s">
        <v>8177</v>
      </c>
      <c r="E2603" s="736">
        <v>7000</v>
      </c>
      <c r="F2603" s="737" t="s">
        <v>9061</v>
      </c>
      <c r="G2603" s="636" t="s">
        <v>9062</v>
      </c>
      <c r="H2603" s="636"/>
      <c r="I2603" s="636"/>
      <c r="J2603" s="644" t="s">
        <v>642</v>
      </c>
      <c r="K2603" s="753">
        <v>1</v>
      </c>
      <c r="L2603" s="754">
        <v>4</v>
      </c>
      <c r="M2603" s="736">
        <v>29960.799999999999</v>
      </c>
      <c r="N2603" s="744"/>
      <c r="O2603" s="739"/>
      <c r="P2603" s="739"/>
      <c r="Q2603" s="214"/>
    </row>
    <row r="2604" spans="1:17" ht="12" customHeight="1" x14ac:dyDescent="0.2">
      <c r="A2604" s="735" t="s">
        <v>7733</v>
      </c>
      <c r="B2604" s="735" t="s">
        <v>2170</v>
      </c>
      <c r="C2604" s="735" t="s">
        <v>451</v>
      </c>
      <c r="D2604" s="644" t="s">
        <v>8995</v>
      </c>
      <c r="E2604" s="736">
        <v>4000</v>
      </c>
      <c r="F2604" s="737" t="s">
        <v>9063</v>
      </c>
      <c r="G2604" s="636" t="s">
        <v>9064</v>
      </c>
      <c r="H2604" s="636"/>
      <c r="I2604" s="636"/>
      <c r="J2604" s="644" t="s">
        <v>642</v>
      </c>
      <c r="K2604" s="753">
        <v>11</v>
      </c>
      <c r="L2604" s="754">
        <v>11</v>
      </c>
      <c r="M2604" s="736">
        <v>45960.800000000003</v>
      </c>
      <c r="N2604" s="744"/>
      <c r="O2604" s="739"/>
      <c r="P2604" s="739"/>
      <c r="Q2604" s="214"/>
    </row>
    <row r="2605" spans="1:17" ht="12" customHeight="1" x14ac:dyDescent="0.2">
      <c r="A2605" s="735" t="s">
        <v>7733</v>
      </c>
      <c r="B2605" s="735" t="s">
        <v>2170</v>
      </c>
      <c r="C2605" s="735" t="s">
        <v>451</v>
      </c>
      <c r="D2605" s="644" t="s">
        <v>2208</v>
      </c>
      <c r="E2605" s="736">
        <v>2800</v>
      </c>
      <c r="F2605" s="737" t="s">
        <v>9065</v>
      </c>
      <c r="G2605" s="636" t="s">
        <v>9066</v>
      </c>
      <c r="H2605" s="636" t="s">
        <v>7782</v>
      </c>
      <c r="I2605" s="636" t="s">
        <v>2179</v>
      </c>
      <c r="J2605" s="644" t="s">
        <v>642</v>
      </c>
      <c r="K2605" s="753">
        <v>1</v>
      </c>
      <c r="L2605" s="754">
        <v>12</v>
      </c>
      <c r="M2605" s="736">
        <v>35560.800000000003</v>
      </c>
      <c r="N2605" s="744"/>
      <c r="O2605" s="739"/>
      <c r="P2605" s="739"/>
      <c r="Q2605" s="214"/>
    </row>
    <row r="2606" spans="1:17" ht="12" customHeight="1" x14ac:dyDescent="0.2">
      <c r="A2606" s="735" t="s">
        <v>7733</v>
      </c>
      <c r="B2606" s="735" t="s">
        <v>2170</v>
      </c>
      <c r="C2606" s="735" t="s">
        <v>451</v>
      </c>
      <c r="D2606" s="644" t="s">
        <v>7965</v>
      </c>
      <c r="E2606" s="736">
        <v>4000</v>
      </c>
      <c r="F2606" s="737" t="s">
        <v>9067</v>
      </c>
      <c r="G2606" s="636" t="s">
        <v>9068</v>
      </c>
      <c r="H2606" s="636" t="s">
        <v>6571</v>
      </c>
      <c r="I2606" s="636" t="s">
        <v>2179</v>
      </c>
      <c r="J2606" s="644" t="s">
        <v>642</v>
      </c>
      <c r="K2606" s="753">
        <v>1</v>
      </c>
      <c r="L2606" s="754">
        <v>3</v>
      </c>
      <c r="M2606" s="736">
        <v>13960.8</v>
      </c>
      <c r="N2606" s="744"/>
      <c r="O2606" s="739"/>
      <c r="P2606" s="739"/>
      <c r="Q2606" s="214"/>
    </row>
    <row r="2607" spans="1:17" ht="12" customHeight="1" x14ac:dyDescent="0.2">
      <c r="A2607" s="735" t="s">
        <v>7733</v>
      </c>
      <c r="B2607" s="735" t="s">
        <v>2170</v>
      </c>
      <c r="C2607" s="735" t="s">
        <v>451</v>
      </c>
      <c r="D2607" s="644" t="s">
        <v>5538</v>
      </c>
      <c r="E2607" s="736">
        <v>5000</v>
      </c>
      <c r="F2607" s="737" t="s">
        <v>9069</v>
      </c>
      <c r="G2607" s="636" t="s">
        <v>9070</v>
      </c>
      <c r="H2607" s="636" t="s">
        <v>2228</v>
      </c>
      <c r="I2607" s="636" t="s">
        <v>2228</v>
      </c>
      <c r="J2607" s="644"/>
      <c r="K2607" s="753">
        <v>4</v>
      </c>
      <c r="L2607" s="754">
        <v>8</v>
      </c>
      <c r="M2607" s="736">
        <v>41960.800000000003</v>
      </c>
      <c r="N2607" s="744"/>
      <c r="O2607" s="739"/>
      <c r="P2607" s="739"/>
      <c r="Q2607" s="214"/>
    </row>
    <row r="2608" spans="1:17" ht="12" customHeight="1" x14ac:dyDescent="0.2">
      <c r="A2608" s="735" t="s">
        <v>7733</v>
      </c>
      <c r="B2608" s="735" t="s">
        <v>2170</v>
      </c>
      <c r="C2608" s="735" t="s">
        <v>451</v>
      </c>
      <c r="D2608" s="644" t="s">
        <v>9071</v>
      </c>
      <c r="E2608" s="736">
        <v>2100</v>
      </c>
      <c r="F2608" s="737" t="s">
        <v>9072</v>
      </c>
      <c r="G2608" s="636" t="s">
        <v>9073</v>
      </c>
      <c r="H2608" s="636" t="s">
        <v>3915</v>
      </c>
      <c r="I2608" s="636" t="s">
        <v>8644</v>
      </c>
      <c r="J2608" s="644" t="s">
        <v>642</v>
      </c>
      <c r="K2608" s="753">
        <v>5</v>
      </c>
      <c r="L2608" s="754">
        <v>12</v>
      </c>
      <c r="M2608" s="736">
        <v>27160.799999999999</v>
      </c>
      <c r="N2608" s="744"/>
      <c r="O2608" s="739"/>
      <c r="P2608" s="739"/>
      <c r="Q2608" s="214"/>
    </row>
    <row r="2609" spans="1:17" ht="12" customHeight="1" x14ac:dyDescent="0.2">
      <c r="A2609" s="735" t="s">
        <v>7733</v>
      </c>
      <c r="B2609" s="735" t="s">
        <v>2170</v>
      </c>
      <c r="C2609" s="735" t="s">
        <v>451</v>
      </c>
      <c r="D2609" s="644" t="s">
        <v>7965</v>
      </c>
      <c r="E2609" s="736">
        <v>4000</v>
      </c>
      <c r="F2609" s="737" t="s">
        <v>9074</v>
      </c>
      <c r="G2609" s="636" t="s">
        <v>9075</v>
      </c>
      <c r="H2609" s="636" t="s">
        <v>7752</v>
      </c>
      <c r="I2609" s="636" t="s">
        <v>2179</v>
      </c>
      <c r="J2609" s="644" t="s">
        <v>642</v>
      </c>
      <c r="K2609" s="753">
        <v>1</v>
      </c>
      <c r="L2609" s="754">
        <v>3</v>
      </c>
      <c r="M2609" s="736">
        <v>13960.8</v>
      </c>
      <c r="N2609" s="744"/>
      <c r="O2609" s="739"/>
      <c r="P2609" s="739"/>
      <c r="Q2609" s="214"/>
    </row>
    <row r="2610" spans="1:17" ht="12" customHeight="1" x14ac:dyDescent="0.2">
      <c r="A2610" s="735" t="s">
        <v>7733</v>
      </c>
      <c r="B2610" s="735" t="s">
        <v>2170</v>
      </c>
      <c r="C2610" s="735" t="s">
        <v>451</v>
      </c>
      <c r="D2610" s="644" t="s">
        <v>7755</v>
      </c>
      <c r="E2610" s="736">
        <v>2500</v>
      </c>
      <c r="F2610" s="737" t="s">
        <v>9076</v>
      </c>
      <c r="G2610" s="636" t="s">
        <v>9077</v>
      </c>
      <c r="H2610" s="636"/>
      <c r="I2610" s="636"/>
      <c r="J2610" s="644" t="s">
        <v>642</v>
      </c>
      <c r="K2610" s="753">
        <v>12</v>
      </c>
      <c r="L2610" s="754">
        <v>12</v>
      </c>
      <c r="M2610" s="736">
        <v>31960.799999999999</v>
      </c>
      <c r="N2610" s="744"/>
      <c r="O2610" s="739"/>
      <c r="P2610" s="739"/>
      <c r="Q2610" s="214"/>
    </row>
    <row r="2611" spans="1:17" ht="12" customHeight="1" x14ac:dyDescent="0.2">
      <c r="A2611" s="735" t="s">
        <v>7733</v>
      </c>
      <c r="B2611" s="735" t="s">
        <v>2170</v>
      </c>
      <c r="C2611" s="735" t="s">
        <v>451</v>
      </c>
      <c r="D2611" s="644" t="s">
        <v>7901</v>
      </c>
      <c r="E2611" s="736">
        <v>2500</v>
      </c>
      <c r="F2611" s="737" t="s">
        <v>9078</v>
      </c>
      <c r="G2611" s="636" t="s">
        <v>9079</v>
      </c>
      <c r="H2611" s="636" t="s">
        <v>2228</v>
      </c>
      <c r="I2611" s="636" t="s">
        <v>2228</v>
      </c>
      <c r="J2611" s="644"/>
      <c r="K2611" s="753">
        <v>1</v>
      </c>
      <c r="L2611" s="754">
        <v>1</v>
      </c>
      <c r="M2611" s="736">
        <v>4460.8</v>
      </c>
      <c r="N2611" s="744"/>
      <c r="O2611" s="739"/>
      <c r="P2611" s="739"/>
      <c r="Q2611" s="214"/>
    </row>
    <row r="2612" spans="1:17" ht="12" customHeight="1" x14ac:dyDescent="0.2">
      <c r="A2612" s="735" t="s">
        <v>7733</v>
      </c>
      <c r="B2612" s="735" t="s">
        <v>2170</v>
      </c>
      <c r="C2612" s="735" t="s">
        <v>451</v>
      </c>
      <c r="D2612" s="644" t="s">
        <v>7901</v>
      </c>
      <c r="E2612" s="736">
        <v>2500</v>
      </c>
      <c r="F2612" s="737" t="s">
        <v>9080</v>
      </c>
      <c r="G2612" s="636" t="s">
        <v>9081</v>
      </c>
      <c r="H2612" s="636" t="s">
        <v>2228</v>
      </c>
      <c r="I2612" s="636" t="s">
        <v>2228</v>
      </c>
      <c r="J2612" s="644"/>
      <c r="K2612" s="753">
        <v>7</v>
      </c>
      <c r="L2612" s="754">
        <v>7</v>
      </c>
      <c r="M2612" s="736">
        <v>19460.8</v>
      </c>
      <c r="N2612" s="744"/>
      <c r="O2612" s="739"/>
      <c r="P2612" s="739"/>
      <c r="Q2612" s="214"/>
    </row>
    <row r="2613" spans="1:17" ht="12" customHeight="1" x14ac:dyDescent="0.2">
      <c r="A2613" s="735" t="s">
        <v>7733</v>
      </c>
      <c r="B2613" s="735" t="s">
        <v>2170</v>
      </c>
      <c r="C2613" s="735" t="s">
        <v>451</v>
      </c>
      <c r="D2613" s="644" t="s">
        <v>8158</v>
      </c>
      <c r="E2613" s="736">
        <v>2500</v>
      </c>
      <c r="F2613" s="737" t="s">
        <v>9082</v>
      </c>
      <c r="G2613" s="636" t="s">
        <v>9083</v>
      </c>
      <c r="H2613" s="636" t="s">
        <v>6778</v>
      </c>
      <c r="I2613" s="636" t="s">
        <v>3092</v>
      </c>
      <c r="J2613" s="644" t="s">
        <v>643</v>
      </c>
      <c r="K2613" s="753">
        <v>5</v>
      </c>
      <c r="L2613" s="754">
        <v>12</v>
      </c>
      <c r="M2613" s="736">
        <v>31960.799999999999</v>
      </c>
      <c r="N2613" s="744"/>
      <c r="O2613" s="739"/>
      <c r="P2613" s="739"/>
      <c r="Q2613" s="214"/>
    </row>
    <row r="2614" spans="1:17" ht="12" customHeight="1" x14ac:dyDescent="0.2">
      <c r="A2614" s="735" t="s">
        <v>7733</v>
      </c>
      <c r="B2614" s="735" t="s">
        <v>2170</v>
      </c>
      <c r="C2614" s="735" t="s">
        <v>451</v>
      </c>
      <c r="D2614" s="644" t="s">
        <v>8165</v>
      </c>
      <c r="E2614" s="736">
        <v>3500</v>
      </c>
      <c r="F2614" s="737" t="s">
        <v>9084</v>
      </c>
      <c r="G2614" s="636" t="s">
        <v>9085</v>
      </c>
      <c r="H2614" s="636"/>
      <c r="I2614" s="636"/>
      <c r="J2614" s="644" t="s">
        <v>642</v>
      </c>
      <c r="K2614" s="753">
        <v>12</v>
      </c>
      <c r="L2614" s="754">
        <v>12</v>
      </c>
      <c r="M2614" s="736">
        <v>43960.800000000003</v>
      </c>
      <c r="N2614" s="744"/>
      <c r="O2614" s="739"/>
      <c r="P2614" s="739"/>
      <c r="Q2614" s="214"/>
    </row>
    <row r="2615" spans="1:17" ht="12" customHeight="1" x14ac:dyDescent="0.2">
      <c r="A2615" s="735" t="s">
        <v>7733</v>
      </c>
      <c r="B2615" s="735" t="s">
        <v>2170</v>
      </c>
      <c r="C2615" s="735" t="s">
        <v>451</v>
      </c>
      <c r="D2615" s="644" t="s">
        <v>8894</v>
      </c>
      <c r="E2615" s="736">
        <v>10000</v>
      </c>
      <c r="F2615" s="737" t="s">
        <v>9086</v>
      </c>
      <c r="G2615" s="636" t="s">
        <v>9087</v>
      </c>
      <c r="H2615" s="636" t="s">
        <v>7752</v>
      </c>
      <c r="I2615" s="636" t="s">
        <v>2179</v>
      </c>
      <c r="J2615" s="644" t="s">
        <v>642</v>
      </c>
      <c r="K2615" s="753">
        <v>1</v>
      </c>
      <c r="L2615" s="754">
        <v>7</v>
      </c>
      <c r="M2615" s="736">
        <v>71960.800000000003</v>
      </c>
      <c r="N2615" s="744"/>
      <c r="O2615" s="739"/>
      <c r="P2615" s="739"/>
      <c r="Q2615" s="214"/>
    </row>
    <row r="2616" spans="1:17" ht="12" customHeight="1" x14ac:dyDescent="0.2">
      <c r="A2616" s="735" t="s">
        <v>7733</v>
      </c>
      <c r="B2616" s="735" t="s">
        <v>2170</v>
      </c>
      <c r="C2616" s="735" t="s">
        <v>451</v>
      </c>
      <c r="D2616" s="644" t="s">
        <v>2261</v>
      </c>
      <c r="E2616" s="736">
        <v>3000</v>
      </c>
      <c r="F2616" s="737" t="s">
        <v>9088</v>
      </c>
      <c r="G2616" s="636" t="s">
        <v>9089</v>
      </c>
      <c r="H2616" s="636" t="s">
        <v>2228</v>
      </c>
      <c r="I2616" s="636" t="s">
        <v>2228</v>
      </c>
      <c r="J2616" s="644"/>
      <c r="K2616" s="753">
        <v>1</v>
      </c>
      <c r="L2616" s="754">
        <v>1</v>
      </c>
      <c r="M2616" s="736">
        <v>4960.8</v>
      </c>
      <c r="N2616" s="744"/>
      <c r="O2616" s="739"/>
      <c r="P2616" s="739"/>
      <c r="Q2616" s="214"/>
    </row>
    <row r="2617" spans="1:17" ht="12" customHeight="1" x14ac:dyDescent="0.2">
      <c r="A2617" s="735" t="s">
        <v>7733</v>
      </c>
      <c r="B2617" s="735" t="s">
        <v>2170</v>
      </c>
      <c r="C2617" s="735" t="s">
        <v>451</v>
      </c>
      <c r="D2617" s="644" t="s">
        <v>2788</v>
      </c>
      <c r="E2617" s="736">
        <v>2500</v>
      </c>
      <c r="F2617" s="737" t="s">
        <v>9090</v>
      </c>
      <c r="G2617" s="636" t="s">
        <v>9091</v>
      </c>
      <c r="H2617" s="636" t="s">
        <v>8135</v>
      </c>
      <c r="I2617" s="636" t="s">
        <v>6668</v>
      </c>
      <c r="J2617" s="644" t="s">
        <v>643</v>
      </c>
      <c r="K2617" s="753">
        <v>5</v>
      </c>
      <c r="L2617" s="754">
        <v>12</v>
      </c>
      <c r="M2617" s="736">
        <v>31960.799999999999</v>
      </c>
      <c r="N2617" s="744"/>
      <c r="O2617" s="739"/>
      <c r="P2617" s="739"/>
      <c r="Q2617" s="214"/>
    </row>
    <row r="2618" spans="1:17" ht="12" customHeight="1" x14ac:dyDescent="0.2">
      <c r="A2618" s="735" t="s">
        <v>7733</v>
      </c>
      <c r="B2618" s="735" t="s">
        <v>2170</v>
      </c>
      <c r="C2618" s="735" t="s">
        <v>451</v>
      </c>
      <c r="D2618" s="644" t="s">
        <v>2608</v>
      </c>
      <c r="E2618" s="736">
        <v>3200</v>
      </c>
      <c r="F2618" s="737" t="s">
        <v>9092</v>
      </c>
      <c r="G2618" s="636" t="s">
        <v>9093</v>
      </c>
      <c r="H2618" s="636" t="s">
        <v>9094</v>
      </c>
      <c r="I2618" s="636" t="s">
        <v>4732</v>
      </c>
      <c r="J2618" s="644" t="s">
        <v>642</v>
      </c>
      <c r="K2618" s="753">
        <v>5</v>
      </c>
      <c r="L2618" s="754">
        <v>12</v>
      </c>
      <c r="M2618" s="736">
        <v>40360.800000000003</v>
      </c>
      <c r="N2618" s="744"/>
      <c r="O2618" s="739"/>
      <c r="P2618" s="739"/>
      <c r="Q2618" s="214"/>
    </row>
    <row r="2619" spans="1:17" ht="12" customHeight="1" x14ac:dyDescent="0.2">
      <c r="A2619" s="735" t="s">
        <v>7733</v>
      </c>
      <c r="B2619" s="735" t="s">
        <v>2170</v>
      </c>
      <c r="C2619" s="735" t="s">
        <v>451</v>
      </c>
      <c r="D2619" s="644" t="s">
        <v>6668</v>
      </c>
      <c r="E2619" s="736">
        <v>3500</v>
      </c>
      <c r="F2619" s="737" t="s">
        <v>9095</v>
      </c>
      <c r="G2619" s="636" t="s">
        <v>9096</v>
      </c>
      <c r="H2619" s="636" t="s">
        <v>6778</v>
      </c>
      <c r="I2619" s="636" t="s">
        <v>2174</v>
      </c>
      <c r="J2619" s="644" t="s">
        <v>642</v>
      </c>
      <c r="K2619" s="753">
        <v>12</v>
      </c>
      <c r="L2619" s="754">
        <v>12</v>
      </c>
      <c r="M2619" s="736">
        <v>43960.800000000003</v>
      </c>
      <c r="N2619" s="744"/>
      <c r="O2619" s="739"/>
      <c r="P2619" s="739"/>
      <c r="Q2619" s="214"/>
    </row>
    <row r="2620" spans="1:17" ht="12" customHeight="1" x14ac:dyDescent="0.2">
      <c r="A2620" s="735" t="s">
        <v>7733</v>
      </c>
      <c r="B2620" s="735" t="s">
        <v>2170</v>
      </c>
      <c r="C2620" s="735" t="s">
        <v>451</v>
      </c>
      <c r="D2620" s="644" t="s">
        <v>8045</v>
      </c>
      <c r="E2620" s="736">
        <v>2200</v>
      </c>
      <c r="F2620" s="737" t="s">
        <v>9097</v>
      </c>
      <c r="G2620" s="636" t="s">
        <v>9098</v>
      </c>
      <c r="H2620" s="636"/>
      <c r="I2620" s="636"/>
      <c r="J2620" s="644" t="s">
        <v>7991</v>
      </c>
      <c r="K2620" s="753">
        <v>1</v>
      </c>
      <c r="L2620" s="754">
        <v>2</v>
      </c>
      <c r="M2620" s="736">
        <v>6360.8</v>
      </c>
      <c r="N2620" s="744"/>
      <c r="O2620" s="739"/>
      <c r="P2620" s="739"/>
      <c r="Q2620" s="214"/>
    </row>
    <row r="2621" spans="1:17" ht="12" customHeight="1" x14ac:dyDescent="0.2">
      <c r="A2621" s="735" t="s">
        <v>7733</v>
      </c>
      <c r="B2621" s="735" t="s">
        <v>2170</v>
      </c>
      <c r="C2621" s="735" t="s">
        <v>451</v>
      </c>
      <c r="D2621" s="644" t="s">
        <v>7843</v>
      </c>
      <c r="E2621" s="736">
        <v>4000</v>
      </c>
      <c r="F2621" s="737" t="s">
        <v>9099</v>
      </c>
      <c r="G2621" s="636" t="s">
        <v>9100</v>
      </c>
      <c r="H2621" s="636" t="s">
        <v>6571</v>
      </c>
      <c r="I2621" s="636" t="s">
        <v>2179</v>
      </c>
      <c r="J2621" s="644" t="s">
        <v>642</v>
      </c>
      <c r="K2621" s="753">
        <v>12</v>
      </c>
      <c r="L2621" s="754">
        <v>12</v>
      </c>
      <c r="M2621" s="736">
        <v>49960.800000000003</v>
      </c>
      <c r="N2621" s="744"/>
      <c r="O2621" s="739"/>
      <c r="P2621" s="739"/>
      <c r="Q2621" s="214"/>
    </row>
    <row r="2622" spans="1:17" ht="12" customHeight="1" x14ac:dyDescent="0.2">
      <c r="A2622" s="735" t="s">
        <v>7733</v>
      </c>
      <c r="B2622" s="735" t="s">
        <v>2170</v>
      </c>
      <c r="C2622" s="735" t="s">
        <v>451</v>
      </c>
      <c r="D2622" s="644" t="s">
        <v>8172</v>
      </c>
      <c r="E2622" s="736">
        <v>3500</v>
      </c>
      <c r="F2622" s="737" t="s">
        <v>9101</v>
      </c>
      <c r="G2622" s="636" t="s">
        <v>9102</v>
      </c>
      <c r="H2622" s="636"/>
      <c r="I2622" s="636"/>
      <c r="J2622" s="644" t="s">
        <v>642</v>
      </c>
      <c r="K2622" s="753">
        <v>10</v>
      </c>
      <c r="L2622" s="754">
        <v>10</v>
      </c>
      <c r="M2622" s="736">
        <v>36960.800000000003</v>
      </c>
      <c r="N2622" s="744"/>
      <c r="O2622" s="739"/>
      <c r="P2622" s="739"/>
      <c r="Q2622" s="214"/>
    </row>
    <row r="2623" spans="1:17" ht="12" customHeight="1" x14ac:dyDescent="0.2">
      <c r="A2623" s="735" t="s">
        <v>7733</v>
      </c>
      <c r="B2623" s="735" t="s">
        <v>2170</v>
      </c>
      <c r="C2623" s="735" t="s">
        <v>451</v>
      </c>
      <c r="D2623" s="644" t="s">
        <v>8367</v>
      </c>
      <c r="E2623" s="736">
        <v>2300</v>
      </c>
      <c r="F2623" s="737" t="s">
        <v>9103</v>
      </c>
      <c r="G2623" s="636" t="s">
        <v>9104</v>
      </c>
      <c r="H2623" s="636" t="s">
        <v>3522</v>
      </c>
      <c r="I2623" s="636" t="s">
        <v>2346</v>
      </c>
      <c r="J2623" s="644" t="s">
        <v>643</v>
      </c>
      <c r="K2623" s="753">
        <v>5</v>
      </c>
      <c r="L2623" s="754">
        <v>12</v>
      </c>
      <c r="M2623" s="736">
        <v>29560.799999999999</v>
      </c>
      <c r="N2623" s="744"/>
      <c r="O2623" s="739"/>
      <c r="P2623" s="739"/>
      <c r="Q2623" s="214"/>
    </row>
    <row r="2624" spans="1:17" ht="12" customHeight="1" x14ac:dyDescent="0.2">
      <c r="A2624" s="735" t="s">
        <v>7733</v>
      </c>
      <c r="B2624" s="735" t="s">
        <v>2170</v>
      </c>
      <c r="C2624" s="735" t="s">
        <v>451</v>
      </c>
      <c r="D2624" s="644" t="s">
        <v>9105</v>
      </c>
      <c r="E2624" s="736">
        <v>4000</v>
      </c>
      <c r="F2624" s="737" t="s">
        <v>9106</v>
      </c>
      <c r="G2624" s="636" t="s">
        <v>9107</v>
      </c>
      <c r="H2624" s="636" t="s">
        <v>8000</v>
      </c>
      <c r="I2624" s="636" t="s">
        <v>2478</v>
      </c>
      <c r="J2624" s="644" t="s">
        <v>642</v>
      </c>
      <c r="K2624" s="753">
        <v>9</v>
      </c>
      <c r="L2624" s="754">
        <v>12</v>
      </c>
      <c r="M2624" s="736">
        <v>49960.800000000003</v>
      </c>
      <c r="N2624" s="744"/>
      <c r="O2624" s="739"/>
      <c r="P2624" s="739"/>
      <c r="Q2624" s="214"/>
    </row>
    <row r="2625" spans="1:17" ht="12" customHeight="1" x14ac:dyDescent="0.2">
      <c r="A2625" s="735" t="s">
        <v>7733</v>
      </c>
      <c r="B2625" s="735" t="s">
        <v>2170</v>
      </c>
      <c r="C2625" s="735" t="s">
        <v>451</v>
      </c>
      <c r="D2625" s="644" t="s">
        <v>9108</v>
      </c>
      <c r="E2625" s="736">
        <v>2300</v>
      </c>
      <c r="F2625" s="737" t="s">
        <v>9109</v>
      </c>
      <c r="G2625" s="636" t="s">
        <v>9110</v>
      </c>
      <c r="H2625" s="636" t="s">
        <v>3915</v>
      </c>
      <c r="I2625" s="636" t="s">
        <v>4559</v>
      </c>
      <c r="J2625" s="644" t="s">
        <v>643</v>
      </c>
      <c r="K2625" s="753">
        <v>4</v>
      </c>
      <c r="L2625" s="754">
        <v>9</v>
      </c>
      <c r="M2625" s="736">
        <v>22660.799999999999</v>
      </c>
      <c r="N2625" s="744"/>
      <c r="O2625" s="739"/>
      <c r="P2625" s="739"/>
      <c r="Q2625" s="214"/>
    </row>
    <row r="2626" spans="1:17" ht="12" customHeight="1" x14ac:dyDescent="0.2">
      <c r="A2626" s="735" t="s">
        <v>7733</v>
      </c>
      <c r="B2626" s="735" t="s">
        <v>2170</v>
      </c>
      <c r="C2626" s="735" t="s">
        <v>451</v>
      </c>
      <c r="D2626" s="644" t="s">
        <v>9111</v>
      </c>
      <c r="E2626" s="736">
        <v>5000</v>
      </c>
      <c r="F2626" s="737" t="s">
        <v>9112</v>
      </c>
      <c r="G2626" s="636" t="s">
        <v>9113</v>
      </c>
      <c r="H2626" s="636" t="s">
        <v>6571</v>
      </c>
      <c r="I2626" s="636" t="s">
        <v>2179</v>
      </c>
      <c r="J2626" s="644" t="s">
        <v>642</v>
      </c>
      <c r="K2626" s="753">
        <v>5</v>
      </c>
      <c r="L2626" s="754">
        <v>12</v>
      </c>
      <c r="M2626" s="736">
        <v>61960.800000000003</v>
      </c>
      <c r="N2626" s="744"/>
      <c r="O2626" s="739"/>
      <c r="P2626" s="739"/>
      <c r="Q2626" s="214"/>
    </row>
    <row r="2627" spans="1:17" ht="12" customHeight="1" x14ac:dyDescent="0.2">
      <c r="A2627" s="735" t="s">
        <v>7733</v>
      </c>
      <c r="B2627" s="735" t="s">
        <v>2170</v>
      </c>
      <c r="C2627" s="735" t="s">
        <v>451</v>
      </c>
      <c r="D2627" s="644" t="s">
        <v>8114</v>
      </c>
      <c r="E2627" s="736">
        <v>3000</v>
      </c>
      <c r="F2627" s="737" t="s">
        <v>9114</v>
      </c>
      <c r="G2627" s="636" t="s">
        <v>9115</v>
      </c>
      <c r="H2627" s="636" t="s">
        <v>9116</v>
      </c>
      <c r="I2627" s="636" t="s">
        <v>9117</v>
      </c>
      <c r="J2627" s="644" t="s">
        <v>644</v>
      </c>
      <c r="K2627" s="753">
        <v>5</v>
      </c>
      <c r="L2627" s="754">
        <v>12</v>
      </c>
      <c r="M2627" s="736">
        <v>37960.800000000003</v>
      </c>
      <c r="N2627" s="744"/>
      <c r="O2627" s="739"/>
      <c r="P2627" s="739"/>
      <c r="Q2627" s="214"/>
    </row>
    <row r="2628" spans="1:17" ht="12" customHeight="1" x14ac:dyDescent="0.2">
      <c r="A2628" s="735" t="s">
        <v>7733</v>
      </c>
      <c r="B2628" s="735" t="s">
        <v>2170</v>
      </c>
      <c r="C2628" s="735" t="s">
        <v>451</v>
      </c>
      <c r="D2628" s="644" t="s">
        <v>7977</v>
      </c>
      <c r="E2628" s="736">
        <v>4000</v>
      </c>
      <c r="F2628" s="737" t="s">
        <v>9118</v>
      </c>
      <c r="G2628" s="636" t="s">
        <v>9119</v>
      </c>
      <c r="H2628" s="636" t="s">
        <v>7782</v>
      </c>
      <c r="I2628" s="636" t="s">
        <v>2208</v>
      </c>
      <c r="J2628" s="644" t="s">
        <v>642</v>
      </c>
      <c r="K2628" s="753">
        <v>11</v>
      </c>
      <c r="L2628" s="754">
        <v>12</v>
      </c>
      <c r="M2628" s="736">
        <v>49960.800000000003</v>
      </c>
      <c r="N2628" s="744"/>
      <c r="O2628" s="739"/>
      <c r="P2628" s="739"/>
      <c r="Q2628" s="214"/>
    </row>
    <row r="2629" spans="1:17" ht="12" customHeight="1" x14ac:dyDescent="0.2">
      <c r="A2629" s="735" t="s">
        <v>7733</v>
      </c>
      <c r="B2629" s="735" t="s">
        <v>2170</v>
      </c>
      <c r="C2629" s="735" t="s">
        <v>451</v>
      </c>
      <c r="D2629" s="644" t="s">
        <v>7904</v>
      </c>
      <c r="E2629" s="736">
        <v>3000</v>
      </c>
      <c r="F2629" s="737" t="s">
        <v>9120</v>
      </c>
      <c r="G2629" s="636" t="s">
        <v>9121</v>
      </c>
      <c r="H2629" s="636" t="s">
        <v>8315</v>
      </c>
      <c r="I2629" s="636" t="s">
        <v>7917</v>
      </c>
      <c r="J2629" s="644" t="s">
        <v>643</v>
      </c>
      <c r="K2629" s="753">
        <v>12</v>
      </c>
      <c r="L2629" s="754">
        <v>12</v>
      </c>
      <c r="M2629" s="736">
        <v>37960.800000000003</v>
      </c>
      <c r="N2629" s="744"/>
      <c r="O2629" s="739"/>
      <c r="P2629" s="739"/>
      <c r="Q2629" s="214"/>
    </row>
    <row r="2630" spans="1:17" ht="12" customHeight="1" x14ac:dyDescent="0.2">
      <c r="A2630" s="735" t="s">
        <v>7733</v>
      </c>
      <c r="B2630" s="735" t="s">
        <v>2170</v>
      </c>
      <c r="C2630" s="735" t="s">
        <v>451</v>
      </c>
      <c r="D2630" s="644" t="s">
        <v>8078</v>
      </c>
      <c r="E2630" s="736">
        <v>2500</v>
      </c>
      <c r="F2630" s="737" t="s">
        <v>9122</v>
      </c>
      <c r="G2630" s="636" t="s">
        <v>9123</v>
      </c>
      <c r="H2630" s="636" t="s">
        <v>7854</v>
      </c>
      <c r="I2630" s="636" t="s">
        <v>7854</v>
      </c>
      <c r="J2630" s="644" t="s">
        <v>643</v>
      </c>
      <c r="K2630" s="753">
        <v>12</v>
      </c>
      <c r="L2630" s="754">
        <v>12</v>
      </c>
      <c r="M2630" s="736">
        <v>31960.799999999999</v>
      </c>
      <c r="N2630" s="744"/>
      <c r="O2630" s="739"/>
      <c r="P2630" s="739"/>
      <c r="Q2630" s="214"/>
    </row>
    <row r="2631" spans="1:17" ht="12" customHeight="1" x14ac:dyDescent="0.2">
      <c r="A2631" s="735" t="s">
        <v>7733</v>
      </c>
      <c r="B2631" s="735" t="s">
        <v>2170</v>
      </c>
      <c r="C2631" s="735" t="s">
        <v>451</v>
      </c>
      <c r="D2631" s="644" t="s">
        <v>9124</v>
      </c>
      <c r="E2631" s="736">
        <v>2200</v>
      </c>
      <c r="F2631" s="737" t="s">
        <v>9125</v>
      </c>
      <c r="G2631" s="636" t="s">
        <v>9126</v>
      </c>
      <c r="H2631" s="636" t="s">
        <v>8354</v>
      </c>
      <c r="I2631" s="636" t="s">
        <v>3057</v>
      </c>
      <c r="J2631" s="644" t="s">
        <v>642</v>
      </c>
      <c r="K2631" s="753">
        <v>1</v>
      </c>
      <c r="L2631" s="754">
        <v>12</v>
      </c>
      <c r="M2631" s="736">
        <v>28360.799999999999</v>
      </c>
      <c r="N2631" s="744"/>
      <c r="O2631" s="739"/>
      <c r="P2631" s="739"/>
      <c r="Q2631" s="214"/>
    </row>
    <row r="2632" spans="1:17" ht="12" customHeight="1" x14ac:dyDescent="0.2">
      <c r="A2632" s="735" t="s">
        <v>7733</v>
      </c>
      <c r="B2632" s="735" t="s">
        <v>2170</v>
      </c>
      <c r="C2632" s="735" t="s">
        <v>451</v>
      </c>
      <c r="D2632" s="644" t="s">
        <v>8288</v>
      </c>
      <c r="E2632" s="736">
        <v>3000</v>
      </c>
      <c r="F2632" s="737" t="s">
        <v>9127</v>
      </c>
      <c r="G2632" s="636" t="s">
        <v>9128</v>
      </c>
      <c r="H2632" s="636" t="s">
        <v>6848</v>
      </c>
      <c r="I2632" s="636" t="s">
        <v>2602</v>
      </c>
      <c r="J2632" s="644" t="s">
        <v>643</v>
      </c>
      <c r="K2632" s="753">
        <v>5</v>
      </c>
      <c r="L2632" s="754">
        <v>12</v>
      </c>
      <c r="M2632" s="736">
        <v>37960.800000000003</v>
      </c>
      <c r="N2632" s="744"/>
      <c r="O2632" s="739"/>
      <c r="P2632" s="739"/>
      <c r="Q2632" s="214"/>
    </row>
    <row r="2633" spans="1:17" ht="12" customHeight="1" x14ac:dyDescent="0.2">
      <c r="A2633" s="735" t="s">
        <v>7733</v>
      </c>
      <c r="B2633" s="735" t="s">
        <v>2170</v>
      </c>
      <c r="C2633" s="735" t="s">
        <v>451</v>
      </c>
      <c r="D2633" s="644" t="s">
        <v>8078</v>
      </c>
      <c r="E2633" s="736">
        <v>2500</v>
      </c>
      <c r="F2633" s="737" t="s">
        <v>9129</v>
      </c>
      <c r="G2633" s="636" t="s">
        <v>9130</v>
      </c>
      <c r="H2633" s="636" t="s">
        <v>3522</v>
      </c>
      <c r="I2633" s="636" t="s">
        <v>8663</v>
      </c>
      <c r="J2633" s="644" t="s">
        <v>643</v>
      </c>
      <c r="K2633" s="753">
        <v>12</v>
      </c>
      <c r="L2633" s="754">
        <v>12</v>
      </c>
      <c r="M2633" s="736">
        <v>31960.799999999999</v>
      </c>
      <c r="N2633" s="744"/>
      <c r="O2633" s="739"/>
      <c r="P2633" s="739"/>
      <c r="Q2633" s="214"/>
    </row>
    <row r="2634" spans="1:17" ht="12" customHeight="1" x14ac:dyDescent="0.2">
      <c r="A2634" s="735" t="s">
        <v>7733</v>
      </c>
      <c r="B2634" s="735" t="s">
        <v>2170</v>
      </c>
      <c r="C2634" s="735" t="s">
        <v>451</v>
      </c>
      <c r="D2634" s="644" t="s">
        <v>7871</v>
      </c>
      <c r="E2634" s="736">
        <v>4000</v>
      </c>
      <c r="F2634" s="737" t="s">
        <v>9131</v>
      </c>
      <c r="G2634" s="636" t="s">
        <v>9132</v>
      </c>
      <c r="H2634" s="636" t="s">
        <v>8000</v>
      </c>
      <c r="I2634" s="636" t="s">
        <v>2445</v>
      </c>
      <c r="J2634" s="644" t="s">
        <v>642</v>
      </c>
      <c r="K2634" s="753">
        <v>1</v>
      </c>
      <c r="L2634" s="754">
        <v>3</v>
      </c>
      <c r="M2634" s="736">
        <v>13960.8</v>
      </c>
      <c r="N2634" s="744"/>
      <c r="O2634" s="739"/>
      <c r="P2634" s="739"/>
      <c r="Q2634" s="214"/>
    </row>
    <row r="2635" spans="1:17" ht="12" customHeight="1" x14ac:dyDescent="0.2">
      <c r="A2635" s="735" t="s">
        <v>7733</v>
      </c>
      <c r="B2635" s="735" t="s">
        <v>2170</v>
      </c>
      <c r="C2635" s="735" t="s">
        <v>451</v>
      </c>
      <c r="D2635" s="644" t="s">
        <v>7746</v>
      </c>
      <c r="E2635" s="736">
        <v>1700</v>
      </c>
      <c r="F2635" s="737" t="s">
        <v>9133</v>
      </c>
      <c r="G2635" s="636" t="s">
        <v>9134</v>
      </c>
      <c r="H2635" s="636"/>
      <c r="I2635" s="636"/>
      <c r="J2635" s="644" t="s">
        <v>643</v>
      </c>
      <c r="K2635" s="753">
        <v>12</v>
      </c>
      <c r="L2635" s="754">
        <v>12</v>
      </c>
      <c r="M2635" s="736">
        <v>22836</v>
      </c>
      <c r="N2635" s="744"/>
      <c r="O2635" s="739"/>
      <c r="P2635" s="739"/>
      <c r="Q2635" s="214"/>
    </row>
    <row r="2636" spans="1:17" ht="12" customHeight="1" x14ac:dyDescent="0.2">
      <c r="A2636" s="735" t="s">
        <v>7733</v>
      </c>
      <c r="B2636" s="735" t="s">
        <v>2170</v>
      </c>
      <c r="C2636" s="735" t="s">
        <v>451</v>
      </c>
      <c r="D2636" s="644" t="s">
        <v>9135</v>
      </c>
      <c r="E2636" s="736">
        <v>4500</v>
      </c>
      <c r="F2636" s="737" t="s">
        <v>9136</v>
      </c>
      <c r="G2636" s="636" t="s">
        <v>9137</v>
      </c>
      <c r="H2636" s="636" t="s">
        <v>7752</v>
      </c>
      <c r="I2636" s="636" t="s">
        <v>2179</v>
      </c>
      <c r="J2636" s="644" t="s">
        <v>642</v>
      </c>
      <c r="K2636" s="753">
        <v>5</v>
      </c>
      <c r="L2636" s="754">
        <v>12</v>
      </c>
      <c r="M2636" s="736">
        <v>55960.800000000003</v>
      </c>
      <c r="N2636" s="744"/>
      <c r="O2636" s="739"/>
      <c r="P2636" s="739"/>
      <c r="Q2636" s="214"/>
    </row>
    <row r="2637" spans="1:17" ht="12" customHeight="1" x14ac:dyDescent="0.2">
      <c r="A2637" s="735" t="s">
        <v>7733</v>
      </c>
      <c r="B2637" s="735" t="s">
        <v>2170</v>
      </c>
      <c r="C2637" s="735" t="s">
        <v>451</v>
      </c>
      <c r="D2637" s="644" t="s">
        <v>7838</v>
      </c>
      <c r="E2637" s="736">
        <v>2500</v>
      </c>
      <c r="F2637" s="737" t="s">
        <v>9138</v>
      </c>
      <c r="G2637" s="636" t="s">
        <v>9139</v>
      </c>
      <c r="H2637" s="636"/>
      <c r="I2637" s="636"/>
      <c r="J2637" s="644" t="s">
        <v>642</v>
      </c>
      <c r="K2637" s="753">
        <v>10</v>
      </c>
      <c r="L2637" s="754">
        <v>10</v>
      </c>
      <c r="M2637" s="736">
        <v>26960.799999999999</v>
      </c>
      <c r="N2637" s="744"/>
      <c r="O2637" s="739"/>
      <c r="P2637" s="739"/>
      <c r="Q2637" s="214"/>
    </row>
    <row r="2638" spans="1:17" ht="12" customHeight="1" x14ac:dyDescent="0.2">
      <c r="A2638" s="735" t="s">
        <v>7733</v>
      </c>
      <c r="B2638" s="735" t="s">
        <v>2170</v>
      </c>
      <c r="C2638" s="735" t="s">
        <v>451</v>
      </c>
      <c r="D2638" s="644" t="s">
        <v>8078</v>
      </c>
      <c r="E2638" s="736">
        <v>2500</v>
      </c>
      <c r="F2638" s="737" t="s">
        <v>9140</v>
      </c>
      <c r="G2638" s="636" t="s">
        <v>9141</v>
      </c>
      <c r="H2638" s="636" t="s">
        <v>6778</v>
      </c>
      <c r="I2638" s="636" t="s">
        <v>9142</v>
      </c>
      <c r="J2638" s="644" t="s">
        <v>643</v>
      </c>
      <c r="K2638" s="753">
        <v>1</v>
      </c>
      <c r="L2638" s="754">
        <v>12</v>
      </c>
      <c r="M2638" s="736">
        <v>31960.799999999999</v>
      </c>
      <c r="N2638" s="744"/>
      <c r="O2638" s="739"/>
      <c r="P2638" s="739"/>
      <c r="Q2638" s="214"/>
    </row>
    <row r="2639" spans="1:17" ht="12" customHeight="1" x14ac:dyDescent="0.2">
      <c r="A2639" s="735" t="s">
        <v>7733</v>
      </c>
      <c r="B2639" s="735" t="s">
        <v>2170</v>
      </c>
      <c r="C2639" s="735" t="s">
        <v>451</v>
      </c>
      <c r="D2639" s="644" t="s">
        <v>9143</v>
      </c>
      <c r="E2639" s="736">
        <v>2500</v>
      </c>
      <c r="F2639" s="737" t="s">
        <v>9144</v>
      </c>
      <c r="G2639" s="636" t="s">
        <v>9145</v>
      </c>
      <c r="H2639" s="636" t="s">
        <v>6613</v>
      </c>
      <c r="I2639" s="636" t="s">
        <v>2745</v>
      </c>
      <c r="J2639" s="644" t="s">
        <v>643</v>
      </c>
      <c r="K2639" s="753">
        <v>5</v>
      </c>
      <c r="L2639" s="754">
        <v>12</v>
      </c>
      <c r="M2639" s="736">
        <v>31960.799999999999</v>
      </c>
      <c r="N2639" s="744"/>
      <c r="O2639" s="739"/>
      <c r="P2639" s="739"/>
      <c r="Q2639" s="214"/>
    </row>
    <row r="2640" spans="1:17" ht="12" customHeight="1" x14ac:dyDescent="0.2">
      <c r="A2640" s="735" t="s">
        <v>7733</v>
      </c>
      <c r="B2640" s="735" t="s">
        <v>2170</v>
      </c>
      <c r="C2640" s="735" t="s">
        <v>451</v>
      </c>
      <c r="D2640" s="644" t="s">
        <v>9146</v>
      </c>
      <c r="E2640" s="736">
        <v>4000</v>
      </c>
      <c r="F2640" s="737" t="s">
        <v>9147</v>
      </c>
      <c r="G2640" s="636" t="s">
        <v>9148</v>
      </c>
      <c r="H2640" s="636" t="s">
        <v>6571</v>
      </c>
      <c r="I2640" s="636" t="s">
        <v>2179</v>
      </c>
      <c r="J2640" s="644" t="s">
        <v>642</v>
      </c>
      <c r="K2640" s="753">
        <v>12</v>
      </c>
      <c r="L2640" s="754">
        <v>12</v>
      </c>
      <c r="M2640" s="736">
        <v>49960.800000000003</v>
      </c>
      <c r="N2640" s="744"/>
      <c r="O2640" s="739"/>
      <c r="P2640" s="739"/>
      <c r="Q2640" s="214"/>
    </row>
    <row r="2641" spans="1:17" ht="12" customHeight="1" x14ac:dyDescent="0.2">
      <c r="A2641" s="735" t="s">
        <v>7733</v>
      </c>
      <c r="B2641" s="735" t="s">
        <v>2170</v>
      </c>
      <c r="C2641" s="735" t="s">
        <v>451</v>
      </c>
      <c r="D2641" s="644" t="s">
        <v>9149</v>
      </c>
      <c r="E2641" s="736">
        <v>3000</v>
      </c>
      <c r="F2641" s="737" t="s">
        <v>9150</v>
      </c>
      <c r="G2641" s="636" t="s">
        <v>9151</v>
      </c>
      <c r="H2641" s="636" t="s">
        <v>6571</v>
      </c>
      <c r="I2641" s="636" t="s">
        <v>2179</v>
      </c>
      <c r="J2641" s="644" t="s">
        <v>642</v>
      </c>
      <c r="K2641" s="753">
        <v>12</v>
      </c>
      <c r="L2641" s="754">
        <v>12</v>
      </c>
      <c r="M2641" s="736">
        <v>37960.800000000003</v>
      </c>
      <c r="N2641" s="744"/>
      <c r="O2641" s="739"/>
      <c r="P2641" s="739"/>
      <c r="Q2641" s="214"/>
    </row>
    <row r="2642" spans="1:17" ht="12" customHeight="1" x14ac:dyDescent="0.2">
      <c r="A2642" s="735" t="s">
        <v>7733</v>
      </c>
      <c r="B2642" s="735" t="s">
        <v>2170</v>
      </c>
      <c r="C2642" s="735" t="s">
        <v>451</v>
      </c>
      <c r="D2642" s="644" t="s">
        <v>8023</v>
      </c>
      <c r="E2642" s="736">
        <v>2500</v>
      </c>
      <c r="F2642" s="737" t="s">
        <v>9152</v>
      </c>
      <c r="G2642" s="636" t="s">
        <v>9153</v>
      </c>
      <c r="H2642" s="636" t="s">
        <v>2228</v>
      </c>
      <c r="I2642" s="636" t="s">
        <v>2228</v>
      </c>
      <c r="J2642" s="644"/>
      <c r="K2642" s="753">
        <v>1</v>
      </c>
      <c r="L2642" s="754">
        <v>3</v>
      </c>
      <c r="M2642" s="736">
        <v>9460.7999999999993</v>
      </c>
      <c r="N2642" s="744"/>
      <c r="O2642" s="739"/>
      <c r="P2642" s="739"/>
      <c r="Q2642" s="214"/>
    </row>
    <row r="2643" spans="1:17" ht="12" customHeight="1" x14ac:dyDescent="0.2">
      <c r="A2643" s="735" t="s">
        <v>7733</v>
      </c>
      <c r="B2643" s="735" t="s">
        <v>2170</v>
      </c>
      <c r="C2643" s="735" t="s">
        <v>451</v>
      </c>
      <c r="D2643" s="644" t="s">
        <v>8417</v>
      </c>
      <c r="E2643" s="736">
        <v>1000</v>
      </c>
      <c r="F2643" s="737" t="s">
        <v>9154</v>
      </c>
      <c r="G2643" s="636" t="s">
        <v>9155</v>
      </c>
      <c r="H2643" s="636" t="s">
        <v>6778</v>
      </c>
      <c r="I2643" s="636" t="s">
        <v>9156</v>
      </c>
      <c r="J2643" s="644" t="s">
        <v>644</v>
      </c>
      <c r="K2643" s="753">
        <v>12</v>
      </c>
      <c r="L2643" s="754">
        <v>12</v>
      </c>
      <c r="M2643" s="736">
        <v>13680</v>
      </c>
      <c r="N2643" s="744"/>
      <c r="O2643" s="739"/>
      <c r="P2643" s="739"/>
      <c r="Q2643" s="214"/>
    </row>
    <row r="2644" spans="1:17" ht="12" customHeight="1" x14ac:dyDescent="0.2">
      <c r="A2644" s="735" t="s">
        <v>7733</v>
      </c>
      <c r="B2644" s="735" t="s">
        <v>2170</v>
      </c>
      <c r="C2644" s="735" t="s">
        <v>451</v>
      </c>
      <c r="D2644" s="644" t="s">
        <v>9157</v>
      </c>
      <c r="E2644" s="736">
        <v>1800</v>
      </c>
      <c r="F2644" s="737" t="s">
        <v>9158</v>
      </c>
      <c r="G2644" s="636" t="s">
        <v>9159</v>
      </c>
      <c r="H2644" s="636" t="s">
        <v>2228</v>
      </c>
      <c r="I2644" s="636" t="s">
        <v>2228</v>
      </c>
      <c r="J2644" s="644"/>
      <c r="K2644" s="753">
        <v>2</v>
      </c>
      <c r="L2644" s="754">
        <v>3</v>
      </c>
      <c r="M2644" s="736">
        <v>7944</v>
      </c>
      <c r="N2644" s="744"/>
      <c r="O2644" s="739"/>
      <c r="P2644" s="739"/>
      <c r="Q2644" s="214"/>
    </row>
    <row r="2645" spans="1:17" ht="12" customHeight="1" x14ac:dyDescent="0.2">
      <c r="A2645" s="735" t="s">
        <v>7733</v>
      </c>
      <c r="B2645" s="735" t="s">
        <v>2170</v>
      </c>
      <c r="C2645" s="735" t="s">
        <v>451</v>
      </c>
      <c r="D2645" s="644" t="s">
        <v>8404</v>
      </c>
      <c r="E2645" s="736">
        <v>1000</v>
      </c>
      <c r="F2645" s="737" t="s">
        <v>9160</v>
      </c>
      <c r="G2645" s="636" t="s">
        <v>9161</v>
      </c>
      <c r="H2645" s="636"/>
      <c r="I2645" s="636"/>
      <c r="J2645" s="644" t="s">
        <v>644</v>
      </c>
      <c r="K2645" s="753">
        <v>12</v>
      </c>
      <c r="L2645" s="754">
        <v>12</v>
      </c>
      <c r="M2645" s="736">
        <v>13680</v>
      </c>
      <c r="N2645" s="744"/>
      <c r="O2645" s="739"/>
      <c r="P2645" s="739"/>
      <c r="Q2645" s="214"/>
    </row>
    <row r="2646" spans="1:17" ht="12" customHeight="1" x14ac:dyDescent="0.2">
      <c r="A2646" s="735" t="s">
        <v>7733</v>
      </c>
      <c r="B2646" s="735" t="s">
        <v>2170</v>
      </c>
      <c r="C2646" s="735" t="s">
        <v>451</v>
      </c>
      <c r="D2646" s="644" t="s">
        <v>2560</v>
      </c>
      <c r="E2646" s="736">
        <v>2500</v>
      </c>
      <c r="F2646" s="737" t="s">
        <v>9162</v>
      </c>
      <c r="G2646" s="636" t="s">
        <v>9163</v>
      </c>
      <c r="H2646" s="636" t="s">
        <v>8067</v>
      </c>
      <c r="I2646" s="636" t="s">
        <v>6668</v>
      </c>
      <c r="J2646" s="644" t="s">
        <v>643</v>
      </c>
      <c r="K2646" s="753">
        <v>5</v>
      </c>
      <c r="L2646" s="754">
        <v>12</v>
      </c>
      <c r="M2646" s="736">
        <v>31960.799999999999</v>
      </c>
      <c r="N2646" s="744"/>
      <c r="O2646" s="739"/>
      <c r="P2646" s="739"/>
      <c r="Q2646" s="214"/>
    </row>
    <row r="2647" spans="1:17" ht="12" customHeight="1" x14ac:dyDescent="0.2">
      <c r="A2647" s="735" t="s">
        <v>7733</v>
      </c>
      <c r="B2647" s="735" t="s">
        <v>2170</v>
      </c>
      <c r="C2647" s="735" t="s">
        <v>451</v>
      </c>
      <c r="D2647" s="644" t="s">
        <v>7946</v>
      </c>
      <c r="E2647" s="736">
        <v>4000</v>
      </c>
      <c r="F2647" s="737" t="s">
        <v>9164</v>
      </c>
      <c r="G2647" s="636" t="s">
        <v>9165</v>
      </c>
      <c r="H2647" s="636"/>
      <c r="I2647" s="636"/>
      <c r="J2647" s="644" t="s">
        <v>642</v>
      </c>
      <c r="K2647" s="753">
        <v>9</v>
      </c>
      <c r="L2647" s="754">
        <v>9</v>
      </c>
      <c r="M2647" s="736">
        <v>37960.800000000003</v>
      </c>
      <c r="N2647" s="744"/>
      <c r="O2647" s="739"/>
      <c r="P2647" s="739"/>
      <c r="Q2647" s="214"/>
    </row>
    <row r="2648" spans="1:17" ht="12" customHeight="1" x14ac:dyDescent="0.2">
      <c r="A2648" s="735" t="s">
        <v>7733</v>
      </c>
      <c r="B2648" s="735" t="s">
        <v>2170</v>
      </c>
      <c r="C2648" s="735" t="s">
        <v>451</v>
      </c>
      <c r="D2648" s="644" t="s">
        <v>7817</v>
      </c>
      <c r="E2648" s="736">
        <v>1800</v>
      </c>
      <c r="F2648" s="737" t="s">
        <v>9166</v>
      </c>
      <c r="G2648" s="636" t="s">
        <v>9167</v>
      </c>
      <c r="H2648" s="636" t="s">
        <v>9168</v>
      </c>
      <c r="I2648" s="636" t="s">
        <v>8323</v>
      </c>
      <c r="J2648" s="644" t="s">
        <v>643</v>
      </c>
      <c r="K2648" s="753">
        <v>12</v>
      </c>
      <c r="L2648" s="754">
        <v>12</v>
      </c>
      <c r="M2648" s="736">
        <v>24144</v>
      </c>
      <c r="N2648" s="744"/>
      <c r="O2648" s="739"/>
      <c r="P2648" s="739"/>
      <c r="Q2648" s="214"/>
    </row>
    <row r="2649" spans="1:17" ht="12" customHeight="1" x14ac:dyDescent="0.2">
      <c r="A2649" s="735" t="s">
        <v>7733</v>
      </c>
      <c r="B2649" s="735" t="s">
        <v>2170</v>
      </c>
      <c r="C2649" s="735" t="s">
        <v>451</v>
      </c>
      <c r="D2649" s="644" t="s">
        <v>9169</v>
      </c>
      <c r="E2649" s="736">
        <v>4500</v>
      </c>
      <c r="F2649" s="737" t="s">
        <v>9170</v>
      </c>
      <c r="G2649" s="636" t="s">
        <v>9171</v>
      </c>
      <c r="H2649" s="636" t="s">
        <v>8000</v>
      </c>
      <c r="I2649" s="636" t="s">
        <v>2478</v>
      </c>
      <c r="J2649" s="644" t="s">
        <v>642</v>
      </c>
      <c r="K2649" s="753">
        <v>5</v>
      </c>
      <c r="L2649" s="754">
        <v>12</v>
      </c>
      <c r="M2649" s="736">
        <v>55960.800000000003</v>
      </c>
      <c r="N2649" s="744"/>
      <c r="O2649" s="739"/>
      <c r="P2649" s="739"/>
      <c r="Q2649" s="214"/>
    </row>
    <row r="2650" spans="1:17" ht="12" customHeight="1" x14ac:dyDescent="0.2">
      <c r="A2650" s="735" t="s">
        <v>7733</v>
      </c>
      <c r="B2650" s="735" t="s">
        <v>2170</v>
      </c>
      <c r="C2650" s="735" t="s">
        <v>451</v>
      </c>
      <c r="D2650" s="644" t="s">
        <v>8045</v>
      </c>
      <c r="E2650" s="736">
        <v>2200</v>
      </c>
      <c r="F2650" s="737" t="s">
        <v>9172</v>
      </c>
      <c r="G2650" s="636" t="s">
        <v>9173</v>
      </c>
      <c r="H2650" s="636" t="s">
        <v>9174</v>
      </c>
      <c r="I2650" s="636" t="s">
        <v>9175</v>
      </c>
      <c r="J2650" s="644" t="s">
        <v>7991</v>
      </c>
      <c r="K2650" s="753">
        <v>1</v>
      </c>
      <c r="L2650" s="754">
        <v>1</v>
      </c>
      <c r="M2650" s="736">
        <v>4160.8</v>
      </c>
      <c r="N2650" s="744"/>
      <c r="O2650" s="739"/>
      <c r="P2650" s="739"/>
      <c r="Q2650" s="214"/>
    </row>
    <row r="2651" spans="1:17" ht="12" customHeight="1" x14ac:dyDescent="0.2">
      <c r="A2651" s="735" t="s">
        <v>7733</v>
      </c>
      <c r="B2651" s="735" t="s">
        <v>2170</v>
      </c>
      <c r="C2651" s="735" t="s">
        <v>451</v>
      </c>
      <c r="D2651" s="644" t="s">
        <v>8791</v>
      </c>
      <c r="E2651" s="736">
        <v>2500</v>
      </c>
      <c r="F2651" s="737" t="s">
        <v>9176</v>
      </c>
      <c r="G2651" s="636" t="s">
        <v>9177</v>
      </c>
      <c r="H2651" s="636" t="s">
        <v>6778</v>
      </c>
      <c r="I2651" s="636" t="s">
        <v>3760</v>
      </c>
      <c r="J2651" s="644" t="s">
        <v>643</v>
      </c>
      <c r="K2651" s="753">
        <v>1</v>
      </c>
      <c r="L2651" s="754">
        <v>3</v>
      </c>
      <c r="M2651" s="736">
        <v>9460.7999999999993</v>
      </c>
      <c r="N2651" s="744"/>
      <c r="O2651" s="739"/>
      <c r="P2651" s="739"/>
      <c r="Q2651" s="214"/>
    </row>
    <row r="2652" spans="1:17" ht="12" customHeight="1" x14ac:dyDescent="0.2">
      <c r="A2652" s="735" t="s">
        <v>7733</v>
      </c>
      <c r="B2652" s="735" t="s">
        <v>2170</v>
      </c>
      <c r="C2652" s="735" t="s">
        <v>451</v>
      </c>
      <c r="D2652" s="644" t="s">
        <v>9178</v>
      </c>
      <c r="E2652" s="736">
        <v>5000</v>
      </c>
      <c r="F2652" s="737" t="s">
        <v>9179</v>
      </c>
      <c r="G2652" s="636" t="s">
        <v>9180</v>
      </c>
      <c r="H2652" s="636" t="s">
        <v>3915</v>
      </c>
      <c r="I2652" s="636" t="s">
        <v>2766</v>
      </c>
      <c r="J2652" s="644" t="s">
        <v>643</v>
      </c>
      <c r="K2652" s="753">
        <v>5</v>
      </c>
      <c r="L2652" s="754">
        <v>12</v>
      </c>
      <c r="M2652" s="736">
        <v>61960.800000000003</v>
      </c>
      <c r="N2652" s="744"/>
      <c r="O2652" s="739"/>
      <c r="P2652" s="739"/>
      <c r="Q2652" s="214"/>
    </row>
    <row r="2653" spans="1:17" ht="12" customHeight="1" x14ac:dyDescent="0.2">
      <c r="A2653" s="735" t="s">
        <v>7733</v>
      </c>
      <c r="B2653" s="735" t="s">
        <v>2170</v>
      </c>
      <c r="C2653" s="735" t="s">
        <v>451</v>
      </c>
      <c r="D2653" s="644" t="s">
        <v>9181</v>
      </c>
      <c r="E2653" s="736">
        <v>3000</v>
      </c>
      <c r="F2653" s="737" t="s">
        <v>9182</v>
      </c>
      <c r="G2653" s="636" t="s">
        <v>9183</v>
      </c>
      <c r="H2653" s="636" t="s">
        <v>6571</v>
      </c>
      <c r="I2653" s="636" t="s">
        <v>2569</v>
      </c>
      <c r="J2653" s="644" t="s">
        <v>643</v>
      </c>
      <c r="K2653" s="753">
        <v>11</v>
      </c>
      <c r="L2653" s="754">
        <v>11</v>
      </c>
      <c r="M2653" s="736">
        <v>34960.800000000003</v>
      </c>
      <c r="N2653" s="744"/>
      <c r="O2653" s="739"/>
      <c r="P2653" s="739"/>
      <c r="Q2653" s="214"/>
    </row>
    <row r="2654" spans="1:17" ht="12" customHeight="1" x14ac:dyDescent="0.2">
      <c r="A2654" s="735" t="s">
        <v>7733</v>
      </c>
      <c r="B2654" s="735" t="s">
        <v>2170</v>
      </c>
      <c r="C2654" s="735" t="s">
        <v>451</v>
      </c>
      <c r="D2654" s="644" t="s">
        <v>9184</v>
      </c>
      <c r="E2654" s="736">
        <v>5600</v>
      </c>
      <c r="F2654" s="737" t="s">
        <v>9185</v>
      </c>
      <c r="G2654" s="636" t="s">
        <v>9186</v>
      </c>
      <c r="H2654" s="636"/>
      <c r="I2654" s="636"/>
      <c r="J2654" s="644" t="s">
        <v>642</v>
      </c>
      <c r="K2654" s="753">
        <v>5</v>
      </c>
      <c r="L2654" s="754">
        <v>12</v>
      </c>
      <c r="M2654" s="736">
        <v>69160.800000000003</v>
      </c>
      <c r="N2654" s="744"/>
      <c r="O2654" s="739"/>
      <c r="P2654" s="739"/>
      <c r="Q2654" s="214"/>
    </row>
    <row r="2655" spans="1:17" ht="12" customHeight="1" x14ac:dyDescent="0.2">
      <c r="A2655" s="735" t="s">
        <v>7733</v>
      </c>
      <c r="B2655" s="735" t="s">
        <v>2170</v>
      </c>
      <c r="C2655" s="735" t="s">
        <v>451</v>
      </c>
      <c r="D2655" s="644" t="s">
        <v>2190</v>
      </c>
      <c r="E2655" s="736">
        <v>2200</v>
      </c>
      <c r="F2655" s="737" t="s">
        <v>9187</v>
      </c>
      <c r="G2655" s="636" t="s">
        <v>9188</v>
      </c>
      <c r="H2655" s="636" t="s">
        <v>8135</v>
      </c>
      <c r="I2655" s="636" t="s">
        <v>8135</v>
      </c>
      <c r="J2655" s="644" t="s">
        <v>644</v>
      </c>
      <c r="K2655" s="753">
        <v>5</v>
      </c>
      <c r="L2655" s="754">
        <v>12</v>
      </c>
      <c r="M2655" s="736">
        <v>28360.799999999999</v>
      </c>
      <c r="N2655" s="744"/>
      <c r="O2655" s="739"/>
      <c r="P2655" s="739"/>
      <c r="Q2655" s="214"/>
    </row>
    <row r="2656" spans="1:17" ht="12" customHeight="1" x14ac:dyDescent="0.2">
      <c r="A2656" s="735" t="s">
        <v>7733</v>
      </c>
      <c r="B2656" s="735" t="s">
        <v>2170</v>
      </c>
      <c r="C2656" s="735" t="s">
        <v>451</v>
      </c>
      <c r="D2656" s="644" t="s">
        <v>9189</v>
      </c>
      <c r="E2656" s="736">
        <v>6000</v>
      </c>
      <c r="F2656" s="737" t="s">
        <v>9190</v>
      </c>
      <c r="G2656" s="636" t="s">
        <v>9191</v>
      </c>
      <c r="H2656" s="636" t="s">
        <v>2365</v>
      </c>
      <c r="I2656" s="636" t="s">
        <v>7782</v>
      </c>
      <c r="J2656" s="644" t="s">
        <v>642</v>
      </c>
      <c r="K2656" s="753">
        <v>5</v>
      </c>
      <c r="L2656" s="754">
        <v>12</v>
      </c>
      <c r="M2656" s="736">
        <v>73960.800000000003</v>
      </c>
      <c r="N2656" s="744"/>
      <c r="O2656" s="739"/>
      <c r="P2656" s="739"/>
      <c r="Q2656" s="214"/>
    </row>
    <row r="2657" spans="1:17" ht="12" customHeight="1" x14ac:dyDescent="0.2">
      <c r="A2657" s="735" t="s">
        <v>7733</v>
      </c>
      <c r="B2657" s="735" t="s">
        <v>2170</v>
      </c>
      <c r="C2657" s="735" t="s">
        <v>451</v>
      </c>
      <c r="D2657" s="644" t="s">
        <v>9192</v>
      </c>
      <c r="E2657" s="736">
        <v>3500</v>
      </c>
      <c r="F2657" s="737" t="s">
        <v>9193</v>
      </c>
      <c r="G2657" s="636" t="s">
        <v>9194</v>
      </c>
      <c r="H2657" s="636" t="s">
        <v>2228</v>
      </c>
      <c r="I2657" s="636" t="s">
        <v>2228</v>
      </c>
      <c r="J2657" s="644"/>
      <c r="K2657" s="753">
        <v>2</v>
      </c>
      <c r="L2657" s="754">
        <v>4</v>
      </c>
      <c r="M2657" s="736">
        <v>15960.8</v>
      </c>
      <c r="N2657" s="744"/>
      <c r="O2657" s="739"/>
      <c r="P2657" s="739"/>
      <c r="Q2657" s="214"/>
    </row>
    <row r="2658" spans="1:17" ht="12" customHeight="1" x14ac:dyDescent="0.2">
      <c r="A2658" s="735" t="s">
        <v>7733</v>
      </c>
      <c r="B2658" s="735" t="s">
        <v>2170</v>
      </c>
      <c r="C2658" s="735" t="s">
        <v>451</v>
      </c>
      <c r="D2658" s="644" t="s">
        <v>2190</v>
      </c>
      <c r="E2658" s="736">
        <v>1500</v>
      </c>
      <c r="F2658" s="737" t="s">
        <v>9195</v>
      </c>
      <c r="G2658" s="636" t="s">
        <v>9196</v>
      </c>
      <c r="H2658" s="636" t="s">
        <v>9197</v>
      </c>
      <c r="I2658" s="636" t="s">
        <v>9198</v>
      </c>
      <c r="J2658" s="644" t="s">
        <v>644</v>
      </c>
      <c r="K2658" s="753">
        <v>1</v>
      </c>
      <c r="L2658" s="754">
        <v>12</v>
      </c>
      <c r="M2658" s="736">
        <v>20220</v>
      </c>
      <c r="N2658" s="744"/>
      <c r="O2658" s="739"/>
      <c r="P2658" s="739"/>
      <c r="Q2658" s="214"/>
    </row>
    <row r="2659" spans="1:17" ht="12" customHeight="1" x14ac:dyDescent="0.2">
      <c r="A2659" s="735" t="s">
        <v>7733</v>
      </c>
      <c r="B2659" s="735" t="s">
        <v>2170</v>
      </c>
      <c r="C2659" s="735" t="s">
        <v>451</v>
      </c>
      <c r="D2659" s="644" t="s">
        <v>9199</v>
      </c>
      <c r="E2659" s="736">
        <v>6000</v>
      </c>
      <c r="F2659" s="737" t="s">
        <v>9200</v>
      </c>
      <c r="G2659" s="636" t="s">
        <v>9201</v>
      </c>
      <c r="H2659" s="636" t="s">
        <v>2228</v>
      </c>
      <c r="I2659" s="636" t="s">
        <v>2228</v>
      </c>
      <c r="J2659" s="644"/>
      <c r="K2659" s="753">
        <v>1</v>
      </c>
      <c r="L2659" s="754">
        <v>1</v>
      </c>
      <c r="M2659" s="736">
        <v>7960.8</v>
      </c>
      <c r="N2659" s="744"/>
      <c r="O2659" s="739"/>
      <c r="P2659" s="739"/>
      <c r="Q2659" s="214"/>
    </row>
    <row r="2660" spans="1:17" ht="12" customHeight="1" x14ac:dyDescent="0.2">
      <c r="A2660" s="735" t="s">
        <v>7733</v>
      </c>
      <c r="B2660" s="735" t="s">
        <v>2170</v>
      </c>
      <c r="C2660" s="735" t="s">
        <v>451</v>
      </c>
      <c r="D2660" s="644" t="s">
        <v>7858</v>
      </c>
      <c r="E2660" s="736">
        <v>3000</v>
      </c>
      <c r="F2660" s="737" t="s">
        <v>9202</v>
      </c>
      <c r="G2660" s="636" t="s">
        <v>9203</v>
      </c>
      <c r="H2660" s="636" t="s">
        <v>7152</v>
      </c>
      <c r="I2660" s="636" t="s">
        <v>2317</v>
      </c>
      <c r="J2660" s="644" t="s">
        <v>643</v>
      </c>
      <c r="K2660" s="753">
        <v>12</v>
      </c>
      <c r="L2660" s="754">
        <v>12</v>
      </c>
      <c r="M2660" s="736">
        <v>37960.800000000003</v>
      </c>
      <c r="N2660" s="744"/>
      <c r="O2660" s="739"/>
      <c r="P2660" s="739"/>
      <c r="Q2660" s="214"/>
    </row>
    <row r="2661" spans="1:17" ht="12" customHeight="1" x14ac:dyDescent="0.2">
      <c r="A2661" s="735" t="s">
        <v>7733</v>
      </c>
      <c r="B2661" s="735" t="s">
        <v>2170</v>
      </c>
      <c r="C2661" s="735" t="s">
        <v>451</v>
      </c>
      <c r="D2661" s="644" t="s">
        <v>8298</v>
      </c>
      <c r="E2661" s="736">
        <v>930</v>
      </c>
      <c r="F2661" s="737" t="s">
        <v>9204</v>
      </c>
      <c r="G2661" s="636" t="s">
        <v>9205</v>
      </c>
      <c r="H2661" s="636" t="s">
        <v>8089</v>
      </c>
      <c r="I2661" s="636" t="s">
        <v>8387</v>
      </c>
      <c r="J2661" s="644" t="s">
        <v>644</v>
      </c>
      <c r="K2661" s="753">
        <v>12</v>
      </c>
      <c r="L2661" s="754">
        <v>12</v>
      </c>
      <c r="M2661" s="736">
        <v>12764.4</v>
      </c>
      <c r="N2661" s="744"/>
      <c r="O2661" s="739"/>
      <c r="P2661" s="739"/>
      <c r="Q2661" s="214"/>
    </row>
    <row r="2662" spans="1:17" ht="12" customHeight="1" x14ac:dyDescent="0.2">
      <c r="A2662" s="735" t="s">
        <v>7733</v>
      </c>
      <c r="B2662" s="735" t="s">
        <v>2170</v>
      </c>
      <c r="C2662" s="735" t="s">
        <v>451</v>
      </c>
      <c r="D2662" s="644" t="s">
        <v>9206</v>
      </c>
      <c r="E2662" s="736">
        <v>5000</v>
      </c>
      <c r="F2662" s="737" t="s">
        <v>9207</v>
      </c>
      <c r="G2662" s="636" t="s">
        <v>9208</v>
      </c>
      <c r="H2662" s="636" t="s">
        <v>6571</v>
      </c>
      <c r="I2662" s="636" t="s">
        <v>2179</v>
      </c>
      <c r="J2662" s="644" t="s">
        <v>642</v>
      </c>
      <c r="K2662" s="753">
        <v>12</v>
      </c>
      <c r="L2662" s="754">
        <v>12</v>
      </c>
      <c r="M2662" s="736">
        <v>61960.800000000003</v>
      </c>
      <c r="N2662" s="744"/>
      <c r="O2662" s="739"/>
      <c r="P2662" s="739"/>
      <c r="Q2662" s="214"/>
    </row>
    <row r="2663" spans="1:17" ht="12" customHeight="1" x14ac:dyDescent="0.2">
      <c r="A2663" s="735" t="s">
        <v>7733</v>
      </c>
      <c r="B2663" s="735" t="s">
        <v>2170</v>
      </c>
      <c r="C2663" s="735" t="s">
        <v>451</v>
      </c>
      <c r="D2663" s="644" t="s">
        <v>8298</v>
      </c>
      <c r="E2663" s="736">
        <v>1000</v>
      </c>
      <c r="F2663" s="737" t="s">
        <v>9209</v>
      </c>
      <c r="G2663" s="636" t="s">
        <v>9210</v>
      </c>
      <c r="H2663" s="636"/>
      <c r="I2663" s="636"/>
      <c r="J2663" s="644" t="s">
        <v>644</v>
      </c>
      <c r="K2663" s="753">
        <v>1</v>
      </c>
      <c r="L2663" s="754">
        <v>12</v>
      </c>
      <c r="M2663" s="736">
        <v>13680</v>
      </c>
      <c r="N2663" s="744"/>
      <c r="O2663" s="739"/>
      <c r="P2663" s="739"/>
      <c r="Q2663" s="214"/>
    </row>
    <row r="2664" spans="1:17" ht="12" customHeight="1" x14ac:dyDescent="0.2">
      <c r="A2664" s="735" t="s">
        <v>7733</v>
      </c>
      <c r="B2664" s="735" t="s">
        <v>2170</v>
      </c>
      <c r="C2664" s="735" t="s">
        <v>451</v>
      </c>
      <c r="D2664" s="644" t="s">
        <v>8172</v>
      </c>
      <c r="E2664" s="736">
        <v>3500</v>
      </c>
      <c r="F2664" s="737" t="s">
        <v>9211</v>
      </c>
      <c r="G2664" s="636" t="s">
        <v>9212</v>
      </c>
      <c r="H2664" s="636"/>
      <c r="I2664" s="636"/>
      <c r="J2664" s="644" t="s">
        <v>642</v>
      </c>
      <c r="K2664" s="753">
        <v>12</v>
      </c>
      <c r="L2664" s="754">
        <v>12</v>
      </c>
      <c r="M2664" s="736">
        <v>43960.800000000003</v>
      </c>
      <c r="N2664" s="744"/>
      <c r="O2664" s="739"/>
      <c r="P2664" s="739"/>
      <c r="Q2664" s="214"/>
    </row>
    <row r="2665" spans="1:17" ht="12" customHeight="1" x14ac:dyDescent="0.2">
      <c r="A2665" s="735" t="s">
        <v>7733</v>
      </c>
      <c r="B2665" s="735" t="s">
        <v>2170</v>
      </c>
      <c r="C2665" s="735" t="s">
        <v>451</v>
      </c>
      <c r="D2665" s="644" t="s">
        <v>7868</v>
      </c>
      <c r="E2665" s="736">
        <v>4000</v>
      </c>
      <c r="F2665" s="737" t="s">
        <v>9213</v>
      </c>
      <c r="G2665" s="636" t="s">
        <v>9214</v>
      </c>
      <c r="H2665" s="636" t="s">
        <v>6571</v>
      </c>
      <c r="I2665" s="636" t="s">
        <v>2179</v>
      </c>
      <c r="J2665" s="644" t="s">
        <v>642</v>
      </c>
      <c r="K2665" s="753">
        <v>12</v>
      </c>
      <c r="L2665" s="754">
        <v>12</v>
      </c>
      <c r="M2665" s="736">
        <v>49960.800000000003</v>
      </c>
      <c r="N2665" s="744"/>
      <c r="O2665" s="739"/>
      <c r="P2665" s="739"/>
      <c r="Q2665" s="214"/>
    </row>
    <row r="2666" spans="1:17" ht="12" customHeight="1" x14ac:dyDescent="0.2">
      <c r="A2666" s="735" t="s">
        <v>7733</v>
      </c>
      <c r="B2666" s="735" t="s">
        <v>2170</v>
      </c>
      <c r="C2666" s="735" t="s">
        <v>451</v>
      </c>
      <c r="D2666" s="644" t="s">
        <v>8889</v>
      </c>
      <c r="E2666" s="736">
        <v>6000</v>
      </c>
      <c r="F2666" s="737" t="s">
        <v>9215</v>
      </c>
      <c r="G2666" s="636" t="s">
        <v>9216</v>
      </c>
      <c r="H2666" s="636" t="s">
        <v>6571</v>
      </c>
      <c r="I2666" s="636" t="s">
        <v>2179</v>
      </c>
      <c r="J2666" s="644" t="s">
        <v>642</v>
      </c>
      <c r="K2666" s="753">
        <v>4</v>
      </c>
      <c r="L2666" s="754">
        <v>12</v>
      </c>
      <c r="M2666" s="736">
        <v>73960.800000000003</v>
      </c>
      <c r="N2666" s="744"/>
      <c r="O2666" s="739"/>
      <c r="P2666" s="739"/>
      <c r="Q2666" s="214"/>
    </row>
    <row r="2667" spans="1:17" ht="12" customHeight="1" x14ac:dyDescent="0.2">
      <c r="A2667" s="735" t="s">
        <v>7733</v>
      </c>
      <c r="B2667" s="735" t="s">
        <v>2170</v>
      </c>
      <c r="C2667" s="735" t="s">
        <v>451</v>
      </c>
      <c r="D2667" s="644" t="s">
        <v>8268</v>
      </c>
      <c r="E2667" s="736">
        <v>2200</v>
      </c>
      <c r="F2667" s="737" t="s">
        <v>9217</v>
      </c>
      <c r="G2667" s="636" t="s">
        <v>9218</v>
      </c>
      <c r="H2667" s="636"/>
      <c r="I2667" s="636"/>
      <c r="J2667" s="644" t="s">
        <v>642</v>
      </c>
      <c r="K2667" s="753">
        <v>12</v>
      </c>
      <c r="L2667" s="754">
        <v>12</v>
      </c>
      <c r="M2667" s="736">
        <v>28360.799999999999</v>
      </c>
      <c r="N2667" s="744"/>
      <c r="O2667" s="739"/>
      <c r="P2667" s="739"/>
      <c r="Q2667" s="214"/>
    </row>
    <row r="2668" spans="1:17" ht="12" customHeight="1" x14ac:dyDescent="0.2">
      <c r="A2668" s="735" t="s">
        <v>7733</v>
      </c>
      <c r="B2668" s="735" t="s">
        <v>2170</v>
      </c>
      <c r="C2668" s="735" t="s">
        <v>451</v>
      </c>
      <c r="D2668" s="644" t="s">
        <v>2179</v>
      </c>
      <c r="E2668" s="736">
        <v>3000</v>
      </c>
      <c r="F2668" s="737" t="s">
        <v>9219</v>
      </c>
      <c r="G2668" s="636" t="s">
        <v>9220</v>
      </c>
      <c r="H2668" s="636" t="s">
        <v>6571</v>
      </c>
      <c r="I2668" s="636" t="s">
        <v>2179</v>
      </c>
      <c r="J2668" s="644" t="s">
        <v>642</v>
      </c>
      <c r="K2668" s="753">
        <v>12</v>
      </c>
      <c r="L2668" s="754">
        <v>12</v>
      </c>
      <c r="M2668" s="736">
        <v>37960.800000000003</v>
      </c>
      <c r="N2668" s="744"/>
      <c r="O2668" s="739"/>
      <c r="P2668" s="739"/>
      <c r="Q2668" s="214"/>
    </row>
    <row r="2669" spans="1:17" ht="12" customHeight="1" x14ac:dyDescent="0.2">
      <c r="A2669" s="735" t="s">
        <v>7733</v>
      </c>
      <c r="B2669" s="735" t="s">
        <v>2170</v>
      </c>
      <c r="C2669" s="735" t="s">
        <v>451</v>
      </c>
      <c r="D2669" s="644" t="s">
        <v>4885</v>
      </c>
      <c r="E2669" s="736">
        <v>5500</v>
      </c>
      <c r="F2669" s="737" t="s">
        <v>9221</v>
      </c>
      <c r="G2669" s="636" t="s">
        <v>9222</v>
      </c>
      <c r="H2669" s="636" t="s">
        <v>8135</v>
      </c>
      <c r="I2669" s="636" t="s">
        <v>8323</v>
      </c>
      <c r="J2669" s="644" t="s">
        <v>642</v>
      </c>
      <c r="K2669" s="753">
        <v>5</v>
      </c>
      <c r="L2669" s="754">
        <v>12</v>
      </c>
      <c r="M2669" s="736">
        <v>67960.800000000003</v>
      </c>
      <c r="N2669" s="744"/>
      <c r="O2669" s="739"/>
      <c r="P2669" s="739"/>
      <c r="Q2669" s="214"/>
    </row>
    <row r="2670" spans="1:17" ht="12" customHeight="1" x14ac:dyDescent="0.2">
      <c r="A2670" s="735" t="s">
        <v>7733</v>
      </c>
      <c r="B2670" s="735" t="s">
        <v>2170</v>
      </c>
      <c r="C2670" s="735" t="s">
        <v>451</v>
      </c>
      <c r="D2670" s="644" t="s">
        <v>7901</v>
      </c>
      <c r="E2670" s="736">
        <v>2500</v>
      </c>
      <c r="F2670" s="737" t="s">
        <v>9223</v>
      </c>
      <c r="G2670" s="636" t="s">
        <v>9224</v>
      </c>
      <c r="H2670" s="636" t="s">
        <v>8135</v>
      </c>
      <c r="I2670" s="636" t="s">
        <v>7874</v>
      </c>
      <c r="J2670" s="644" t="s">
        <v>644</v>
      </c>
      <c r="K2670" s="753">
        <v>12</v>
      </c>
      <c r="L2670" s="754">
        <v>12</v>
      </c>
      <c r="M2670" s="736">
        <v>31960.799999999999</v>
      </c>
      <c r="N2670" s="744"/>
      <c r="O2670" s="739"/>
      <c r="P2670" s="739"/>
      <c r="Q2670" s="214"/>
    </row>
    <row r="2671" spans="1:17" ht="12" customHeight="1" x14ac:dyDescent="0.2">
      <c r="A2671" s="735" t="s">
        <v>7733</v>
      </c>
      <c r="B2671" s="735" t="s">
        <v>2170</v>
      </c>
      <c r="C2671" s="735" t="s">
        <v>451</v>
      </c>
      <c r="D2671" s="644" t="s">
        <v>8268</v>
      </c>
      <c r="E2671" s="736">
        <v>2200</v>
      </c>
      <c r="F2671" s="737" t="s">
        <v>9225</v>
      </c>
      <c r="G2671" s="636" t="s">
        <v>9226</v>
      </c>
      <c r="H2671" s="636" t="s">
        <v>7772</v>
      </c>
      <c r="I2671" s="636" t="s">
        <v>8075</v>
      </c>
      <c r="J2671" s="644" t="s">
        <v>644</v>
      </c>
      <c r="K2671" s="753">
        <v>12</v>
      </c>
      <c r="L2671" s="754">
        <v>12</v>
      </c>
      <c r="M2671" s="736">
        <v>28360.799999999999</v>
      </c>
      <c r="N2671" s="744"/>
      <c r="O2671" s="739"/>
      <c r="P2671" s="739"/>
      <c r="Q2671" s="214"/>
    </row>
    <row r="2672" spans="1:17" ht="12" customHeight="1" x14ac:dyDescent="0.2">
      <c r="A2672" s="735" t="s">
        <v>7733</v>
      </c>
      <c r="B2672" s="735" t="s">
        <v>2170</v>
      </c>
      <c r="C2672" s="735" t="s">
        <v>451</v>
      </c>
      <c r="D2672" s="644" t="s">
        <v>7968</v>
      </c>
      <c r="E2672" s="736">
        <v>4000</v>
      </c>
      <c r="F2672" s="737" t="s">
        <v>9227</v>
      </c>
      <c r="G2672" s="636" t="s">
        <v>9228</v>
      </c>
      <c r="H2672" s="636" t="s">
        <v>7782</v>
      </c>
      <c r="I2672" s="636" t="s">
        <v>2766</v>
      </c>
      <c r="J2672" s="644" t="s">
        <v>642</v>
      </c>
      <c r="K2672" s="753">
        <v>9</v>
      </c>
      <c r="L2672" s="754">
        <v>12</v>
      </c>
      <c r="M2672" s="736">
        <v>49960.800000000003</v>
      </c>
      <c r="N2672" s="744"/>
      <c r="O2672" s="739"/>
      <c r="P2672" s="739"/>
      <c r="Q2672" s="214"/>
    </row>
    <row r="2673" spans="1:17" ht="12" customHeight="1" x14ac:dyDescent="0.2">
      <c r="A2673" s="735" t="s">
        <v>7733</v>
      </c>
      <c r="B2673" s="735" t="s">
        <v>2170</v>
      </c>
      <c r="C2673" s="735" t="s">
        <v>451</v>
      </c>
      <c r="D2673" s="644" t="s">
        <v>8367</v>
      </c>
      <c r="E2673" s="736">
        <v>2300</v>
      </c>
      <c r="F2673" s="737" t="s">
        <v>9229</v>
      </c>
      <c r="G2673" s="636" t="s">
        <v>9230</v>
      </c>
      <c r="H2673" s="636" t="s">
        <v>2228</v>
      </c>
      <c r="I2673" s="636" t="s">
        <v>2228</v>
      </c>
      <c r="J2673" s="644"/>
      <c r="K2673" s="753">
        <v>4</v>
      </c>
      <c r="L2673" s="754">
        <v>7</v>
      </c>
      <c r="M2673" s="736">
        <v>18060.8</v>
      </c>
      <c r="N2673" s="744"/>
      <c r="O2673" s="739"/>
      <c r="P2673" s="739"/>
      <c r="Q2673" s="214"/>
    </row>
    <row r="2674" spans="1:17" ht="12" customHeight="1" x14ac:dyDescent="0.2">
      <c r="A2674" s="735" t="s">
        <v>7733</v>
      </c>
      <c r="B2674" s="735" t="s">
        <v>2170</v>
      </c>
      <c r="C2674" s="735" t="s">
        <v>451</v>
      </c>
      <c r="D2674" s="644" t="s">
        <v>7971</v>
      </c>
      <c r="E2674" s="736">
        <v>3000</v>
      </c>
      <c r="F2674" s="737" t="s">
        <v>9231</v>
      </c>
      <c r="G2674" s="636" t="s">
        <v>9232</v>
      </c>
      <c r="H2674" s="636" t="s">
        <v>9233</v>
      </c>
      <c r="I2674" s="636" t="s">
        <v>7974</v>
      </c>
      <c r="J2674" s="644" t="s">
        <v>642</v>
      </c>
      <c r="K2674" s="753">
        <v>12</v>
      </c>
      <c r="L2674" s="754">
        <v>12</v>
      </c>
      <c r="M2674" s="736">
        <v>37960.800000000003</v>
      </c>
      <c r="N2674" s="744"/>
      <c r="O2674" s="739"/>
      <c r="P2674" s="739"/>
      <c r="Q2674" s="214"/>
    </row>
    <row r="2675" spans="1:17" ht="12" customHeight="1" x14ac:dyDescent="0.2">
      <c r="A2675" s="735" t="s">
        <v>7733</v>
      </c>
      <c r="B2675" s="735" t="s">
        <v>2170</v>
      </c>
      <c r="C2675" s="735" t="s">
        <v>451</v>
      </c>
      <c r="D2675" s="644" t="s">
        <v>7779</v>
      </c>
      <c r="E2675" s="736">
        <v>4000</v>
      </c>
      <c r="F2675" s="737" t="s">
        <v>9234</v>
      </c>
      <c r="G2675" s="636" t="s">
        <v>9235</v>
      </c>
      <c r="H2675" s="636" t="s">
        <v>7152</v>
      </c>
      <c r="I2675" s="636" t="s">
        <v>2317</v>
      </c>
      <c r="J2675" s="644" t="s">
        <v>642</v>
      </c>
      <c r="K2675" s="753">
        <v>12</v>
      </c>
      <c r="L2675" s="754">
        <v>12</v>
      </c>
      <c r="M2675" s="736">
        <v>49960.800000000003</v>
      </c>
      <c r="N2675" s="744"/>
      <c r="O2675" s="739"/>
      <c r="P2675" s="739"/>
      <c r="Q2675" s="214"/>
    </row>
    <row r="2676" spans="1:17" ht="12" customHeight="1" x14ac:dyDescent="0.2">
      <c r="A2676" s="735" t="s">
        <v>7733</v>
      </c>
      <c r="B2676" s="735" t="s">
        <v>2170</v>
      </c>
      <c r="C2676" s="735" t="s">
        <v>451</v>
      </c>
      <c r="D2676" s="644" t="s">
        <v>9236</v>
      </c>
      <c r="E2676" s="736">
        <v>7500</v>
      </c>
      <c r="F2676" s="737" t="s">
        <v>9237</v>
      </c>
      <c r="G2676" s="636" t="s">
        <v>9238</v>
      </c>
      <c r="H2676" s="636"/>
      <c r="I2676" s="636"/>
      <c r="J2676" s="644" t="s">
        <v>642</v>
      </c>
      <c r="K2676" s="753">
        <v>5</v>
      </c>
      <c r="L2676" s="754">
        <v>12</v>
      </c>
      <c r="M2676" s="736">
        <v>91960.8</v>
      </c>
      <c r="N2676" s="744"/>
      <c r="O2676" s="739"/>
      <c r="P2676" s="739"/>
      <c r="Q2676" s="214"/>
    </row>
    <row r="2677" spans="1:17" ht="12" customHeight="1" x14ac:dyDescent="0.2">
      <c r="A2677" s="735" t="s">
        <v>7733</v>
      </c>
      <c r="B2677" s="735" t="s">
        <v>2170</v>
      </c>
      <c r="C2677" s="735" t="s">
        <v>451</v>
      </c>
      <c r="D2677" s="644" t="s">
        <v>9239</v>
      </c>
      <c r="E2677" s="736">
        <v>6000</v>
      </c>
      <c r="F2677" s="737" t="s">
        <v>9240</v>
      </c>
      <c r="G2677" s="636" t="s">
        <v>9241</v>
      </c>
      <c r="H2677" s="636"/>
      <c r="I2677" s="636"/>
      <c r="J2677" s="644" t="s">
        <v>642</v>
      </c>
      <c r="K2677" s="753">
        <v>5</v>
      </c>
      <c r="L2677" s="754">
        <v>12</v>
      </c>
      <c r="M2677" s="736">
        <v>73960.800000000003</v>
      </c>
      <c r="N2677" s="744"/>
      <c r="O2677" s="739"/>
      <c r="P2677" s="739"/>
      <c r="Q2677" s="214"/>
    </row>
    <row r="2678" spans="1:17" ht="12" customHeight="1" x14ac:dyDescent="0.2">
      <c r="A2678" s="735" t="s">
        <v>7733</v>
      </c>
      <c r="B2678" s="735" t="s">
        <v>2170</v>
      </c>
      <c r="C2678" s="735" t="s">
        <v>451</v>
      </c>
      <c r="D2678" s="644" t="s">
        <v>7843</v>
      </c>
      <c r="E2678" s="736">
        <v>4000</v>
      </c>
      <c r="F2678" s="737" t="s">
        <v>9242</v>
      </c>
      <c r="G2678" s="636" t="s">
        <v>9243</v>
      </c>
      <c r="H2678" s="636" t="s">
        <v>6571</v>
      </c>
      <c r="I2678" s="636" t="s">
        <v>2179</v>
      </c>
      <c r="J2678" s="644" t="s">
        <v>642</v>
      </c>
      <c r="K2678" s="753">
        <v>12</v>
      </c>
      <c r="L2678" s="754">
        <v>12</v>
      </c>
      <c r="M2678" s="736">
        <v>49960.800000000003</v>
      </c>
      <c r="N2678" s="744"/>
      <c r="O2678" s="739"/>
      <c r="P2678" s="739"/>
      <c r="Q2678" s="214"/>
    </row>
    <row r="2679" spans="1:17" ht="12" customHeight="1" x14ac:dyDescent="0.2">
      <c r="A2679" s="735" t="s">
        <v>7733</v>
      </c>
      <c r="B2679" s="735" t="s">
        <v>2170</v>
      </c>
      <c r="C2679" s="735" t="s">
        <v>451</v>
      </c>
      <c r="D2679" s="644" t="s">
        <v>7901</v>
      </c>
      <c r="E2679" s="736">
        <v>2500</v>
      </c>
      <c r="F2679" s="737" t="s">
        <v>9244</v>
      </c>
      <c r="G2679" s="636" t="s">
        <v>9245</v>
      </c>
      <c r="H2679" s="636" t="s">
        <v>6778</v>
      </c>
      <c r="I2679" s="636" t="s">
        <v>3092</v>
      </c>
      <c r="J2679" s="644" t="s">
        <v>643</v>
      </c>
      <c r="K2679" s="753">
        <v>12</v>
      </c>
      <c r="L2679" s="754">
        <v>12</v>
      </c>
      <c r="M2679" s="736">
        <v>31960.799999999999</v>
      </c>
      <c r="N2679" s="744"/>
      <c r="O2679" s="739"/>
      <c r="P2679" s="739"/>
      <c r="Q2679" s="214"/>
    </row>
    <row r="2680" spans="1:17" ht="12" customHeight="1" x14ac:dyDescent="0.2">
      <c r="A2680" s="735" t="s">
        <v>7733</v>
      </c>
      <c r="B2680" s="735" t="s">
        <v>2170</v>
      </c>
      <c r="C2680" s="735" t="s">
        <v>451</v>
      </c>
      <c r="D2680" s="644" t="s">
        <v>7746</v>
      </c>
      <c r="E2680" s="736">
        <v>1700</v>
      </c>
      <c r="F2680" s="737" t="s">
        <v>9246</v>
      </c>
      <c r="G2680" s="636" t="s">
        <v>9247</v>
      </c>
      <c r="H2680" s="636" t="s">
        <v>8143</v>
      </c>
      <c r="I2680" s="636" t="s">
        <v>7835</v>
      </c>
      <c r="J2680" s="644" t="s">
        <v>643</v>
      </c>
      <c r="K2680" s="753">
        <v>12</v>
      </c>
      <c r="L2680" s="754">
        <v>12</v>
      </c>
      <c r="M2680" s="736">
        <v>22836</v>
      </c>
      <c r="N2680" s="744"/>
      <c r="O2680" s="739"/>
      <c r="P2680" s="739"/>
      <c r="Q2680" s="214"/>
    </row>
    <row r="2681" spans="1:17" ht="12" customHeight="1" x14ac:dyDescent="0.2">
      <c r="A2681" s="735" t="s">
        <v>7733</v>
      </c>
      <c r="B2681" s="735" t="s">
        <v>2170</v>
      </c>
      <c r="C2681" s="735" t="s">
        <v>451</v>
      </c>
      <c r="D2681" s="644" t="s">
        <v>9248</v>
      </c>
      <c r="E2681" s="736">
        <v>5000</v>
      </c>
      <c r="F2681" s="737" t="s">
        <v>9249</v>
      </c>
      <c r="G2681" s="636" t="s">
        <v>9250</v>
      </c>
      <c r="H2681" s="636" t="s">
        <v>7834</v>
      </c>
      <c r="I2681" s="636" t="s">
        <v>7835</v>
      </c>
      <c r="J2681" s="644" t="s">
        <v>642</v>
      </c>
      <c r="K2681" s="753">
        <v>11</v>
      </c>
      <c r="L2681" s="754">
        <v>11</v>
      </c>
      <c r="M2681" s="736">
        <v>56960.800000000003</v>
      </c>
      <c r="N2681" s="744"/>
      <c r="O2681" s="739"/>
      <c r="P2681" s="739"/>
      <c r="Q2681" s="214"/>
    </row>
    <row r="2682" spans="1:17" ht="12" customHeight="1" x14ac:dyDescent="0.2">
      <c r="A2682" s="735" t="s">
        <v>7733</v>
      </c>
      <c r="B2682" s="735" t="s">
        <v>2170</v>
      </c>
      <c r="C2682" s="735" t="s">
        <v>451</v>
      </c>
      <c r="D2682" s="644" t="s">
        <v>9251</v>
      </c>
      <c r="E2682" s="736">
        <v>5000</v>
      </c>
      <c r="F2682" s="737" t="s">
        <v>9252</v>
      </c>
      <c r="G2682" s="636" t="s">
        <v>9253</v>
      </c>
      <c r="H2682" s="636" t="s">
        <v>8000</v>
      </c>
      <c r="I2682" s="636" t="s">
        <v>2478</v>
      </c>
      <c r="J2682" s="644" t="s">
        <v>642</v>
      </c>
      <c r="K2682" s="753">
        <v>12</v>
      </c>
      <c r="L2682" s="754">
        <v>12</v>
      </c>
      <c r="M2682" s="736">
        <v>61960.800000000003</v>
      </c>
      <c r="N2682" s="744"/>
      <c r="O2682" s="739"/>
      <c r="P2682" s="739"/>
      <c r="Q2682" s="214"/>
    </row>
    <row r="2683" spans="1:17" ht="12" customHeight="1" x14ac:dyDescent="0.2">
      <c r="A2683" s="735" t="s">
        <v>7733</v>
      </c>
      <c r="B2683" s="735" t="s">
        <v>2170</v>
      </c>
      <c r="C2683" s="735" t="s">
        <v>451</v>
      </c>
      <c r="D2683" s="644" t="s">
        <v>8236</v>
      </c>
      <c r="E2683" s="736">
        <v>4000</v>
      </c>
      <c r="F2683" s="737" t="s">
        <v>9254</v>
      </c>
      <c r="G2683" s="636" t="s">
        <v>9255</v>
      </c>
      <c r="H2683" s="636" t="s">
        <v>2228</v>
      </c>
      <c r="I2683" s="636" t="s">
        <v>2228</v>
      </c>
      <c r="J2683" s="644"/>
      <c r="K2683" s="753">
        <v>1</v>
      </c>
      <c r="L2683" s="754">
        <v>2</v>
      </c>
      <c r="M2683" s="736">
        <v>9960.7999999999993</v>
      </c>
      <c r="N2683" s="744"/>
      <c r="O2683" s="739"/>
      <c r="P2683" s="739"/>
      <c r="Q2683" s="214"/>
    </row>
    <row r="2684" spans="1:17" ht="12" customHeight="1" x14ac:dyDescent="0.2">
      <c r="A2684" s="735" t="s">
        <v>7733</v>
      </c>
      <c r="B2684" s="735" t="s">
        <v>2170</v>
      </c>
      <c r="C2684" s="735" t="s">
        <v>451</v>
      </c>
      <c r="D2684" s="644" t="s">
        <v>7817</v>
      </c>
      <c r="E2684" s="736">
        <v>1800</v>
      </c>
      <c r="F2684" s="737" t="s">
        <v>9256</v>
      </c>
      <c r="G2684" s="636" t="s">
        <v>9257</v>
      </c>
      <c r="H2684" s="636" t="s">
        <v>7816</v>
      </c>
      <c r="I2684" s="636" t="s">
        <v>3328</v>
      </c>
      <c r="J2684" s="644" t="s">
        <v>643</v>
      </c>
      <c r="K2684" s="753">
        <v>12</v>
      </c>
      <c r="L2684" s="754">
        <v>12</v>
      </c>
      <c r="M2684" s="736">
        <v>24144</v>
      </c>
      <c r="N2684" s="744"/>
      <c r="O2684" s="739"/>
      <c r="P2684" s="739"/>
      <c r="Q2684" s="214"/>
    </row>
    <row r="2685" spans="1:17" ht="12" customHeight="1" x14ac:dyDescent="0.2">
      <c r="A2685" s="735" t="s">
        <v>7733</v>
      </c>
      <c r="B2685" s="735" t="s">
        <v>2170</v>
      </c>
      <c r="C2685" s="735" t="s">
        <v>451</v>
      </c>
      <c r="D2685" s="644" t="s">
        <v>7817</v>
      </c>
      <c r="E2685" s="736">
        <v>2500</v>
      </c>
      <c r="F2685" s="737" t="s">
        <v>9258</v>
      </c>
      <c r="G2685" s="636" t="s">
        <v>9259</v>
      </c>
      <c r="H2685" s="636" t="s">
        <v>7752</v>
      </c>
      <c r="I2685" s="636" t="s">
        <v>2179</v>
      </c>
      <c r="J2685" s="644" t="s">
        <v>643</v>
      </c>
      <c r="K2685" s="753">
        <v>12</v>
      </c>
      <c r="L2685" s="754">
        <v>12</v>
      </c>
      <c r="M2685" s="736">
        <v>31960.799999999999</v>
      </c>
      <c r="N2685" s="744"/>
      <c r="O2685" s="739"/>
      <c r="P2685" s="739"/>
      <c r="Q2685" s="214"/>
    </row>
    <row r="2686" spans="1:17" ht="12" customHeight="1" x14ac:dyDescent="0.2">
      <c r="A2686" s="735" t="s">
        <v>7733</v>
      </c>
      <c r="B2686" s="735" t="s">
        <v>2170</v>
      </c>
      <c r="C2686" s="735" t="s">
        <v>451</v>
      </c>
      <c r="D2686" s="644" t="s">
        <v>9260</v>
      </c>
      <c r="E2686" s="736">
        <v>2800</v>
      </c>
      <c r="F2686" s="737" t="s">
        <v>9261</v>
      </c>
      <c r="G2686" s="636" t="s">
        <v>9262</v>
      </c>
      <c r="H2686" s="636" t="s">
        <v>7752</v>
      </c>
      <c r="I2686" s="636" t="s">
        <v>2179</v>
      </c>
      <c r="J2686" s="644" t="s">
        <v>643</v>
      </c>
      <c r="K2686" s="753">
        <v>5</v>
      </c>
      <c r="L2686" s="754">
        <v>12</v>
      </c>
      <c r="M2686" s="736">
        <v>35560.800000000003</v>
      </c>
      <c r="N2686" s="744"/>
      <c r="O2686" s="739"/>
      <c r="P2686" s="739"/>
      <c r="Q2686" s="214"/>
    </row>
    <row r="2687" spans="1:17" ht="12" customHeight="1" x14ac:dyDescent="0.2">
      <c r="A2687" s="735" t="s">
        <v>7733</v>
      </c>
      <c r="B2687" s="735" t="s">
        <v>2170</v>
      </c>
      <c r="C2687" s="735" t="s">
        <v>451</v>
      </c>
      <c r="D2687" s="644" t="s">
        <v>5880</v>
      </c>
      <c r="E2687" s="736">
        <v>4500</v>
      </c>
      <c r="F2687" s="737" t="s">
        <v>9263</v>
      </c>
      <c r="G2687" s="636" t="s">
        <v>9264</v>
      </c>
      <c r="H2687" s="636" t="s">
        <v>6778</v>
      </c>
      <c r="I2687" s="636" t="s">
        <v>2174</v>
      </c>
      <c r="J2687" s="644" t="s">
        <v>642</v>
      </c>
      <c r="K2687" s="753">
        <v>5</v>
      </c>
      <c r="L2687" s="754">
        <v>12</v>
      </c>
      <c r="M2687" s="736">
        <v>55960.800000000003</v>
      </c>
      <c r="N2687" s="744"/>
      <c r="O2687" s="739"/>
      <c r="P2687" s="739"/>
      <c r="Q2687" s="214"/>
    </row>
    <row r="2688" spans="1:17" ht="12" customHeight="1" x14ac:dyDescent="0.2">
      <c r="A2688" s="735" t="s">
        <v>7733</v>
      </c>
      <c r="B2688" s="735" t="s">
        <v>2170</v>
      </c>
      <c r="C2688" s="735" t="s">
        <v>451</v>
      </c>
      <c r="D2688" s="644" t="s">
        <v>9265</v>
      </c>
      <c r="E2688" s="736">
        <v>3000</v>
      </c>
      <c r="F2688" s="737" t="s">
        <v>9266</v>
      </c>
      <c r="G2688" s="636" t="s">
        <v>9267</v>
      </c>
      <c r="H2688" s="636" t="s">
        <v>8089</v>
      </c>
      <c r="I2688" s="636" t="s">
        <v>8559</v>
      </c>
      <c r="J2688" s="644" t="s">
        <v>642</v>
      </c>
      <c r="K2688" s="753">
        <v>5</v>
      </c>
      <c r="L2688" s="754">
        <v>12</v>
      </c>
      <c r="M2688" s="736">
        <v>37960.800000000003</v>
      </c>
      <c r="N2688" s="744"/>
      <c r="O2688" s="739"/>
      <c r="P2688" s="739"/>
      <c r="Q2688" s="214"/>
    </row>
    <row r="2689" spans="1:17" ht="12" customHeight="1" x14ac:dyDescent="0.2">
      <c r="A2689" s="735" t="s">
        <v>7733</v>
      </c>
      <c r="B2689" s="735" t="s">
        <v>2170</v>
      </c>
      <c r="C2689" s="735" t="s">
        <v>451</v>
      </c>
      <c r="D2689" s="644" t="s">
        <v>8041</v>
      </c>
      <c r="E2689" s="736">
        <v>2000</v>
      </c>
      <c r="F2689" s="737" t="s">
        <v>9268</v>
      </c>
      <c r="G2689" s="636" t="s">
        <v>9269</v>
      </c>
      <c r="H2689" s="636"/>
      <c r="I2689" s="636"/>
      <c r="J2689" s="644" t="s">
        <v>643</v>
      </c>
      <c r="K2689" s="753">
        <v>12</v>
      </c>
      <c r="L2689" s="754">
        <v>12</v>
      </c>
      <c r="M2689" s="736">
        <v>25960.799999999999</v>
      </c>
      <c r="N2689" s="744"/>
      <c r="O2689" s="739"/>
      <c r="P2689" s="739"/>
      <c r="Q2689" s="214"/>
    </row>
    <row r="2690" spans="1:17" ht="12" customHeight="1" x14ac:dyDescent="0.2">
      <c r="A2690" s="735" t="s">
        <v>7733</v>
      </c>
      <c r="B2690" s="735" t="s">
        <v>2170</v>
      </c>
      <c r="C2690" s="735" t="s">
        <v>451</v>
      </c>
      <c r="D2690" s="644" t="s">
        <v>7855</v>
      </c>
      <c r="E2690" s="736">
        <v>2200</v>
      </c>
      <c r="F2690" s="737" t="s">
        <v>9270</v>
      </c>
      <c r="G2690" s="636" t="s">
        <v>9271</v>
      </c>
      <c r="H2690" s="636" t="s">
        <v>7152</v>
      </c>
      <c r="I2690" s="636" t="s">
        <v>2317</v>
      </c>
      <c r="J2690" s="644" t="s">
        <v>644</v>
      </c>
      <c r="K2690" s="753">
        <v>12</v>
      </c>
      <c r="L2690" s="754">
        <v>12</v>
      </c>
      <c r="M2690" s="736">
        <v>28360.799999999999</v>
      </c>
      <c r="N2690" s="744"/>
      <c r="O2690" s="739"/>
      <c r="P2690" s="739"/>
      <c r="Q2690" s="214"/>
    </row>
    <row r="2691" spans="1:17" ht="12" customHeight="1" x14ac:dyDescent="0.2">
      <c r="A2691" s="735" t="s">
        <v>7733</v>
      </c>
      <c r="B2691" s="735" t="s">
        <v>2170</v>
      </c>
      <c r="C2691" s="735" t="s">
        <v>451</v>
      </c>
      <c r="D2691" s="644" t="s">
        <v>9272</v>
      </c>
      <c r="E2691" s="736">
        <v>7500</v>
      </c>
      <c r="F2691" s="737" t="s">
        <v>9273</v>
      </c>
      <c r="G2691" s="636" t="s">
        <v>9274</v>
      </c>
      <c r="H2691" s="636" t="s">
        <v>7152</v>
      </c>
      <c r="I2691" s="636" t="s">
        <v>2317</v>
      </c>
      <c r="J2691" s="644" t="s">
        <v>642</v>
      </c>
      <c r="K2691" s="753">
        <v>5</v>
      </c>
      <c r="L2691" s="754">
        <v>12</v>
      </c>
      <c r="M2691" s="736">
        <v>91960.8</v>
      </c>
      <c r="N2691" s="744"/>
      <c r="O2691" s="739"/>
      <c r="P2691" s="739"/>
      <c r="Q2691" s="214"/>
    </row>
    <row r="2692" spans="1:17" ht="12" customHeight="1" x14ac:dyDescent="0.2">
      <c r="A2692" s="735" t="s">
        <v>7733</v>
      </c>
      <c r="B2692" s="735" t="s">
        <v>2170</v>
      </c>
      <c r="C2692" s="735" t="s">
        <v>451</v>
      </c>
      <c r="D2692" s="644" t="s">
        <v>9275</v>
      </c>
      <c r="E2692" s="736">
        <v>10000</v>
      </c>
      <c r="F2692" s="737" t="s">
        <v>9276</v>
      </c>
      <c r="G2692" s="636" t="s">
        <v>9277</v>
      </c>
      <c r="H2692" s="636" t="s">
        <v>7821</v>
      </c>
      <c r="I2692" s="636" t="s">
        <v>7821</v>
      </c>
      <c r="J2692" s="644" t="s">
        <v>9278</v>
      </c>
      <c r="K2692" s="753">
        <v>1</v>
      </c>
      <c r="L2692" s="754">
        <v>12</v>
      </c>
      <c r="M2692" s="736">
        <v>121960.8</v>
      </c>
      <c r="N2692" s="744"/>
      <c r="O2692" s="739"/>
      <c r="P2692" s="739"/>
      <c r="Q2692" s="214"/>
    </row>
    <row r="2693" spans="1:17" ht="12" customHeight="1" x14ac:dyDescent="0.2">
      <c r="A2693" s="735" t="s">
        <v>7733</v>
      </c>
      <c r="B2693" s="735" t="s">
        <v>2170</v>
      </c>
      <c r="C2693" s="735" t="s">
        <v>451</v>
      </c>
      <c r="D2693" s="644" t="s">
        <v>9279</v>
      </c>
      <c r="E2693" s="736">
        <v>5000</v>
      </c>
      <c r="F2693" s="737" t="s">
        <v>9280</v>
      </c>
      <c r="G2693" s="636" t="s">
        <v>9281</v>
      </c>
      <c r="H2693" s="636" t="s">
        <v>9282</v>
      </c>
      <c r="I2693" s="636" t="s">
        <v>7879</v>
      </c>
      <c r="J2693" s="644" t="s">
        <v>643</v>
      </c>
      <c r="K2693" s="753">
        <v>12</v>
      </c>
      <c r="L2693" s="754">
        <v>12</v>
      </c>
      <c r="M2693" s="736">
        <v>61960.800000000003</v>
      </c>
      <c r="N2693" s="744"/>
      <c r="O2693" s="739"/>
      <c r="P2693" s="739"/>
      <c r="Q2693" s="214"/>
    </row>
    <row r="2694" spans="1:17" ht="12" customHeight="1" x14ac:dyDescent="0.2">
      <c r="A2694" s="735" t="s">
        <v>7733</v>
      </c>
      <c r="B2694" s="735" t="s">
        <v>2170</v>
      </c>
      <c r="C2694" s="735" t="s">
        <v>451</v>
      </c>
      <c r="D2694" s="644" t="s">
        <v>8554</v>
      </c>
      <c r="E2694" s="736">
        <v>3000</v>
      </c>
      <c r="F2694" s="737" t="s">
        <v>9283</v>
      </c>
      <c r="G2694" s="636" t="s">
        <v>9284</v>
      </c>
      <c r="H2694" s="636" t="s">
        <v>3754</v>
      </c>
      <c r="I2694" s="636" t="s">
        <v>2979</v>
      </c>
      <c r="J2694" s="644" t="s">
        <v>642</v>
      </c>
      <c r="K2694" s="753">
        <v>12</v>
      </c>
      <c r="L2694" s="754">
        <v>12</v>
      </c>
      <c r="M2694" s="736">
        <v>37960.800000000003</v>
      </c>
      <c r="N2694" s="744"/>
      <c r="O2694" s="739"/>
      <c r="P2694" s="739"/>
      <c r="Q2694" s="214"/>
    </row>
    <row r="2695" spans="1:17" ht="12" customHeight="1" x14ac:dyDescent="0.2">
      <c r="A2695" s="735" t="s">
        <v>7733</v>
      </c>
      <c r="B2695" s="735" t="s">
        <v>2170</v>
      </c>
      <c r="C2695" s="735" t="s">
        <v>451</v>
      </c>
      <c r="D2695" s="644" t="s">
        <v>7921</v>
      </c>
      <c r="E2695" s="736">
        <v>4000</v>
      </c>
      <c r="F2695" s="737" t="s">
        <v>9285</v>
      </c>
      <c r="G2695" s="636" t="s">
        <v>9286</v>
      </c>
      <c r="H2695" s="636" t="s">
        <v>2228</v>
      </c>
      <c r="I2695" s="636" t="s">
        <v>2228</v>
      </c>
      <c r="J2695" s="644"/>
      <c r="K2695" s="753">
        <v>4</v>
      </c>
      <c r="L2695" s="754">
        <v>4</v>
      </c>
      <c r="M2695" s="736">
        <v>17960.8</v>
      </c>
      <c r="N2695" s="744"/>
      <c r="O2695" s="739"/>
      <c r="P2695" s="739"/>
      <c r="Q2695" s="214"/>
    </row>
    <row r="2696" spans="1:17" ht="12" customHeight="1" x14ac:dyDescent="0.2">
      <c r="A2696" s="735" t="s">
        <v>7733</v>
      </c>
      <c r="B2696" s="735" t="s">
        <v>2170</v>
      </c>
      <c r="C2696" s="735" t="s">
        <v>451</v>
      </c>
      <c r="D2696" s="644" t="s">
        <v>7901</v>
      </c>
      <c r="E2696" s="736">
        <v>2500</v>
      </c>
      <c r="F2696" s="737" t="s">
        <v>9287</v>
      </c>
      <c r="G2696" s="636" t="s">
        <v>9288</v>
      </c>
      <c r="H2696" s="636" t="s">
        <v>3915</v>
      </c>
      <c r="I2696" s="636" t="s">
        <v>6668</v>
      </c>
      <c r="J2696" s="644" t="s">
        <v>643</v>
      </c>
      <c r="K2696" s="753">
        <v>12</v>
      </c>
      <c r="L2696" s="754">
        <v>12</v>
      </c>
      <c r="M2696" s="736">
        <v>31960.799999999999</v>
      </c>
      <c r="N2696" s="744"/>
      <c r="O2696" s="739"/>
      <c r="P2696" s="739"/>
      <c r="Q2696" s="214"/>
    </row>
    <row r="2697" spans="1:17" ht="12" customHeight="1" x14ac:dyDescent="0.2">
      <c r="A2697" s="735" t="s">
        <v>7733</v>
      </c>
      <c r="B2697" s="735" t="s">
        <v>2170</v>
      </c>
      <c r="C2697" s="735" t="s">
        <v>451</v>
      </c>
      <c r="D2697" s="644" t="s">
        <v>7858</v>
      </c>
      <c r="E2697" s="736">
        <v>3000</v>
      </c>
      <c r="F2697" s="737" t="s">
        <v>9289</v>
      </c>
      <c r="G2697" s="636" t="s">
        <v>9290</v>
      </c>
      <c r="H2697" s="636" t="s">
        <v>2228</v>
      </c>
      <c r="I2697" s="636" t="s">
        <v>2228</v>
      </c>
      <c r="J2697" s="644"/>
      <c r="K2697" s="753">
        <v>8</v>
      </c>
      <c r="L2697" s="754">
        <v>8</v>
      </c>
      <c r="M2697" s="736">
        <v>25960.799999999999</v>
      </c>
      <c r="N2697" s="744"/>
      <c r="O2697" s="739"/>
      <c r="P2697" s="739"/>
      <c r="Q2697" s="214"/>
    </row>
    <row r="2698" spans="1:17" ht="12" customHeight="1" x14ac:dyDescent="0.2">
      <c r="A2698" s="735" t="s">
        <v>7733</v>
      </c>
      <c r="B2698" s="735" t="s">
        <v>2170</v>
      </c>
      <c r="C2698" s="735" t="s">
        <v>451</v>
      </c>
      <c r="D2698" s="644" t="s">
        <v>2788</v>
      </c>
      <c r="E2698" s="736">
        <v>1100</v>
      </c>
      <c r="F2698" s="737" t="s">
        <v>9291</v>
      </c>
      <c r="G2698" s="636" t="s">
        <v>9292</v>
      </c>
      <c r="H2698" s="636" t="s">
        <v>8143</v>
      </c>
      <c r="I2698" s="636" t="s">
        <v>8004</v>
      </c>
      <c r="J2698" s="644" t="s">
        <v>643</v>
      </c>
      <c r="K2698" s="753">
        <v>1</v>
      </c>
      <c r="L2698" s="754">
        <v>12</v>
      </c>
      <c r="M2698" s="736">
        <v>14988</v>
      </c>
      <c r="N2698" s="744"/>
      <c r="O2698" s="739"/>
      <c r="P2698" s="739"/>
      <c r="Q2698" s="214"/>
    </row>
    <row r="2699" spans="1:17" ht="12" customHeight="1" x14ac:dyDescent="0.2">
      <c r="A2699" s="735" t="s">
        <v>7733</v>
      </c>
      <c r="B2699" s="735" t="s">
        <v>2170</v>
      </c>
      <c r="C2699" s="735" t="s">
        <v>451</v>
      </c>
      <c r="D2699" s="644" t="s">
        <v>7817</v>
      </c>
      <c r="E2699" s="736">
        <v>2500</v>
      </c>
      <c r="F2699" s="737" t="s">
        <v>9293</v>
      </c>
      <c r="G2699" s="636" t="s">
        <v>9294</v>
      </c>
      <c r="H2699" s="636" t="s">
        <v>6778</v>
      </c>
      <c r="I2699" s="636" t="s">
        <v>3760</v>
      </c>
      <c r="J2699" s="644" t="s">
        <v>644</v>
      </c>
      <c r="K2699" s="753">
        <v>12</v>
      </c>
      <c r="L2699" s="754">
        <v>12</v>
      </c>
      <c r="M2699" s="736">
        <v>31960.799999999999</v>
      </c>
      <c r="N2699" s="744"/>
      <c r="O2699" s="739"/>
      <c r="P2699" s="739"/>
      <c r="Q2699" s="214"/>
    </row>
    <row r="2700" spans="1:17" ht="12" customHeight="1" x14ac:dyDescent="0.2">
      <c r="A2700" s="735" t="s">
        <v>7733</v>
      </c>
      <c r="B2700" s="735" t="s">
        <v>2170</v>
      </c>
      <c r="C2700" s="735" t="s">
        <v>451</v>
      </c>
      <c r="D2700" s="644" t="s">
        <v>9295</v>
      </c>
      <c r="E2700" s="736">
        <v>7500</v>
      </c>
      <c r="F2700" s="737" t="s">
        <v>9296</v>
      </c>
      <c r="G2700" s="636" t="s">
        <v>9297</v>
      </c>
      <c r="H2700" s="636" t="s">
        <v>8003</v>
      </c>
      <c r="I2700" s="636" t="s">
        <v>7835</v>
      </c>
      <c r="J2700" s="644" t="s">
        <v>642</v>
      </c>
      <c r="K2700" s="753">
        <v>4</v>
      </c>
      <c r="L2700" s="754">
        <v>12</v>
      </c>
      <c r="M2700" s="736">
        <v>91960.8</v>
      </c>
      <c r="N2700" s="744"/>
      <c r="O2700" s="739"/>
      <c r="P2700" s="739"/>
      <c r="Q2700" s="214"/>
    </row>
    <row r="2701" spans="1:17" ht="12" customHeight="1" x14ac:dyDescent="0.2">
      <c r="A2701" s="735" t="s">
        <v>7733</v>
      </c>
      <c r="B2701" s="735" t="s">
        <v>2170</v>
      </c>
      <c r="C2701" s="735" t="s">
        <v>451</v>
      </c>
      <c r="D2701" s="644" t="s">
        <v>8097</v>
      </c>
      <c r="E2701" s="736">
        <v>5000</v>
      </c>
      <c r="F2701" s="737" t="s">
        <v>9298</v>
      </c>
      <c r="G2701" s="636" t="s">
        <v>9299</v>
      </c>
      <c r="H2701" s="636" t="s">
        <v>6571</v>
      </c>
      <c r="I2701" s="636" t="s">
        <v>2179</v>
      </c>
      <c r="J2701" s="644" t="s">
        <v>642</v>
      </c>
      <c r="K2701" s="753">
        <v>12</v>
      </c>
      <c r="L2701" s="754">
        <v>12</v>
      </c>
      <c r="M2701" s="736">
        <v>61960.800000000003</v>
      </c>
      <c r="N2701" s="744"/>
      <c r="O2701" s="739"/>
      <c r="P2701" s="739"/>
      <c r="Q2701" s="214"/>
    </row>
    <row r="2702" spans="1:17" ht="12" customHeight="1" x14ac:dyDescent="0.2">
      <c r="A2702" s="735" t="s">
        <v>7733</v>
      </c>
      <c r="B2702" s="735" t="s">
        <v>2170</v>
      </c>
      <c r="C2702" s="735" t="s">
        <v>451</v>
      </c>
      <c r="D2702" s="644" t="s">
        <v>8097</v>
      </c>
      <c r="E2702" s="736">
        <v>5000</v>
      </c>
      <c r="F2702" s="737" t="s">
        <v>9300</v>
      </c>
      <c r="G2702" s="636" t="s">
        <v>9301</v>
      </c>
      <c r="H2702" s="636" t="s">
        <v>7834</v>
      </c>
      <c r="I2702" s="636" t="s">
        <v>7835</v>
      </c>
      <c r="J2702" s="644" t="s">
        <v>642</v>
      </c>
      <c r="K2702" s="753">
        <v>5</v>
      </c>
      <c r="L2702" s="754">
        <v>12</v>
      </c>
      <c r="M2702" s="736">
        <v>61960.800000000003</v>
      </c>
      <c r="N2702" s="744"/>
      <c r="O2702" s="739"/>
      <c r="P2702" s="739"/>
      <c r="Q2702" s="214"/>
    </row>
    <row r="2703" spans="1:17" ht="12" customHeight="1" x14ac:dyDescent="0.2">
      <c r="A2703" s="735" t="s">
        <v>7733</v>
      </c>
      <c r="B2703" s="735" t="s">
        <v>2170</v>
      </c>
      <c r="C2703" s="735" t="s">
        <v>451</v>
      </c>
      <c r="D2703" s="644" t="s">
        <v>7817</v>
      </c>
      <c r="E2703" s="736">
        <v>2500</v>
      </c>
      <c r="F2703" s="737" t="s">
        <v>9302</v>
      </c>
      <c r="G2703" s="636" t="s">
        <v>9303</v>
      </c>
      <c r="H2703" s="636" t="s">
        <v>6778</v>
      </c>
      <c r="I2703" s="636" t="s">
        <v>3092</v>
      </c>
      <c r="J2703" s="644" t="s">
        <v>643</v>
      </c>
      <c r="K2703" s="753">
        <v>12</v>
      </c>
      <c r="L2703" s="754">
        <v>12</v>
      </c>
      <c r="M2703" s="736">
        <v>31960.799999999999</v>
      </c>
      <c r="N2703" s="744"/>
      <c r="O2703" s="739"/>
      <c r="P2703" s="739"/>
      <c r="Q2703" s="214"/>
    </row>
    <row r="2704" spans="1:17" ht="12" customHeight="1" x14ac:dyDescent="0.2">
      <c r="A2704" s="735" t="s">
        <v>7733</v>
      </c>
      <c r="B2704" s="735" t="s">
        <v>2170</v>
      </c>
      <c r="C2704" s="735" t="s">
        <v>451</v>
      </c>
      <c r="D2704" s="644" t="s">
        <v>9304</v>
      </c>
      <c r="E2704" s="736">
        <v>3800</v>
      </c>
      <c r="F2704" s="737" t="s">
        <v>9305</v>
      </c>
      <c r="G2704" s="636" t="s">
        <v>9306</v>
      </c>
      <c r="H2704" s="636" t="s">
        <v>3522</v>
      </c>
      <c r="I2704" s="636" t="s">
        <v>2346</v>
      </c>
      <c r="J2704" s="644" t="s">
        <v>643</v>
      </c>
      <c r="K2704" s="753">
        <v>5</v>
      </c>
      <c r="L2704" s="754">
        <v>12</v>
      </c>
      <c r="M2704" s="736">
        <v>47560.800000000003</v>
      </c>
      <c r="N2704" s="744"/>
      <c r="O2704" s="739"/>
      <c r="P2704" s="739"/>
      <c r="Q2704" s="214"/>
    </row>
    <row r="2705" spans="1:17" ht="12" customHeight="1" x14ac:dyDescent="0.2">
      <c r="A2705" s="735" t="s">
        <v>7733</v>
      </c>
      <c r="B2705" s="735" t="s">
        <v>2170</v>
      </c>
      <c r="C2705" s="735" t="s">
        <v>451</v>
      </c>
      <c r="D2705" s="644" t="s">
        <v>2179</v>
      </c>
      <c r="E2705" s="736">
        <v>5500</v>
      </c>
      <c r="F2705" s="737" t="s">
        <v>9307</v>
      </c>
      <c r="G2705" s="636" t="s">
        <v>9308</v>
      </c>
      <c r="H2705" s="636" t="s">
        <v>6571</v>
      </c>
      <c r="I2705" s="636" t="s">
        <v>2179</v>
      </c>
      <c r="J2705" s="644" t="s">
        <v>642</v>
      </c>
      <c r="K2705" s="753">
        <v>9</v>
      </c>
      <c r="L2705" s="754">
        <v>12</v>
      </c>
      <c r="M2705" s="736">
        <v>67960.800000000003</v>
      </c>
      <c r="N2705" s="744"/>
      <c r="O2705" s="739"/>
      <c r="P2705" s="739"/>
      <c r="Q2705" s="214"/>
    </row>
    <row r="2706" spans="1:17" ht="12" customHeight="1" x14ac:dyDescent="0.2">
      <c r="A2706" s="735" t="s">
        <v>7733</v>
      </c>
      <c r="B2706" s="735" t="s">
        <v>2170</v>
      </c>
      <c r="C2706" s="735" t="s">
        <v>451</v>
      </c>
      <c r="D2706" s="644" t="s">
        <v>9309</v>
      </c>
      <c r="E2706" s="736">
        <v>5000</v>
      </c>
      <c r="F2706" s="737" t="s">
        <v>9310</v>
      </c>
      <c r="G2706" s="636" t="s">
        <v>9311</v>
      </c>
      <c r="H2706" s="636" t="s">
        <v>2228</v>
      </c>
      <c r="I2706" s="636" t="s">
        <v>2228</v>
      </c>
      <c r="J2706" s="644"/>
      <c r="K2706" s="753">
        <v>2</v>
      </c>
      <c r="L2706" s="754">
        <v>2</v>
      </c>
      <c r="M2706" s="736">
        <v>11960.8</v>
      </c>
      <c r="N2706" s="744"/>
      <c r="O2706" s="739"/>
      <c r="P2706" s="739"/>
      <c r="Q2706" s="214"/>
    </row>
    <row r="2707" spans="1:17" ht="12" customHeight="1" x14ac:dyDescent="0.2">
      <c r="A2707" s="735" t="s">
        <v>7733</v>
      </c>
      <c r="B2707" s="735" t="s">
        <v>2170</v>
      </c>
      <c r="C2707" s="735" t="s">
        <v>451</v>
      </c>
      <c r="D2707" s="644" t="s">
        <v>8097</v>
      </c>
      <c r="E2707" s="736">
        <v>6000</v>
      </c>
      <c r="F2707" s="737" t="s">
        <v>9312</v>
      </c>
      <c r="G2707" s="636" t="s">
        <v>9313</v>
      </c>
      <c r="H2707" s="636" t="s">
        <v>6571</v>
      </c>
      <c r="I2707" s="636"/>
      <c r="J2707" s="644" t="s">
        <v>642</v>
      </c>
      <c r="K2707" s="753">
        <v>5</v>
      </c>
      <c r="L2707" s="754">
        <v>12</v>
      </c>
      <c r="M2707" s="736">
        <v>73960.800000000003</v>
      </c>
      <c r="N2707" s="744"/>
      <c r="O2707" s="739"/>
      <c r="P2707" s="739"/>
      <c r="Q2707" s="214"/>
    </row>
    <row r="2708" spans="1:17" ht="12" customHeight="1" x14ac:dyDescent="0.2">
      <c r="A2708" s="735" t="s">
        <v>7733</v>
      </c>
      <c r="B2708" s="735" t="s">
        <v>2170</v>
      </c>
      <c r="C2708" s="735" t="s">
        <v>451</v>
      </c>
      <c r="D2708" s="644" t="s">
        <v>7803</v>
      </c>
      <c r="E2708" s="736">
        <v>4000</v>
      </c>
      <c r="F2708" s="737" t="s">
        <v>9314</v>
      </c>
      <c r="G2708" s="636" t="s">
        <v>9315</v>
      </c>
      <c r="H2708" s="636" t="s">
        <v>8000</v>
      </c>
      <c r="I2708" s="636"/>
      <c r="J2708" s="644" t="s">
        <v>642</v>
      </c>
      <c r="K2708" s="753">
        <v>12</v>
      </c>
      <c r="L2708" s="754">
        <v>12</v>
      </c>
      <c r="M2708" s="736">
        <v>49960.800000000003</v>
      </c>
      <c r="N2708" s="744"/>
      <c r="O2708" s="739"/>
      <c r="P2708" s="739"/>
      <c r="Q2708" s="214"/>
    </row>
    <row r="2709" spans="1:17" ht="12" customHeight="1" x14ac:dyDescent="0.2">
      <c r="A2709" s="735" t="s">
        <v>7733</v>
      </c>
      <c r="B2709" s="735" t="s">
        <v>2170</v>
      </c>
      <c r="C2709" s="735" t="s">
        <v>451</v>
      </c>
      <c r="D2709" s="644" t="s">
        <v>9316</v>
      </c>
      <c r="E2709" s="736">
        <v>4000</v>
      </c>
      <c r="F2709" s="737" t="s">
        <v>9317</v>
      </c>
      <c r="G2709" s="636" t="s">
        <v>9318</v>
      </c>
      <c r="H2709" s="636" t="s">
        <v>8349</v>
      </c>
      <c r="I2709" s="636" t="s">
        <v>9319</v>
      </c>
      <c r="J2709" s="644" t="s">
        <v>643</v>
      </c>
      <c r="K2709" s="753">
        <v>5</v>
      </c>
      <c r="L2709" s="754">
        <v>12</v>
      </c>
      <c r="M2709" s="736">
        <v>49960.800000000003</v>
      </c>
      <c r="N2709" s="744"/>
      <c r="O2709" s="739"/>
      <c r="P2709" s="739"/>
      <c r="Q2709" s="214"/>
    </row>
    <row r="2710" spans="1:17" ht="12" customHeight="1" x14ac:dyDescent="0.2">
      <c r="A2710" s="735" t="s">
        <v>7733</v>
      </c>
      <c r="B2710" s="735" t="s">
        <v>2170</v>
      </c>
      <c r="C2710" s="735" t="s">
        <v>451</v>
      </c>
      <c r="D2710" s="644" t="s">
        <v>7901</v>
      </c>
      <c r="E2710" s="736">
        <v>2500</v>
      </c>
      <c r="F2710" s="737" t="s">
        <v>9320</v>
      </c>
      <c r="G2710" s="636" t="s">
        <v>9321</v>
      </c>
      <c r="H2710" s="636" t="s">
        <v>9322</v>
      </c>
      <c r="I2710" s="636" t="s">
        <v>7974</v>
      </c>
      <c r="J2710" s="644" t="s">
        <v>644</v>
      </c>
      <c r="K2710" s="753">
        <v>10</v>
      </c>
      <c r="L2710" s="754">
        <v>10</v>
      </c>
      <c r="M2710" s="736">
        <v>26960.799999999999</v>
      </c>
      <c r="N2710" s="744"/>
      <c r="O2710" s="739"/>
      <c r="P2710" s="739"/>
      <c r="Q2710" s="214"/>
    </row>
    <row r="2711" spans="1:17" ht="12" customHeight="1" x14ac:dyDescent="0.2">
      <c r="A2711" s="735" t="s">
        <v>7733</v>
      </c>
      <c r="B2711" s="735" t="s">
        <v>2170</v>
      </c>
      <c r="C2711" s="735" t="s">
        <v>451</v>
      </c>
      <c r="D2711" s="644" t="s">
        <v>2636</v>
      </c>
      <c r="E2711" s="736">
        <v>5600</v>
      </c>
      <c r="F2711" s="737" t="s">
        <v>9323</v>
      </c>
      <c r="G2711" s="636" t="s">
        <v>9324</v>
      </c>
      <c r="H2711" s="636" t="s">
        <v>7816</v>
      </c>
      <c r="I2711" s="636" t="s">
        <v>8756</v>
      </c>
      <c r="J2711" s="644" t="s">
        <v>642</v>
      </c>
      <c r="K2711" s="753">
        <v>2</v>
      </c>
      <c r="L2711" s="754">
        <v>6</v>
      </c>
      <c r="M2711" s="736">
        <v>35560.800000000003</v>
      </c>
      <c r="N2711" s="744"/>
      <c r="O2711" s="739"/>
      <c r="P2711" s="739"/>
      <c r="Q2711" s="214"/>
    </row>
    <row r="2712" spans="1:17" ht="12" customHeight="1" x14ac:dyDescent="0.2">
      <c r="A2712" s="735" t="s">
        <v>7733</v>
      </c>
      <c r="B2712" s="735" t="s">
        <v>2170</v>
      </c>
      <c r="C2712" s="735" t="s">
        <v>451</v>
      </c>
      <c r="D2712" s="644" t="s">
        <v>9325</v>
      </c>
      <c r="E2712" s="736">
        <v>6000</v>
      </c>
      <c r="F2712" s="737" t="s">
        <v>9326</v>
      </c>
      <c r="G2712" s="636" t="s">
        <v>9327</v>
      </c>
      <c r="H2712" s="636" t="s">
        <v>6633</v>
      </c>
      <c r="I2712" s="636" t="s">
        <v>2189</v>
      </c>
      <c r="J2712" s="644" t="s">
        <v>642</v>
      </c>
      <c r="K2712" s="753">
        <v>4</v>
      </c>
      <c r="L2712" s="754">
        <v>12</v>
      </c>
      <c r="M2712" s="736">
        <v>73960.800000000003</v>
      </c>
      <c r="N2712" s="744"/>
      <c r="O2712" s="739"/>
      <c r="P2712" s="739"/>
      <c r="Q2712" s="214"/>
    </row>
    <row r="2713" spans="1:17" ht="12" customHeight="1" x14ac:dyDescent="0.2">
      <c r="A2713" s="735" t="s">
        <v>7733</v>
      </c>
      <c r="B2713" s="735" t="s">
        <v>2170</v>
      </c>
      <c r="C2713" s="735" t="s">
        <v>451</v>
      </c>
      <c r="D2713" s="644" t="s">
        <v>8600</v>
      </c>
      <c r="E2713" s="736">
        <v>4500</v>
      </c>
      <c r="F2713" s="737" t="s">
        <v>9328</v>
      </c>
      <c r="G2713" s="636" t="s">
        <v>9329</v>
      </c>
      <c r="H2713" s="636" t="s">
        <v>7772</v>
      </c>
      <c r="I2713" s="636" t="s">
        <v>2478</v>
      </c>
      <c r="J2713" s="644" t="s">
        <v>642</v>
      </c>
      <c r="K2713" s="753">
        <v>5</v>
      </c>
      <c r="L2713" s="754">
        <v>12</v>
      </c>
      <c r="M2713" s="736">
        <v>55960.800000000003</v>
      </c>
      <c r="N2713" s="744"/>
      <c r="O2713" s="739"/>
      <c r="P2713" s="739"/>
      <c r="Q2713" s="214"/>
    </row>
    <row r="2714" spans="1:17" ht="12" customHeight="1" x14ac:dyDescent="0.2">
      <c r="A2714" s="735" t="s">
        <v>7733</v>
      </c>
      <c r="B2714" s="735" t="s">
        <v>2170</v>
      </c>
      <c r="C2714" s="735" t="s">
        <v>451</v>
      </c>
      <c r="D2714" s="644" t="s">
        <v>8298</v>
      </c>
      <c r="E2714" s="736">
        <v>1200</v>
      </c>
      <c r="F2714" s="737" t="s">
        <v>9330</v>
      </c>
      <c r="G2714" s="636" t="s">
        <v>9331</v>
      </c>
      <c r="H2714" s="636" t="s">
        <v>8143</v>
      </c>
      <c r="I2714" s="636" t="s">
        <v>2253</v>
      </c>
      <c r="J2714" s="644" t="s">
        <v>644</v>
      </c>
      <c r="K2714" s="753">
        <v>6</v>
      </c>
      <c r="L2714" s="754">
        <v>11</v>
      </c>
      <c r="M2714" s="736">
        <v>15096</v>
      </c>
      <c r="N2714" s="744"/>
      <c r="O2714" s="739"/>
      <c r="P2714" s="739"/>
      <c r="Q2714" s="214"/>
    </row>
    <row r="2715" spans="1:17" ht="12" customHeight="1" x14ac:dyDescent="0.2">
      <c r="A2715" s="735" t="s">
        <v>7733</v>
      </c>
      <c r="B2715" s="735" t="s">
        <v>2170</v>
      </c>
      <c r="C2715" s="735" t="s">
        <v>451</v>
      </c>
      <c r="D2715" s="644" t="s">
        <v>8078</v>
      </c>
      <c r="E2715" s="736">
        <v>2500</v>
      </c>
      <c r="F2715" s="737" t="s">
        <v>9332</v>
      </c>
      <c r="G2715" s="636" t="s">
        <v>9333</v>
      </c>
      <c r="H2715" s="636" t="s">
        <v>3754</v>
      </c>
      <c r="I2715" s="636" t="s">
        <v>3760</v>
      </c>
      <c r="J2715" s="644" t="s">
        <v>643</v>
      </c>
      <c r="K2715" s="753">
        <v>12</v>
      </c>
      <c r="L2715" s="754">
        <v>12</v>
      </c>
      <c r="M2715" s="736">
        <v>31960.799999999999</v>
      </c>
      <c r="N2715" s="744"/>
      <c r="O2715" s="739"/>
      <c r="P2715" s="739"/>
      <c r="Q2715" s="214"/>
    </row>
    <row r="2716" spans="1:17" ht="12" customHeight="1" x14ac:dyDescent="0.2">
      <c r="A2716" s="735" t="s">
        <v>7733</v>
      </c>
      <c r="B2716" s="735" t="s">
        <v>2170</v>
      </c>
      <c r="C2716" s="735" t="s">
        <v>451</v>
      </c>
      <c r="D2716" s="644" t="s">
        <v>7838</v>
      </c>
      <c r="E2716" s="736">
        <v>2500</v>
      </c>
      <c r="F2716" s="737" t="s">
        <v>9334</v>
      </c>
      <c r="G2716" s="636" t="s">
        <v>9335</v>
      </c>
      <c r="H2716" s="636"/>
      <c r="I2716" s="636"/>
      <c r="J2716" s="644" t="s">
        <v>642</v>
      </c>
      <c r="K2716" s="753">
        <v>12</v>
      </c>
      <c r="L2716" s="754">
        <v>12</v>
      </c>
      <c r="M2716" s="736">
        <v>31960.799999999999</v>
      </c>
      <c r="N2716" s="744"/>
      <c r="O2716" s="739"/>
      <c r="P2716" s="739"/>
      <c r="Q2716" s="214"/>
    </row>
    <row r="2717" spans="1:17" ht="12" customHeight="1" x14ac:dyDescent="0.2">
      <c r="A2717" s="735" t="s">
        <v>7733</v>
      </c>
      <c r="B2717" s="735" t="s">
        <v>2170</v>
      </c>
      <c r="C2717" s="735" t="s">
        <v>451</v>
      </c>
      <c r="D2717" s="644" t="s">
        <v>7897</v>
      </c>
      <c r="E2717" s="736">
        <v>4000</v>
      </c>
      <c r="F2717" s="737" t="s">
        <v>9336</v>
      </c>
      <c r="G2717" s="636" t="s">
        <v>9337</v>
      </c>
      <c r="H2717" s="636" t="s">
        <v>8000</v>
      </c>
      <c r="I2717" s="636" t="s">
        <v>2478</v>
      </c>
      <c r="J2717" s="644" t="s">
        <v>643</v>
      </c>
      <c r="K2717" s="753">
        <v>12</v>
      </c>
      <c r="L2717" s="754">
        <v>12</v>
      </c>
      <c r="M2717" s="736">
        <v>49960.800000000003</v>
      </c>
      <c r="N2717" s="744"/>
      <c r="O2717" s="739"/>
      <c r="P2717" s="739"/>
      <c r="Q2717" s="214"/>
    </row>
    <row r="2718" spans="1:17" ht="12" customHeight="1" x14ac:dyDescent="0.2">
      <c r="A2718" s="735" t="s">
        <v>7733</v>
      </c>
      <c r="B2718" s="735" t="s">
        <v>2170</v>
      </c>
      <c r="C2718" s="735" t="s">
        <v>451</v>
      </c>
      <c r="D2718" s="644" t="s">
        <v>9338</v>
      </c>
      <c r="E2718" s="736">
        <v>1000</v>
      </c>
      <c r="F2718" s="737" t="s">
        <v>9339</v>
      </c>
      <c r="G2718" s="636" t="s">
        <v>9340</v>
      </c>
      <c r="H2718" s="636"/>
      <c r="I2718" s="636"/>
      <c r="J2718" s="644" t="s">
        <v>644</v>
      </c>
      <c r="K2718" s="753">
        <v>12</v>
      </c>
      <c r="L2718" s="754">
        <v>12</v>
      </c>
      <c r="M2718" s="736">
        <v>13680</v>
      </c>
      <c r="N2718" s="744"/>
      <c r="O2718" s="739"/>
      <c r="P2718" s="739"/>
      <c r="Q2718" s="214"/>
    </row>
    <row r="2719" spans="1:17" ht="12" customHeight="1" x14ac:dyDescent="0.2">
      <c r="A2719" s="735" t="s">
        <v>7733</v>
      </c>
      <c r="B2719" s="735" t="s">
        <v>2170</v>
      </c>
      <c r="C2719" s="735" t="s">
        <v>451</v>
      </c>
      <c r="D2719" s="644" t="s">
        <v>9341</v>
      </c>
      <c r="E2719" s="736">
        <v>2500</v>
      </c>
      <c r="F2719" s="737" t="s">
        <v>9342</v>
      </c>
      <c r="G2719" s="636" t="s">
        <v>9343</v>
      </c>
      <c r="H2719" s="636" t="s">
        <v>8354</v>
      </c>
      <c r="I2719" s="636" t="s">
        <v>3057</v>
      </c>
      <c r="J2719" s="644" t="s">
        <v>643</v>
      </c>
      <c r="K2719" s="753">
        <v>12</v>
      </c>
      <c r="L2719" s="754">
        <v>12</v>
      </c>
      <c r="M2719" s="736">
        <v>31960.799999999999</v>
      </c>
      <c r="N2719" s="744"/>
      <c r="O2719" s="739"/>
      <c r="P2719" s="739"/>
      <c r="Q2719" s="214"/>
    </row>
    <row r="2720" spans="1:17" ht="12" customHeight="1" x14ac:dyDescent="0.2">
      <c r="A2720" s="735" t="s">
        <v>7733</v>
      </c>
      <c r="B2720" s="735" t="s">
        <v>2170</v>
      </c>
      <c r="C2720" s="735" t="s">
        <v>451</v>
      </c>
      <c r="D2720" s="644" t="s">
        <v>8298</v>
      </c>
      <c r="E2720" s="736">
        <v>1200</v>
      </c>
      <c r="F2720" s="737" t="s">
        <v>9344</v>
      </c>
      <c r="G2720" s="636" t="s">
        <v>9345</v>
      </c>
      <c r="H2720" s="636"/>
      <c r="I2720" s="636"/>
      <c r="J2720" s="644" t="s">
        <v>644</v>
      </c>
      <c r="K2720" s="753">
        <v>5</v>
      </c>
      <c r="L2720" s="754">
        <v>12</v>
      </c>
      <c r="M2720" s="736">
        <v>16296</v>
      </c>
      <c r="N2720" s="744"/>
      <c r="O2720" s="739"/>
      <c r="P2720" s="739"/>
      <c r="Q2720" s="214"/>
    </row>
    <row r="2721" spans="1:17" ht="12" customHeight="1" x14ac:dyDescent="0.2">
      <c r="A2721" s="735" t="s">
        <v>7733</v>
      </c>
      <c r="B2721" s="735" t="s">
        <v>2170</v>
      </c>
      <c r="C2721" s="735" t="s">
        <v>451</v>
      </c>
      <c r="D2721" s="644" t="s">
        <v>8268</v>
      </c>
      <c r="E2721" s="736">
        <v>2500</v>
      </c>
      <c r="F2721" s="737" t="s">
        <v>9346</v>
      </c>
      <c r="G2721" s="636" t="s">
        <v>9347</v>
      </c>
      <c r="H2721" s="636" t="s">
        <v>7858</v>
      </c>
      <c r="I2721" s="636" t="s">
        <v>3760</v>
      </c>
      <c r="J2721" s="644" t="s">
        <v>644</v>
      </c>
      <c r="K2721" s="753">
        <v>12</v>
      </c>
      <c r="L2721" s="754">
        <v>12</v>
      </c>
      <c r="M2721" s="736">
        <v>31960.799999999999</v>
      </c>
      <c r="N2721" s="744"/>
      <c r="O2721" s="739"/>
      <c r="P2721" s="739"/>
      <c r="Q2721" s="214"/>
    </row>
    <row r="2722" spans="1:17" ht="12" customHeight="1" x14ac:dyDescent="0.2">
      <c r="A2722" s="735" t="s">
        <v>7733</v>
      </c>
      <c r="B2722" s="735" t="s">
        <v>2170</v>
      </c>
      <c r="C2722" s="735" t="s">
        <v>451</v>
      </c>
      <c r="D2722" s="644" t="s">
        <v>2190</v>
      </c>
      <c r="E2722" s="736">
        <v>2200</v>
      </c>
      <c r="F2722" s="737" t="s">
        <v>9348</v>
      </c>
      <c r="G2722" s="636" t="s">
        <v>9349</v>
      </c>
      <c r="H2722" s="636" t="s">
        <v>3754</v>
      </c>
      <c r="I2722" s="636" t="s">
        <v>643</v>
      </c>
      <c r="J2722" s="644" t="s">
        <v>644</v>
      </c>
      <c r="K2722" s="753">
        <v>5</v>
      </c>
      <c r="L2722" s="754">
        <v>12</v>
      </c>
      <c r="M2722" s="736">
        <v>28360.799999999999</v>
      </c>
      <c r="N2722" s="744"/>
      <c r="O2722" s="739"/>
      <c r="P2722" s="739"/>
      <c r="Q2722" s="214"/>
    </row>
    <row r="2723" spans="1:17" ht="12" customHeight="1" x14ac:dyDescent="0.2">
      <c r="A2723" s="735" t="s">
        <v>7733</v>
      </c>
      <c r="B2723" s="735" t="s">
        <v>2170</v>
      </c>
      <c r="C2723" s="735" t="s">
        <v>451</v>
      </c>
      <c r="D2723" s="644" t="s">
        <v>8367</v>
      </c>
      <c r="E2723" s="736">
        <v>2300</v>
      </c>
      <c r="F2723" s="737" t="s">
        <v>9350</v>
      </c>
      <c r="G2723" s="636" t="s">
        <v>9351</v>
      </c>
      <c r="H2723" s="636" t="s">
        <v>7752</v>
      </c>
      <c r="I2723" s="636" t="s">
        <v>2179</v>
      </c>
      <c r="J2723" s="644" t="s">
        <v>643</v>
      </c>
      <c r="K2723" s="753">
        <v>5</v>
      </c>
      <c r="L2723" s="754">
        <v>12</v>
      </c>
      <c r="M2723" s="736">
        <v>29560.799999999999</v>
      </c>
      <c r="N2723" s="744"/>
      <c r="O2723" s="739"/>
      <c r="P2723" s="739"/>
      <c r="Q2723" s="214"/>
    </row>
    <row r="2724" spans="1:17" ht="12" customHeight="1" x14ac:dyDescent="0.2">
      <c r="A2724" s="735" t="s">
        <v>7733</v>
      </c>
      <c r="B2724" s="735" t="s">
        <v>2170</v>
      </c>
      <c r="C2724" s="735" t="s">
        <v>451</v>
      </c>
      <c r="D2724" s="644" t="s">
        <v>7921</v>
      </c>
      <c r="E2724" s="736">
        <v>4000</v>
      </c>
      <c r="F2724" s="737" t="s">
        <v>9352</v>
      </c>
      <c r="G2724" s="636" t="s">
        <v>9353</v>
      </c>
      <c r="H2724" s="636"/>
      <c r="I2724" s="636"/>
      <c r="J2724" s="644" t="s">
        <v>642</v>
      </c>
      <c r="K2724" s="753">
        <v>2</v>
      </c>
      <c r="L2724" s="754">
        <v>4</v>
      </c>
      <c r="M2724" s="736">
        <v>17960.8</v>
      </c>
      <c r="N2724" s="744"/>
      <c r="O2724" s="739"/>
      <c r="P2724" s="739"/>
      <c r="Q2724" s="214"/>
    </row>
    <row r="2725" spans="1:17" ht="12" customHeight="1" x14ac:dyDescent="0.2">
      <c r="A2725" s="735" t="s">
        <v>7733</v>
      </c>
      <c r="B2725" s="735" t="s">
        <v>2170</v>
      </c>
      <c r="C2725" s="735" t="s">
        <v>451</v>
      </c>
      <c r="D2725" s="644" t="s">
        <v>8889</v>
      </c>
      <c r="E2725" s="736">
        <v>6000</v>
      </c>
      <c r="F2725" s="737" t="s">
        <v>9354</v>
      </c>
      <c r="G2725" s="636" t="s">
        <v>9355</v>
      </c>
      <c r="H2725" s="636" t="s">
        <v>3915</v>
      </c>
      <c r="I2725" s="636" t="s">
        <v>6668</v>
      </c>
      <c r="J2725" s="644" t="s">
        <v>642</v>
      </c>
      <c r="K2725" s="753">
        <v>4</v>
      </c>
      <c r="L2725" s="754">
        <v>12</v>
      </c>
      <c r="M2725" s="736">
        <v>73960.800000000003</v>
      </c>
      <c r="N2725" s="744"/>
      <c r="O2725" s="739"/>
      <c r="P2725" s="739"/>
      <c r="Q2725" s="214"/>
    </row>
    <row r="2726" spans="1:17" ht="12" customHeight="1" x14ac:dyDescent="0.2">
      <c r="A2726" s="735" t="s">
        <v>7733</v>
      </c>
      <c r="B2726" s="735" t="s">
        <v>2170</v>
      </c>
      <c r="C2726" s="735" t="s">
        <v>451</v>
      </c>
      <c r="D2726" s="644" t="s">
        <v>8351</v>
      </c>
      <c r="E2726" s="736">
        <v>2200</v>
      </c>
      <c r="F2726" s="737" t="s">
        <v>9356</v>
      </c>
      <c r="G2726" s="636" t="s">
        <v>9357</v>
      </c>
      <c r="H2726" s="636"/>
      <c r="I2726" s="636"/>
      <c r="J2726" s="644" t="s">
        <v>643</v>
      </c>
      <c r="K2726" s="753">
        <v>1</v>
      </c>
      <c r="L2726" s="754">
        <v>9</v>
      </c>
      <c r="M2726" s="736">
        <v>21760.799999999999</v>
      </c>
      <c r="N2726" s="744"/>
      <c r="O2726" s="739"/>
      <c r="P2726" s="739"/>
      <c r="Q2726" s="214"/>
    </row>
    <row r="2727" spans="1:17" ht="12" customHeight="1" x14ac:dyDescent="0.2">
      <c r="A2727" s="735" t="s">
        <v>7733</v>
      </c>
      <c r="B2727" s="735" t="s">
        <v>2170</v>
      </c>
      <c r="C2727" s="735" t="s">
        <v>451</v>
      </c>
      <c r="D2727" s="644" t="s">
        <v>9358</v>
      </c>
      <c r="E2727" s="736">
        <v>3500</v>
      </c>
      <c r="F2727" s="737" t="s">
        <v>9359</v>
      </c>
      <c r="G2727" s="636" t="s">
        <v>9360</v>
      </c>
      <c r="H2727" s="636" t="s">
        <v>3754</v>
      </c>
      <c r="I2727" s="636" t="s">
        <v>8036</v>
      </c>
      <c r="J2727" s="644" t="s">
        <v>644</v>
      </c>
      <c r="K2727" s="753">
        <v>8</v>
      </c>
      <c r="L2727" s="754">
        <v>12</v>
      </c>
      <c r="M2727" s="736">
        <v>43960.800000000003</v>
      </c>
      <c r="N2727" s="744"/>
      <c r="O2727" s="739"/>
      <c r="P2727" s="739"/>
      <c r="Q2727" s="214"/>
    </row>
    <row r="2728" spans="1:17" ht="12" customHeight="1" x14ac:dyDescent="0.2">
      <c r="A2728" s="735" t="s">
        <v>7733</v>
      </c>
      <c r="B2728" s="735" t="s">
        <v>2170</v>
      </c>
      <c r="C2728" s="735" t="s">
        <v>451</v>
      </c>
      <c r="D2728" s="644" t="s">
        <v>8268</v>
      </c>
      <c r="E2728" s="736">
        <v>2200</v>
      </c>
      <c r="F2728" s="737" t="s">
        <v>9361</v>
      </c>
      <c r="G2728" s="636" t="s">
        <v>9362</v>
      </c>
      <c r="H2728" s="636"/>
      <c r="I2728" s="636"/>
      <c r="J2728" s="644" t="s">
        <v>643</v>
      </c>
      <c r="K2728" s="753">
        <v>12</v>
      </c>
      <c r="L2728" s="754">
        <v>12</v>
      </c>
      <c r="M2728" s="736">
        <v>28360.799999999999</v>
      </c>
      <c r="N2728" s="744"/>
      <c r="O2728" s="739"/>
      <c r="P2728" s="739"/>
      <c r="Q2728" s="214"/>
    </row>
    <row r="2729" spans="1:17" ht="12" customHeight="1" x14ac:dyDescent="0.2">
      <c r="A2729" s="735" t="s">
        <v>7733</v>
      </c>
      <c r="B2729" s="735" t="s">
        <v>2170</v>
      </c>
      <c r="C2729" s="735" t="s">
        <v>451</v>
      </c>
      <c r="D2729" s="644" t="s">
        <v>8032</v>
      </c>
      <c r="E2729" s="736">
        <v>3200</v>
      </c>
      <c r="F2729" s="737" t="s">
        <v>9363</v>
      </c>
      <c r="G2729" s="636" t="s">
        <v>9364</v>
      </c>
      <c r="H2729" s="636"/>
      <c r="I2729" s="636"/>
      <c r="J2729" s="644" t="s">
        <v>644</v>
      </c>
      <c r="K2729" s="753">
        <v>5</v>
      </c>
      <c r="L2729" s="754">
        <v>12</v>
      </c>
      <c r="M2729" s="736">
        <v>40360.800000000003</v>
      </c>
      <c r="N2729" s="744"/>
      <c r="O2729" s="739"/>
      <c r="P2729" s="739"/>
      <c r="Q2729" s="214"/>
    </row>
    <row r="2730" spans="1:17" ht="12" customHeight="1" x14ac:dyDescent="0.2">
      <c r="A2730" s="735" t="s">
        <v>7733</v>
      </c>
      <c r="B2730" s="735" t="s">
        <v>2170</v>
      </c>
      <c r="C2730" s="735" t="s">
        <v>451</v>
      </c>
      <c r="D2730" s="644" t="s">
        <v>7855</v>
      </c>
      <c r="E2730" s="736">
        <v>2200</v>
      </c>
      <c r="F2730" s="737" t="s">
        <v>9365</v>
      </c>
      <c r="G2730" s="636" t="s">
        <v>9366</v>
      </c>
      <c r="H2730" s="636"/>
      <c r="I2730" s="636"/>
      <c r="J2730" s="644" t="s">
        <v>644</v>
      </c>
      <c r="K2730" s="753">
        <v>12</v>
      </c>
      <c r="L2730" s="754">
        <v>12</v>
      </c>
      <c r="M2730" s="736">
        <v>28360.799999999999</v>
      </c>
      <c r="N2730" s="744"/>
      <c r="O2730" s="739"/>
      <c r="P2730" s="739"/>
      <c r="Q2730" s="214"/>
    </row>
    <row r="2731" spans="1:17" ht="12" customHeight="1" x14ac:dyDescent="0.2">
      <c r="A2731" s="735" t="s">
        <v>7733</v>
      </c>
      <c r="B2731" s="735" t="s">
        <v>2170</v>
      </c>
      <c r="C2731" s="735" t="s">
        <v>451</v>
      </c>
      <c r="D2731" s="644" t="s">
        <v>8078</v>
      </c>
      <c r="E2731" s="736">
        <v>2500</v>
      </c>
      <c r="F2731" s="737" t="s">
        <v>9367</v>
      </c>
      <c r="G2731" s="636" t="s">
        <v>9368</v>
      </c>
      <c r="H2731" s="636" t="s">
        <v>7816</v>
      </c>
      <c r="I2731" s="636" t="s">
        <v>2543</v>
      </c>
      <c r="J2731" s="644" t="s">
        <v>643</v>
      </c>
      <c r="K2731" s="753">
        <v>12</v>
      </c>
      <c r="L2731" s="754">
        <v>12</v>
      </c>
      <c r="M2731" s="736">
        <v>31960.799999999999</v>
      </c>
      <c r="N2731" s="744"/>
      <c r="O2731" s="739"/>
      <c r="P2731" s="739"/>
      <c r="Q2731" s="214"/>
    </row>
    <row r="2732" spans="1:17" ht="12" customHeight="1" x14ac:dyDescent="0.2">
      <c r="A2732" s="735" t="s">
        <v>7733</v>
      </c>
      <c r="B2732" s="735" t="s">
        <v>2170</v>
      </c>
      <c r="C2732" s="735" t="s">
        <v>451</v>
      </c>
      <c r="D2732" s="644" t="s">
        <v>8045</v>
      </c>
      <c r="E2732" s="736">
        <v>2000</v>
      </c>
      <c r="F2732" s="737" t="s">
        <v>9369</v>
      </c>
      <c r="G2732" s="636" t="s">
        <v>9370</v>
      </c>
      <c r="H2732" s="636" t="s">
        <v>2745</v>
      </c>
      <c r="I2732" s="636" t="s">
        <v>9371</v>
      </c>
      <c r="J2732" s="644" t="s">
        <v>644</v>
      </c>
      <c r="K2732" s="753">
        <v>12</v>
      </c>
      <c r="L2732" s="754">
        <v>12</v>
      </c>
      <c r="M2732" s="736">
        <v>25960.799999999999</v>
      </c>
      <c r="N2732" s="744"/>
      <c r="O2732" s="739"/>
      <c r="P2732" s="739"/>
      <c r="Q2732" s="214"/>
    </row>
    <row r="2733" spans="1:17" ht="12" customHeight="1" x14ac:dyDescent="0.2">
      <c r="A2733" s="735" t="s">
        <v>7733</v>
      </c>
      <c r="B2733" s="735" t="s">
        <v>2170</v>
      </c>
      <c r="C2733" s="735" t="s">
        <v>451</v>
      </c>
      <c r="D2733" s="644" t="s">
        <v>9372</v>
      </c>
      <c r="E2733" s="736">
        <v>3500</v>
      </c>
      <c r="F2733" s="737" t="s">
        <v>9373</v>
      </c>
      <c r="G2733" s="636" t="s">
        <v>9374</v>
      </c>
      <c r="H2733" s="636" t="s">
        <v>6571</v>
      </c>
      <c r="I2733" s="636" t="s">
        <v>2179</v>
      </c>
      <c r="J2733" s="644" t="s">
        <v>642</v>
      </c>
      <c r="K2733" s="753">
        <v>2</v>
      </c>
      <c r="L2733" s="754">
        <v>4</v>
      </c>
      <c r="M2733" s="736">
        <v>15960.8</v>
      </c>
      <c r="N2733" s="744"/>
      <c r="O2733" s="739"/>
      <c r="P2733" s="739"/>
      <c r="Q2733" s="214"/>
    </row>
    <row r="2734" spans="1:17" ht="12" customHeight="1" x14ac:dyDescent="0.2">
      <c r="A2734" s="735" t="s">
        <v>7733</v>
      </c>
      <c r="B2734" s="735" t="s">
        <v>2170</v>
      </c>
      <c r="C2734" s="735" t="s">
        <v>451</v>
      </c>
      <c r="D2734" s="644" t="s">
        <v>7858</v>
      </c>
      <c r="E2734" s="736">
        <v>3000</v>
      </c>
      <c r="F2734" s="737" t="s">
        <v>9375</v>
      </c>
      <c r="G2734" s="636" t="s">
        <v>9376</v>
      </c>
      <c r="H2734" s="636"/>
      <c r="I2734" s="636"/>
      <c r="J2734" s="644" t="s">
        <v>643</v>
      </c>
      <c r="K2734" s="753">
        <v>11</v>
      </c>
      <c r="L2734" s="754">
        <v>11</v>
      </c>
      <c r="M2734" s="736">
        <v>34960.800000000003</v>
      </c>
      <c r="N2734" s="744"/>
      <c r="O2734" s="739"/>
      <c r="P2734" s="739"/>
      <c r="Q2734" s="214"/>
    </row>
    <row r="2735" spans="1:17" ht="12" customHeight="1" x14ac:dyDescent="0.2">
      <c r="A2735" s="735" t="s">
        <v>7733</v>
      </c>
      <c r="B2735" s="735" t="s">
        <v>2170</v>
      </c>
      <c r="C2735" s="735" t="s">
        <v>451</v>
      </c>
      <c r="D2735" s="644" t="s">
        <v>9377</v>
      </c>
      <c r="E2735" s="736">
        <v>2000</v>
      </c>
      <c r="F2735" s="737" t="s">
        <v>9378</v>
      </c>
      <c r="G2735" s="636" t="s">
        <v>9379</v>
      </c>
      <c r="H2735" s="636" t="s">
        <v>7858</v>
      </c>
      <c r="I2735" s="636"/>
      <c r="J2735" s="644" t="s">
        <v>643</v>
      </c>
      <c r="K2735" s="753">
        <v>7</v>
      </c>
      <c r="L2735" s="754">
        <v>12</v>
      </c>
      <c r="M2735" s="736">
        <v>25960.799999999999</v>
      </c>
      <c r="N2735" s="744"/>
      <c r="O2735" s="739"/>
      <c r="P2735" s="739"/>
      <c r="Q2735" s="214"/>
    </row>
    <row r="2736" spans="1:17" ht="12" customHeight="1" x14ac:dyDescent="0.2">
      <c r="A2736" s="735" t="s">
        <v>7733</v>
      </c>
      <c r="B2736" s="735" t="s">
        <v>2170</v>
      </c>
      <c r="C2736" s="735" t="s">
        <v>451</v>
      </c>
      <c r="D2736" s="644" t="s">
        <v>9380</v>
      </c>
      <c r="E2736" s="736">
        <v>5500</v>
      </c>
      <c r="F2736" s="737" t="s">
        <v>9381</v>
      </c>
      <c r="G2736" s="636" t="s">
        <v>9382</v>
      </c>
      <c r="H2736" s="636" t="s">
        <v>6633</v>
      </c>
      <c r="I2736" s="636" t="s">
        <v>2189</v>
      </c>
      <c r="J2736" s="644" t="s">
        <v>642</v>
      </c>
      <c r="K2736" s="753">
        <v>6</v>
      </c>
      <c r="L2736" s="754">
        <v>12</v>
      </c>
      <c r="M2736" s="736">
        <v>67960.800000000003</v>
      </c>
      <c r="N2736" s="744"/>
      <c r="O2736" s="739"/>
      <c r="P2736" s="739"/>
      <c r="Q2736" s="214"/>
    </row>
    <row r="2737" spans="1:17" ht="12" customHeight="1" x14ac:dyDescent="0.2">
      <c r="A2737" s="735" t="s">
        <v>7733</v>
      </c>
      <c r="B2737" s="735" t="s">
        <v>2170</v>
      </c>
      <c r="C2737" s="735" t="s">
        <v>451</v>
      </c>
      <c r="D2737" s="644" t="s">
        <v>9383</v>
      </c>
      <c r="E2737" s="736">
        <v>2000</v>
      </c>
      <c r="F2737" s="737" t="s">
        <v>9384</v>
      </c>
      <c r="G2737" s="636" t="s">
        <v>9385</v>
      </c>
      <c r="H2737" s="636"/>
      <c r="I2737" s="636"/>
      <c r="J2737" s="644" t="s">
        <v>644</v>
      </c>
      <c r="K2737" s="753">
        <v>4</v>
      </c>
      <c r="L2737" s="754">
        <v>12</v>
      </c>
      <c r="M2737" s="736">
        <v>25960.799999999999</v>
      </c>
      <c r="N2737" s="744"/>
      <c r="O2737" s="739"/>
      <c r="P2737" s="739"/>
      <c r="Q2737" s="214"/>
    </row>
    <row r="2738" spans="1:17" ht="12" customHeight="1" x14ac:dyDescent="0.2">
      <c r="A2738" s="735" t="s">
        <v>7733</v>
      </c>
      <c r="B2738" s="735" t="s">
        <v>2170</v>
      </c>
      <c r="C2738" s="735" t="s">
        <v>451</v>
      </c>
      <c r="D2738" s="644" t="s">
        <v>7769</v>
      </c>
      <c r="E2738" s="736">
        <v>3000</v>
      </c>
      <c r="F2738" s="737" t="s">
        <v>9386</v>
      </c>
      <c r="G2738" s="636" t="s">
        <v>9387</v>
      </c>
      <c r="H2738" s="636" t="s">
        <v>7152</v>
      </c>
      <c r="I2738" s="636" t="s">
        <v>2317</v>
      </c>
      <c r="J2738" s="644" t="s">
        <v>643</v>
      </c>
      <c r="K2738" s="753">
        <v>12</v>
      </c>
      <c r="L2738" s="754">
        <v>12</v>
      </c>
      <c r="M2738" s="736">
        <v>37960.800000000003</v>
      </c>
      <c r="N2738" s="744"/>
      <c r="O2738" s="739"/>
      <c r="P2738" s="739"/>
      <c r="Q2738" s="214"/>
    </row>
    <row r="2739" spans="1:17" ht="12" customHeight="1" x14ac:dyDescent="0.2">
      <c r="A2739" s="735" t="s">
        <v>7733</v>
      </c>
      <c r="B2739" s="735" t="s">
        <v>2170</v>
      </c>
      <c r="C2739" s="735" t="s">
        <v>451</v>
      </c>
      <c r="D2739" s="644" t="s">
        <v>7783</v>
      </c>
      <c r="E2739" s="736">
        <v>4000</v>
      </c>
      <c r="F2739" s="737" t="s">
        <v>9388</v>
      </c>
      <c r="G2739" s="636" t="s">
        <v>9389</v>
      </c>
      <c r="H2739" s="636" t="s">
        <v>2228</v>
      </c>
      <c r="I2739" s="636" t="s">
        <v>2228</v>
      </c>
      <c r="J2739" s="644"/>
      <c r="K2739" s="753">
        <v>3</v>
      </c>
      <c r="L2739" s="754">
        <v>7</v>
      </c>
      <c r="M2739" s="736">
        <v>29960.799999999999</v>
      </c>
      <c r="N2739" s="744"/>
      <c r="O2739" s="739"/>
      <c r="P2739" s="739"/>
      <c r="Q2739" s="214"/>
    </row>
    <row r="2740" spans="1:17" ht="12" customHeight="1" x14ac:dyDescent="0.2">
      <c r="A2740" s="735" t="s">
        <v>7733</v>
      </c>
      <c r="B2740" s="735" t="s">
        <v>2170</v>
      </c>
      <c r="C2740" s="735" t="s">
        <v>451</v>
      </c>
      <c r="D2740" s="644" t="s">
        <v>8927</v>
      </c>
      <c r="E2740" s="736">
        <v>4000</v>
      </c>
      <c r="F2740" s="737" t="s">
        <v>9390</v>
      </c>
      <c r="G2740" s="636" t="s">
        <v>9391</v>
      </c>
      <c r="H2740" s="636" t="s">
        <v>9392</v>
      </c>
      <c r="I2740" s="636" t="s">
        <v>644</v>
      </c>
      <c r="J2740" s="644" t="s">
        <v>642</v>
      </c>
      <c r="K2740" s="753">
        <v>10</v>
      </c>
      <c r="L2740" s="754">
        <v>12</v>
      </c>
      <c r="M2740" s="736">
        <v>49960.800000000003</v>
      </c>
      <c r="N2740" s="744"/>
      <c r="O2740" s="739"/>
      <c r="P2740" s="739"/>
      <c r="Q2740" s="214"/>
    </row>
    <row r="2741" spans="1:17" ht="12" customHeight="1" x14ac:dyDescent="0.2">
      <c r="A2741" s="735" t="s">
        <v>7733</v>
      </c>
      <c r="B2741" s="735" t="s">
        <v>2170</v>
      </c>
      <c r="C2741" s="735" t="s">
        <v>451</v>
      </c>
      <c r="D2741" s="644" t="s">
        <v>8367</v>
      </c>
      <c r="E2741" s="736">
        <v>2300</v>
      </c>
      <c r="F2741" s="737" t="s">
        <v>9393</v>
      </c>
      <c r="G2741" s="636" t="s">
        <v>9394</v>
      </c>
      <c r="H2741" s="636" t="s">
        <v>9395</v>
      </c>
      <c r="I2741" s="636" t="s">
        <v>8004</v>
      </c>
      <c r="J2741" s="644" t="s">
        <v>643</v>
      </c>
      <c r="K2741" s="753">
        <v>5</v>
      </c>
      <c r="L2741" s="754">
        <v>12</v>
      </c>
      <c r="M2741" s="736">
        <v>29560.799999999999</v>
      </c>
      <c r="N2741" s="744"/>
      <c r="O2741" s="739"/>
      <c r="P2741" s="739"/>
      <c r="Q2741" s="214"/>
    </row>
    <row r="2742" spans="1:17" ht="12" customHeight="1" x14ac:dyDescent="0.2">
      <c r="A2742" s="735" t="s">
        <v>7733</v>
      </c>
      <c r="B2742" s="735" t="s">
        <v>2170</v>
      </c>
      <c r="C2742" s="735" t="s">
        <v>451</v>
      </c>
      <c r="D2742" s="644" t="s">
        <v>9396</v>
      </c>
      <c r="E2742" s="736">
        <v>4000</v>
      </c>
      <c r="F2742" s="737" t="s">
        <v>9397</v>
      </c>
      <c r="G2742" s="636" t="s">
        <v>9398</v>
      </c>
      <c r="H2742" s="636" t="s">
        <v>7752</v>
      </c>
      <c r="I2742" s="636" t="s">
        <v>2179</v>
      </c>
      <c r="J2742" s="644" t="s">
        <v>642</v>
      </c>
      <c r="K2742" s="753">
        <v>2</v>
      </c>
      <c r="L2742" s="754">
        <v>4</v>
      </c>
      <c r="M2742" s="736">
        <v>17960.8</v>
      </c>
      <c r="N2742" s="744"/>
      <c r="O2742" s="739"/>
      <c r="P2742" s="739"/>
      <c r="Q2742" s="214"/>
    </row>
    <row r="2743" spans="1:17" ht="12" customHeight="1" x14ac:dyDescent="0.2">
      <c r="A2743" s="735" t="s">
        <v>7733</v>
      </c>
      <c r="B2743" s="735" t="s">
        <v>2170</v>
      </c>
      <c r="C2743" s="735" t="s">
        <v>451</v>
      </c>
      <c r="D2743" s="644" t="s">
        <v>9399</v>
      </c>
      <c r="E2743" s="736">
        <v>3500</v>
      </c>
      <c r="F2743" s="737" t="s">
        <v>9400</v>
      </c>
      <c r="G2743" s="636" t="s">
        <v>9401</v>
      </c>
      <c r="H2743" s="636" t="s">
        <v>3522</v>
      </c>
      <c r="I2743" s="636" t="s">
        <v>2346</v>
      </c>
      <c r="J2743" s="644" t="s">
        <v>644</v>
      </c>
      <c r="K2743" s="753">
        <v>6</v>
      </c>
      <c r="L2743" s="754">
        <v>12</v>
      </c>
      <c r="M2743" s="736">
        <v>43960.800000000003</v>
      </c>
      <c r="N2743" s="744"/>
      <c r="O2743" s="739"/>
      <c r="P2743" s="739"/>
      <c r="Q2743" s="214"/>
    </row>
    <row r="2744" spans="1:17" ht="12" customHeight="1" x14ac:dyDescent="0.2">
      <c r="A2744" s="735" t="s">
        <v>7733</v>
      </c>
      <c r="B2744" s="735" t="s">
        <v>2170</v>
      </c>
      <c r="C2744" s="735" t="s">
        <v>451</v>
      </c>
      <c r="D2744" s="644" t="s">
        <v>9402</v>
      </c>
      <c r="E2744" s="736">
        <v>2450</v>
      </c>
      <c r="F2744" s="737" t="s">
        <v>9403</v>
      </c>
      <c r="G2744" s="636" t="s">
        <v>9404</v>
      </c>
      <c r="H2744" s="636" t="s">
        <v>8354</v>
      </c>
      <c r="I2744" s="636" t="s">
        <v>3057</v>
      </c>
      <c r="J2744" s="644" t="s">
        <v>642</v>
      </c>
      <c r="K2744" s="753">
        <v>12</v>
      </c>
      <c r="L2744" s="754">
        <v>12</v>
      </c>
      <c r="M2744" s="736">
        <v>31360.799999999999</v>
      </c>
      <c r="N2744" s="744"/>
      <c r="O2744" s="739"/>
      <c r="P2744" s="739"/>
      <c r="Q2744" s="214"/>
    </row>
    <row r="2745" spans="1:17" ht="12" customHeight="1" x14ac:dyDescent="0.2">
      <c r="A2745" s="735" t="s">
        <v>7733</v>
      </c>
      <c r="B2745" s="735" t="s">
        <v>2170</v>
      </c>
      <c r="C2745" s="735" t="s">
        <v>451</v>
      </c>
      <c r="D2745" s="644" t="s">
        <v>7901</v>
      </c>
      <c r="E2745" s="736">
        <v>2500</v>
      </c>
      <c r="F2745" s="737" t="s">
        <v>9405</v>
      </c>
      <c r="G2745" s="636" t="s">
        <v>9406</v>
      </c>
      <c r="H2745" s="636" t="s">
        <v>2690</v>
      </c>
      <c r="I2745" s="636" t="s">
        <v>8036</v>
      </c>
      <c r="J2745" s="644" t="s">
        <v>643</v>
      </c>
      <c r="K2745" s="753">
        <v>12</v>
      </c>
      <c r="L2745" s="754">
        <v>12</v>
      </c>
      <c r="M2745" s="736">
        <v>31960.799999999999</v>
      </c>
      <c r="N2745" s="744"/>
      <c r="O2745" s="739"/>
      <c r="P2745" s="739"/>
      <c r="Q2745" s="214"/>
    </row>
    <row r="2746" spans="1:17" ht="12" customHeight="1" x14ac:dyDescent="0.2">
      <c r="A2746" s="735" t="s">
        <v>7733</v>
      </c>
      <c r="B2746" s="735" t="s">
        <v>2170</v>
      </c>
      <c r="C2746" s="735" t="s">
        <v>451</v>
      </c>
      <c r="D2746" s="644" t="s">
        <v>8995</v>
      </c>
      <c r="E2746" s="736">
        <v>4000</v>
      </c>
      <c r="F2746" s="737" t="s">
        <v>9407</v>
      </c>
      <c r="G2746" s="636" t="s">
        <v>9408</v>
      </c>
      <c r="H2746" s="636" t="s">
        <v>7834</v>
      </c>
      <c r="I2746" s="636" t="s">
        <v>7835</v>
      </c>
      <c r="J2746" s="644" t="s">
        <v>642</v>
      </c>
      <c r="K2746" s="753">
        <v>11</v>
      </c>
      <c r="L2746" s="754">
        <v>11</v>
      </c>
      <c r="M2746" s="736">
        <v>45960.800000000003</v>
      </c>
      <c r="N2746" s="744"/>
      <c r="O2746" s="739"/>
      <c r="P2746" s="739"/>
      <c r="Q2746" s="214"/>
    </row>
    <row r="2747" spans="1:17" ht="12" customHeight="1" x14ac:dyDescent="0.2">
      <c r="A2747" s="735" t="s">
        <v>7733</v>
      </c>
      <c r="B2747" s="735" t="s">
        <v>2170</v>
      </c>
      <c r="C2747" s="735" t="s">
        <v>451</v>
      </c>
      <c r="D2747" s="644" t="s">
        <v>9409</v>
      </c>
      <c r="E2747" s="736">
        <v>3000</v>
      </c>
      <c r="F2747" s="737" t="s">
        <v>9410</v>
      </c>
      <c r="G2747" s="636" t="s">
        <v>9411</v>
      </c>
      <c r="H2747" s="636" t="s">
        <v>7752</v>
      </c>
      <c r="I2747" s="636" t="s">
        <v>2179</v>
      </c>
      <c r="J2747" s="644" t="s">
        <v>642</v>
      </c>
      <c r="K2747" s="753">
        <v>12</v>
      </c>
      <c r="L2747" s="754">
        <v>12</v>
      </c>
      <c r="M2747" s="736">
        <v>37960.800000000003</v>
      </c>
      <c r="N2747" s="744"/>
      <c r="O2747" s="739"/>
      <c r="P2747" s="739"/>
      <c r="Q2747" s="214"/>
    </row>
    <row r="2748" spans="1:17" ht="12" customHeight="1" x14ac:dyDescent="0.2">
      <c r="A2748" s="735" t="s">
        <v>7733</v>
      </c>
      <c r="B2748" s="735" t="s">
        <v>2170</v>
      </c>
      <c r="C2748" s="735" t="s">
        <v>451</v>
      </c>
      <c r="D2748" s="644" t="s">
        <v>8078</v>
      </c>
      <c r="E2748" s="736">
        <v>2500</v>
      </c>
      <c r="F2748" s="737" t="s">
        <v>9412</v>
      </c>
      <c r="G2748" s="636" t="s">
        <v>9413</v>
      </c>
      <c r="H2748" s="636" t="s">
        <v>3915</v>
      </c>
      <c r="I2748" s="636" t="s">
        <v>8152</v>
      </c>
      <c r="J2748" s="644" t="s">
        <v>643</v>
      </c>
      <c r="K2748" s="753">
        <v>12</v>
      </c>
      <c r="L2748" s="754">
        <v>12</v>
      </c>
      <c r="M2748" s="736">
        <v>31960.799999999999</v>
      </c>
      <c r="N2748" s="744"/>
      <c r="O2748" s="739"/>
      <c r="P2748" s="739"/>
      <c r="Q2748" s="214"/>
    </row>
    <row r="2749" spans="1:17" ht="12" customHeight="1" x14ac:dyDescent="0.2">
      <c r="A2749" s="735" t="s">
        <v>7733</v>
      </c>
      <c r="B2749" s="735" t="s">
        <v>2170</v>
      </c>
      <c r="C2749" s="735" t="s">
        <v>451</v>
      </c>
      <c r="D2749" s="644" t="s">
        <v>7831</v>
      </c>
      <c r="E2749" s="736">
        <v>1600</v>
      </c>
      <c r="F2749" s="737" t="s">
        <v>9414</v>
      </c>
      <c r="G2749" s="636" t="s">
        <v>9415</v>
      </c>
      <c r="H2749" s="636"/>
      <c r="I2749" s="636"/>
      <c r="J2749" s="644" t="s">
        <v>644</v>
      </c>
      <c r="K2749" s="753">
        <v>12</v>
      </c>
      <c r="L2749" s="754">
        <v>12</v>
      </c>
      <c r="M2749" s="736">
        <v>21528</v>
      </c>
      <c r="N2749" s="744"/>
      <c r="O2749" s="739"/>
      <c r="P2749" s="739"/>
      <c r="Q2749" s="214"/>
    </row>
    <row r="2750" spans="1:17" ht="12" customHeight="1" x14ac:dyDescent="0.2">
      <c r="A2750" s="735" t="s">
        <v>7733</v>
      </c>
      <c r="B2750" s="735" t="s">
        <v>2170</v>
      </c>
      <c r="C2750" s="735" t="s">
        <v>451</v>
      </c>
      <c r="D2750" s="644" t="s">
        <v>8791</v>
      </c>
      <c r="E2750" s="736">
        <v>2500</v>
      </c>
      <c r="F2750" s="737" t="s">
        <v>9416</v>
      </c>
      <c r="G2750" s="636" t="s">
        <v>9417</v>
      </c>
      <c r="H2750" s="636" t="s">
        <v>7939</v>
      </c>
      <c r="I2750" s="636" t="s">
        <v>8874</v>
      </c>
      <c r="J2750" s="644" t="s">
        <v>642</v>
      </c>
      <c r="K2750" s="753">
        <v>1</v>
      </c>
      <c r="L2750" s="754">
        <v>3</v>
      </c>
      <c r="M2750" s="736">
        <v>9460.7999999999993</v>
      </c>
      <c r="N2750" s="744"/>
      <c r="O2750" s="739"/>
      <c r="P2750" s="739"/>
      <c r="Q2750" s="214"/>
    </row>
    <row r="2751" spans="1:17" ht="12" customHeight="1" x14ac:dyDescent="0.2">
      <c r="A2751" s="735" t="s">
        <v>7733</v>
      </c>
      <c r="B2751" s="735" t="s">
        <v>2170</v>
      </c>
      <c r="C2751" s="735" t="s">
        <v>451</v>
      </c>
      <c r="D2751" s="644" t="s">
        <v>7855</v>
      </c>
      <c r="E2751" s="736">
        <v>2200</v>
      </c>
      <c r="F2751" s="737" t="s">
        <v>9418</v>
      </c>
      <c r="G2751" s="636" t="s">
        <v>9419</v>
      </c>
      <c r="H2751" s="636" t="s">
        <v>8813</v>
      </c>
      <c r="I2751" s="636" t="s">
        <v>3760</v>
      </c>
      <c r="J2751" s="644" t="s">
        <v>644</v>
      </c>
      <c r="K2751" s="753">
        <v>12</v>
      </c>
      <c r="L2751" s="754">
        <v>12</v>
      </c>
      <c r="M2751" s="736">
        <v>28360.799999999999</v>
      </c>
      <c r="N2751" s="744"/>
      <c r="O2751" s="739"/>
      <c r="P2751" s="739"/>
      <c r="Q2751" s="214"/>
    </row>
    <row r="2752" spans="1:17" ht="12" customHeight="1" x14ac:dyDescent="0.2">
      <c r="A2752" s="735" t="s">
        <v>7733</v>
      </c>
      <c r="B2752" s="735" t="s">
        <v>2170</v>
      </c>
      <c r="C2752" s="735" t="s">
        <v>451</v>
      </c>
      <c r="D2752" s="644" t="s">
        <v>7838</v>
      </c>
      <c r="E2752" s="736">
        <v>2500</v>
      </c>
      <c r="F2752" s="737" t="s">
        <v>9420</v>
      </c>
      <c r="G2752" s="636" t="s">
        <v>9421</v>
      </c>
      <c r="H2752" s="636" t="s">
        <v>2228</v>
      </c>
      <c r="I2752" s="636" t="s">
        <v>2228</v>
      </c>
      <c r="J2752" s="644"/>
      <c r="K2752" s="753">
        <v>8</v>
      </c>
      <c r="L2752" s="754">
        <v>8</v>
      </c>
      <c r="M2752" s="736">
        <v>21960.799999999999</v>
      </c>
      <c r="N2752" s="744"/>
      <c r="O2752" s="739"/>
      <c r="P2752" s="739"/>
      <c r="Q2752" s="214"/>
    </row>
    <row r="2753" spans="1:17" ht="12" customHeight="1" x14ac:dyDescent="0.2">
      <c r="A2753" s="735" t="s">
        <v>7733</v>
      </c>
      <c r="B2753" s="735" t="s">
        <v>2170</v>
      </c>
      <c r="C2753" s="735" t="s">
        <v>451</v>
      </c>
      <c r="D2753" s="644" t="s">
        <v>7817</v>
      </c>
      <c r="E2753" s="736">
        <v>2500</v>
      </c>
      <c r="F2753" s="737" t="s">
        <v>9422</v>
      </c>
      <c r="G2753" s="636" t="s">
        <v>9423</v>
      </c>
      <c r="H2753" s="636" t="s">
        <v>6571</v>
      </c>
      <c r="I2753" s="636" t="s">
        <v>8036</v>
      </c>
      <c r="J2753" s="644" t="s">
        <v>643</v>
      </c>
      <c r="K2753" s="753">
        <v>12</v>
      </c>
      <c r="L2753" s="754">
        <v>12</v>
      </c>
      <c r="M2753" s="736">
        <v>31960.799999999999</v>
      </c>
      <c r="N2753" s="744"/>
      <c r="O2753" s="739"/>
      <c r="P2753" s="739"/>
      <c r="Q2753" s="214"/>
    </row>
    <row r="2754" spans="1:17" ht="12" customHeight="1" x14ac:dyDescent="0.2">
      <c r="A2754" s="735" t="s">
        <v>7733</v>
      </c>
      <c r="B2754" s="735" t="s">
        <v>2170</v>
      </c>
      <c r="C2754" s="735" t="s">
        <v>451</v>
      </c>
      <c r="D2754" s="644" t="s">
        <v>7843</v>
      </c>
      <c r="E2754" s="736">
        <v>4000</v>
      </c>
      <c r="F2754" s="737" t="s">
        <v>9424</v>
      </c>
      <c r="G2754" s="636" t="s">
        <v>9425</v>
      </c>
      <c r="H2754" s="636" t="s">
        <v>6571</v>
      </c>
      <c r="I2754" s="636" t="s">
        <v>2179</v>
      </c>
      <c r="J2754" s="644" t="s">
        <v>642</v>
      </c>
      <c r="K2754" s="753">
        <v>12</v>
      </c>
      <c r="L2754" s="754">
        <v>12</v>
      </c>
      <c r="M2754" s="736">
        <v>49960.800000000003</v>
      </c>
      <c r="N2754" s="744"/>
      <c r="O2754" s="739"/>
      <c r="P2754" s="739"/>
      <c r="Q2754" s="214"/>
    </row>
    <row r="2755" spans="1:17" ht="12" customHeight="1" x14ac:dyDescent="0.2">
      <c r="A2755" s="735" t="s">
        <v>7733</v>
      </c>
      <c r="B2755" s="735" t="s">
        <v>2170</v>
      </c>
      <c r="C2755" s="735" t="s">
        <v>451</v>
      </c>
      <c r="D2755" s="644" t="s">
        <v>7904</v>
      </c>
      <c r="E2755" s="736">
        <v>1800</v>
      </c>
      <c r="F2755" s="737" t="s">
        <v>9426</v>
      </c>
      <c r="G2755" s="636" t="s">
        <v>9427</v>
      </c>
      <c r="H2755" s="636" t="s">
        <v>7858</v>
      </c>
      <c r="I2755" s="636" t="s">
        <v>7859</v>
      </c>
      <c r="J2755" s="644" t="s">
        <v>643</v>
      </c>
      <c r="K2755" s="753">
        <v>12</v>
      </c>
      <c r="L2755" s="754">
        <v>12</v>
      </c>
      <c r="M2755" s="736">
        <v>24144</v>
      </c>
      <c r="N2755" s="744"/>
      <c r="O2755" s="739"/>
      <c r="P2755" s="739"/>
      <c r="Q2755" s="214"/>
    </row>
    <row r="2756" spans="1:17" ht="12" customHeight="1" x14ac:dyDescent="0.2">
      <c r="A2756" s="735" t="s">
        <v>7733</v>
      </c>
      <c r="B2756" s="735" t="s">
        <v>2170</v>
      </c>
      <c r="C2756" s="735" t="s">
        <v>451</v>
      </c>
      <c r="D2756" s="644" t="s">
        <v>8298</v>
      </c>
      <c r="E2756" s="736">
        <v>930</v>
      </c>
      <c r="F2756" s="737" t="s">
        <v>9428</v>
      </c>
      <c r="G2756" s="636" t="s">
        <v>9429</v>
      </c>
      <c r="H2756" s="636" t="s">
        <v>8089</v>
      </c>
      <c r="I2756" s="636" t="s">
        <v>9430</v>
      </c>
      <c r="J2756" s="644" t="s">
        <v>644</v>
      </c>
      <c r="K2756" s="753">
        <v>1</v>
      </c>
      <c r="L2756" s="754">
        <v>12</v>
      </c>
      <c r="M2756" s="736">
        <v>12764.4</v>
      </c>
      <c r="N2756" s="744"/>
      <c r="O2756" s="739"/>
      <c r="P2756" s="739"/>
      <c r="Q2756" s="214"/>
    </row>
    <row r="2757" spans="1:17" ht="12" customHeight="1" x14ac:dyDescent="0.2">
      <c r="A2757" s="735" t="s">
        <v>7733</v>
      </c>
      <c r="B2757" s="735" t="s">
        <v>2170</v>
      </c>
      <c r="C2757" s="735" t="s">
        <v>451</v>
      </c>
      <c r="D2757" s="644" t="s">
        <v>9431</v>
      </c>
      <c r="E2757" s="736">
        <v>2500</v>
      </c>
      <c r="F2757" s="737" t="s">
        <v>9432</v>
      </c>
      <c r="G2757" s="636" t="s">
        <v>9433</v>
      </c>
      <c r="H2757" s="636" t="s">
        <v>7816</v>
      </c>
      <c r="I2757" s="636" t="s">
        <v>7874</v>
      </c>
      <c r="J2757" s="644" t="s">
        <v>643</v>
      </c>
      <c r="K2757" s="753">
        <v>5</v>
      </c>
      <c r="L2757" s="754">
        <v>12</v>
      </c>
      <c r="M2757" s="736">
        <v>31960.799999999999</v>
      </c>
      <c r="N2757" s="744"/>
      <c r="O2757" s="739"/>
      <c r="P2757" s="739"/>
      <c r="Q2757" s="214"/>
    </row>
    <row r="2758" spans="1:17" ht="12" customHeight="1" x14ac:dyDescent="0.2">
      <c r="A2758" s="735" t="s">
        <v>7733</v>
      </c>
      <c r="B2758" s="735" t="s">
        <v>2170</v>
      </c>
      <c r="C2758" s="735" t="s">
        <v>451</v>
      </c>
      <c r="D2758" s="644" t="s">
        <v>2772</v>
      </c>
      <c r="E2758" s="736">
        <v>2500</v>
      </c>
      <c r="F2758" s="737" t="s">
        <v>9434</v>
      </c>
      <c r="G2758" s="636" t="s">
        <v>9435</v>
      </c>
      <c r="H2758" s="636"/>
      <c r="I2758" s="636"/>
      <c r="J2758" s="644" t="s">
        <v>642</v>
      </c>
      <c r="K2758" s="753">
        <v>1</v>
      </c>
      <c r="L2758" s="754">
        <v>1</v>
      </c>
      <c r="M2758" s="736">
        <v>4460.8</v>
      </c>
      <c r="N2758" s="744"/>
      <c r="O2758" s="739"/>
      <c r="P2758" s="739"/>
      <c r="Q2758" s="214"/>
    </row>
    <row r="2759" spans="1:17" ht="12" customHeight="1" x14ac:dyDescent="0.2">
      <c r="A2759" s="735" t="s">
        <v>7733</v>
      </c>
      <c r="B2759" s="735" t="s">
        <v>2170</v>
      </c>
      <c r="C2759" s="735" t="s">
        <v>451</v>
      </c>
      <c r="D2759" s="644" t="s">
        <v>8149</v>
      </c>
      <c r="E2759" s="736">
        <v>2300</v>
      </c>
      <c r="F2759" s="737" t="s">
        <v>9436</v>
      </c>
      <c r="G2759" s="636" t="s">
        <v>9437</v>
      </c>
      <c r="H2759" s="636"/>
      <c r="I2759" s="636"/>
      <c r="J2759" s="644" t="s">
        <v>642</v>
      </c>
      <c r="K2759" s="753">
        <v>12</v>
      </c>
      <c r="L2759" s="754">
        <v>12</v>
      </c>
      <c r="M2759" s="736">
        <v>29560.799999999999</v>
      </c>
      <c r="N2759" s="744"/>
      <c r="O2759" s="739"/>
      <c r="P2759" s="739"/>
      <c r="Q2759" s="214"/>
    </row>
    <row r="2760" spans="1:17" ht="12" customHeight="1" x14ac:dyDescent="0.2">
      <c r="A2760" s="735" t="s">
        <v>7733</v>
      </c>
      <c r="B2760" s="735" t="s">
        <v>2170</v>
      </c>
      <c r="C2760" s="735" t="s">
        <v>451</v>
      </c>
      <c r="D2760" s="644" t="s">
        <v>8172</v>
      </c>
      <c r="E2760" s="736">
        <v>3000</v>
      </c>
      <c r="F2760" s="737" t="s">
        <v>9438</v>
      </c>
      <c r="G2760" s="636" t="s">
        <v>9439</v>
      </c>
      <c r="H2760" s="636" t="s">
        <v>2228</v>
      </c>
      <c r="I2760" s="636" t="s">
        <v>2228</v>
      </c>
      <c r="J2760" s="644"/>
      <c r="K2760" s="753">
        <v>7</v>
      </c>
      <c r="L2760" s="754">
        <v>7</v>
      </c>
      <c r="M2760" s="736">
        <v>22960.799999999999</v>
      </c>
      <c r="N2760" s="744"/>
      <c r="O2760" s="739"/>
      <c r="P2760" s="739"/>
      <c r="Q2760" s="214"/>
    </row>
    <row r="2761" spans="1:17" ht="12" customHeight="1" x14ac:dyDescent="0.2">
      <c r="A2761" s="735" t="s">
        <v>7733</v>
      </c>
      <c r="B2761" s="735" t="s">
        <v>2170</v>
      </c>
      <c r="C2761" s="735" t="s">
        <v>451</v>
      </c>
      <c r="D2761" s="644" t="s">
        <v>8165</v>
      </c>
      <c r="E2761" s="736">
        <v>3500</v>
      </c>
      <c r="F2761" s="737" t="s">
        <v>9440</v>
      </c>
      <c r="G2761" s="636" t="s">
        <v>9441</v>
      </c>
      <c r="H2761" s="636"/>
      <c r="I2761" s="636"/>
      <c r="J2761" s="644" t="s">
        <v>642</v>
      </c>
      <c r="K2761" s="753">
        <v>12</v>
      </c>
      <c r="L2761" s="754">
        <v>12</v>
      </c>
      <c r="M2761" s="736">
        <v>43960.800000000003</v>
      </c>
      <c r="N2761" s="744"/>
      <c r="O2761" s="739"/>
      <c r="P2761" s="739"/>
      <c r="Q2761" s="214"/>
    </row>
    <row r="2762" spans="1:17" ht="12" customHeight="1" x14ac:dyDescent="0.2">
      <c r="A2762" s="735" t="s">
        <v>7733</v>
      </c>
      <c r="B2762" s="735" t="s">
        <v>2170</v>
      </c>
      <c r="C2762" s="735" t="s">
        <v>451</v>
      </c>
      <c r="D2762" s="644" t="s">
        <v>5538</v>
      </c>
      <c r="E2762" s="736">
        <v>5000</v>
      </c>
      <c r="F2762" s="737" t="s">
        <v>9442</v>
      </c>
      <c r="G2762" s="636" t="s">
        <v>9443</v>
      </c>
      <c r="H2762" s="636" t="s">
        <v>2228</v>
      </c>
      <c r="I2762" s="636" t="s">
        <v>2228</v>
      </c>
      <c r="J2762" s="644"/>
      <c r="K2762" s="753">
        <v>1</v>
      </c>
      <c r="L2762" s="754">
        <v>1</v>
      </c>
      <c r="M2762" s="736">
        <v>6960.8</v>
      </c>
      <c r="N2762" s="744"/>
      <c r="O2762" s="739"/>
      <c r="P2762" s="739"/>
      <c r="Q2762" s="214"/>
    </row>
    <row r="2763" spans="1:17" ht="12" customHeight="1" x14ac:dyDescent="0.2">
      <c r="A2763" s="735" t="s">
        <v>7733</v>
      </c>
      <c r="B2763" s="735" t="s">
        <v>2170</v>
      </c>
      <c r="C2763" s="735" t="s">
        <v>451</v>
      </c>
      <c r="D2763" s="644" t="s">
        <v>8414</v>
      </c>
      <c r="E2763" s="736">
        <v>2000</v>
      </c>
      <c r="F2763" s="737" t="s">
        <v>9444</v>
      </c>
      <c r="G2763" s="636" t="s">
        <v>9445</v>
      </c>
      <c r="H2763" s="636"/>
      <c r="I2763" s="636"/>
      <c r="J2763" s="644" t="s">
        <v>643</v>
      </c>
      <c r="K2763" s="753">
        <v>12</v>
      </c>
      <c r="L2763" s="754">
        <v>12</v>
      </c>
      <c r="M2763" s="736">
        <v>25960.799999999999</v>
      </c>
      <c r="N2763" s="744"/>
      <c r="O2763" s="739"/>
      <c r="P2763" s="739"/>
      <c r="Q2763" s="214"/>
    </row>
    <row r="2764" spans="1:17" ht="12" customHeight="1" x14ac:dyDescent="0.2">
      <c r="A2764" s="735" t="s">
        <v>7733</v>
      </c>
      <c r="B2764" s="735" t="s">
        <v>2170</v>
      </c>
      <c r="C2764" s="735" t="s">
        <v>451</v>
      </c>
      <c r="D2764" s="644" t="s">
        <v>7746</v>
      </c>
      <c r="E2764" s="736">
        <v>2200</v>
      </c>
      <c r="F2764" s="737" t="s">
        <v>9446</v>
      </c>
      <c r="G2764" s="636" t="s">
        <v>9447</v>
      </c>
      <c r="H2764" s="636" t="s">
        <v>7850</v>
      </c>
      <c r="I2764" s="636" t="s">
        <v>8036</v>
      </c>
      <c r="J2764" s="644" t="s">
        <v>643</v>
      </c>
      <c r="K2764" s="753">
        <v>12</v>
      </c>
      <c r="L2764" s="754">
        <v>12</v>
      </c>
      <c r="M2764" s="736">
        <v>28360.799999999999</v>
      </c>
      <c r="N2764" s="744"/>
      <c r="O2764" s="739"/>
      <c r="P2764" s="739"/>
      <c r="Q2764" s="214"/>
    </row>
    <row r="2765" spans="1:17" ht="12" customHeight="1" x14ac:dyDescent="0.2">
      <c r="A2765" s="735" t="s">
        <v>7733</v>
      </c>
      <c r="B2765" s="735" t="s">
        <v>2170</v>
      </c>
      <c r="C2765" s="735" t="s">
        <v>451</v>
      </c>
      <c r="D2765" s="644" t="s">
        <v>7843</v>
      </c>
      <c r="E2765" s="736">
        <v>4000</v>
      </c>
      <c r="F2765" s="737" t="s">
        <v>9448</v>
      </c>
      <c r="G2765" s="636" t="s">
        <v>9449</v>
      </c>
      <c r="H2765" s="636" t="s">
        <v>7752</v>
      </c>
      <c r="I2765" s="636" t="s">
        <v>2766</v>
      </c>
      <c r="J2765" s="644" t="s">
        <v>642</v>
      </c>
      <c r="K2765" s="753">
        <v>12</v>
      </c>
      <c r="L2765" s="754">
        <v>12</v>
      </c>
      <c r="M2765" s="736">
        <v>49960.800000000003</v>
      </c>
      <c r="N2765" s="744"/>
      <c r="O2765" s="739"/>
      <c r="P2765" s="739"/>
      <c r="Q2765" s="214"/>
    </row>
    <row r="2766" spans="1:17" ht="12" customHeight="1" x14ac:dyDescent="0.2">
      <c r="A2766" s="735" t="s">
        <v>7733</v>
      </c>
      <c r="B2766" s="735" t="s">
        <v>2170</v>
      </c>
      <c r="C2766" s="735" t="s">
        <v>451</v>
      </c>
      <c r="D2766" s="644" t="s">
        <v>8554</v>
      </c>
      <c r="E2766" s="736">
        <v>3000</v>
      </c>
      <c r="F2766" s="737" t="s">
        <v>9450</v>
      </c>
      <c r="G2766" s="636" t="s">
        <v>9451</v>
      </c>
      <c r="H2766" s="636" t="s">
        <v>9094</v>
      </c>
      <c r="I2766" s="636" t="s">
        <v>9094</v>
      </c>
      <c r="J2766" s="644" t="s">
        <v>642</v>
      </c>
      <c r="K2766" s="753">
        <v>11</v>
      </c>
      <c r="L2766" s="754">
        <v>12</v>
      </c>
      <c r="M2766" s="736">
        <v>37960.800000000003</v>
      </c>
      <c r="N2766" s="744"/>
      <c r="O2766" s="739"/>
      <c r="P2766" s="739"/>
      <c r="Q2766" s="214"/>
    </row>
    <row r="2767" spans="1:17" ht="12" customHeight="1" x14ac:dyDescent="0.2">
      <c r="A2767" s="735" t="s">
        <v>7733</v>
      </c>
      <c r="B2767" s="735" t="s">
        <v>2170</v>
      </c>
      <c r="C2767" s="735" t="s">
        <v>451</v>
      </c>
      <c r="D2767" s="644" t="s">
        <v>8401</v>
      </c>
      <c r="E2767" s="736">
        <v>5000</v>
      </c>
      <c r="F2767" s="737" t="s">
        <v>9452</v>
      </c>
      <c r="G2767" s="636" t="s">
        <v>9453</v>
      </c>
      <c r="H2767" s="636" t="s">
        <v>7752</v>
      </c>
      <c r="I2767" s="636" t="s">
        <v>2179</v>
      </c>
      <c r="J2767" s="644" t="s">
        <v>642</v>
      </c>
      <c r="K2767" s="753">
        <v>12</v>
      </c>
      <c r="L2767" s="754">
        <v>12</v>
      </c>
      <c r="M2767" s="736">
        <v>61960.800000000003</v>
      </c>
      <c r="N2767" s="744"/>
      <c r="O2767" s="739"/>
      <c r="P2767" s="739"/>
      <c r="Q2767" s="214"/>
    </row>
    <row r="2768" spans="1:17" ht="12" customHeight="1" x14ac:dyDescent="0.2">
      <c r="A2768" s="735" t="s">
        <v>7733</v>
      </c>
      <c r="B2768" s="735" t="s">
        <v>2170</v>
      </c>
      <c r="C2768" s="735" t="s">
        <v>451</v>
      </c>
      <c r="D2768" s="644" t="s">
        <v>9454</v>
      </c>
      <c r="E2768" s="736">
        <v>2500</v>
      </c>
      <c r="F2768" s="737" t="s">
        <v>9455</v>
      </c>
      <c r="G2768" s="636" t="s">
        <v>9456</v>
      </c>
      <c r="H2768" s="636" t="s">
        <v>2228</v>
      </c>
      <c r="I2768" s="636" t="s">
        <v>2228</v>
      </c>
      <c r="J2768" s="644"/>
      <c r="K2768" s="753">
        <v>4</v>
      </c>
      <c r="L2768" s="754">
        <v>8</v>
      </c>
      <c r="M2768" s="736">
        <v>21960.799999999999</v>
      </c>
      <c r="N2768" s="744"/>
      <c r="O2768" s="739"/>
      <c r="P2768" s="739"/>
      <c r="Q2768" s="214"/>
    </row>
    <row r="2769" spans="1:17" ht="12" customHeight="1" x14ac:dyDescent="0.2">
      <c r="A2769" s="735" t="s">
        <v>7733</v>
      </c>
      <c r="B2769" s="735" t="s">
        <v>2170</v>
      </c>
      <c r="C2769" s="735" t="s">
        <v>451</v>
      </c>
      <c r="D2769" s="644" t="s">
        <v>2261</v>
      </c>
      <c r="E2769" s="736">
        <v>2500</v>
      </c>
      <c r="F2769" s="737" t="s">
        <v>9457</v>
      </c>
      <c r="G2769" s="636" t="s">
        <v>9458</v>
      </c>
      <c r="H2769" s="636" t="s">
        <v>6778</v>
      </c>
      <c r="I2769" s="636" t="s">
        <v>6778</v>
      </c>
      <c r="J2769" s="644" t="s">
        <v>644</v>
      </c>
      <c r="K2769" s="753">
        <v>5</v>
      </c>
      <c r="L2769" s="754">
        <v>12</v>
      </c>
      <c r="M2769" s="736">
        <v>31960.799999999999</v>
      </c>
      <c r="N2769" s="744"/>
      <c r="O2769" s="739"/>
      <c r="P2769" s="739"/>
      <c r="Q2769" s="214"/>
    </row>
    <row r="2770" spans="1:17" ht="12" customHeight="1" x14ac:dyDescent="0.2">
      <c r="A2770" s="735" t="s">
        <v>7733</v>
      </c>
      <c r="B2770" s="735" t="s">
        <v>2170</v>
      </c>
      <c r="C2770" s="735" t="s">
        <v>451</v>
      </c>
      <c r="D2770" s="644" t="s">
        <v>8288</v>
      </c>
      <c r="E2770" s="736">
        <v>3000</v>
      </c>
      <c r="F2770" s="737" t="s">
        <v>9459</v>
      </c>
      <c r="G2770" s="636" t="s">
        <v>9460</v>
      </c>
      <c r="H2770" s="636" t="s">
        <v>3754</v>
      </c>
      <c r="I2770" s="636" t="s">
        <v>2979</v>
      </c>
      <c r="J2770" s="644" t="s">
        <v>643</v>
      </c>
      <c r="K2770" s="753">
        <v>5</v>
      </c>
      <c r="L2770" s="754">
        <v>12</v>
      </c>
      <c r="M2770" s="736">
        <v>37960.800000000003</v>
      </c>
      <c r="N2770" s="744"/>
      <c r="O2770" s="739"/>
      <c r="P2770" s="739"/>
      <c r="Q2770" s="214"/>
    </row>
    <row r="2771" spans="1:17" ht="12" customHeight="1" x14ac:dyDescent="0.2">
      <c r="A2771" s="735" t="s">
        <v>7733</v>
      </c>
      <c r="B2771" s="735" t="s">
        <v>2170</v>
      </c>
      <c r="C2771" s="735" t="s">
        <v>451</v>
      </c>
      <c r="D2771" s="644" t="s">
        <v>9461</v>
      </c>
      <c r="E2771" s="736">
        <v>3200</v>
      </c>
      <c r="F2771" s="737" t="s">
        <v>9462</v>
      </c>
      <c r="G2771" s="636" t="s">
        <v>9463</v>
      </c>
      <c r="H2771" s="636" t="s">
        <v>2690</v>
      </c>
      <c r="I2771" s="636" t="s">
        <v>8036</v>
      </c>
      <c r="J2771" s="644" t="s">
        <v>643</v>
      </c>
      <c r="K2771" s="753">
        <v>10</v>
      </c>
      <c r="L2771" s="754">
        <v>12</v>
      </c>
      <c r="M2771" s="736">
        <v>40360.800000000003</v>
      </c>
      <c r="N2771" s="744"/>
      <c r="O2771" s="739"/>
      <c r="P2771" s="739"/>
      <c r="Q2771" s="214"/>
    </row>
    <row r="2772" spans="1:17" ht="12" customHeight="1" x14ac:dyDescent="0.2">
      <c r="A2772" s="735" t="s">
        <v>7733</v>
      </c>
      <c r="B2772" s="735" t="s">
        <v>2170</v>
      </c>
      <c r="C2772" s="735" t="s">
        <v>451</v>
      </c>
      <c r="D2772" s="644" t="s">
        <v>9260</v>
      </c>
      <c r="E2772" s="736">
        <v>2800</v>
      </c>
      <c r="F2772" s="737" t="s">
        <v>9464</v>
      </c>
      <c r="G2772" s="636" t="s">
        <v>9465</v>
      </c>
      <c r="H2772" s="636" t="s">
        <v>3915</v>
      </c>
      <c r="I2772" s="636" t="s">
        <v>4559</v>
      </c>
      <c r="J2772" s="644" t="s">
        <v>643</v>
      </c>
      <c r="K2772" s="753">
        <v>6</v>
      </c>
      <c r="L2772" s="754">
        <v>12</v>
      </c>
      <c r="M2772" s="736">
        <v>35560.800000000003</v>
      </c>
      <c r="N2772" s="744"/>
      <c r="O2772" s="739"/>
      <c r="P2772" s="739"/>
      <c r="Q2772" s="214"/>
    </row>
    <row r="2773" spans="1:17" ht="12" customHeight="1" x14ac:dyDescent="0.2">
      <c r="A2773" s="735" t="s">
        <v>7733</v>
      </c>
      <c r="B2773" s="735" t="s">
        <v>2170</v>
      </c>
      <c r="C2773" s="735" t="s">
        <v>451</v>
      </c>
      <c r="D2773" s="644" t="s">
        <v>2261</v>
      </c>
      <c r="E2773" s="736">
        <v>3000</v>
      </c>
      <c r="F2773" s="737" t="s">
        <v>9466</v>
      </c>
      <c r="G2773" s="636" t="s">
        <v>9467</v>
      </c>
      <c r="H2773" s="636" t="s">
        <v>3522</v>
      </c>
      <c r="I2773" s="636" t="s">
        <v>2346</v>
      </c>
      <c r="J2773" s="644" t="s">
        <v>642</v>
      </c>
      <c r="K2773" s="753">
        <v>1</v>
      </c>
      <c r="L2773" s="754">
        <v>1</v>
      </c>
      <c r="M2773" s="736">
        <v>4960.8</v>
      </c>
      <c r="N2773" s="744"/>
      <c r="O2773" s="739"/>
      <c r="P2773" s="739"/>
      <c r="Q2773" s="214"/>
    </row>
    <row r="2774" spans="1:17" ht="12" customHeight="1" x14ac:dyDescent="0.2">
      <c r="A2774" s="735" t="s">
        <v>7733</v>
      </c>
      <c r="B2774" s="735" t="s">
        <v>2170</v>
      </c>
      <c r="C2774" s="735" t="s">
        <v>451</v>
      </c>
      <c r="D2774" s="644" t="s">
        <v>9468</v>
      </c>
      <c r="E2774" s="736">
        <v>2300</v>
      </c>
      <c r="F2774" s="737" t="s">
        <v>9469</v>
      </c>
      <c r="G2774" s="636" t="s">
        <v>9470</v>
      </c>
      <c r="H2774" s="636" t="s">
        <v>7782</v>
      </c>
      <c r="I2774" s="636" t="s">
        <v>7874</v>
      </c>
      <c r="J2774" s="644" t="s">
        <v>642</v>
      </c>
      <c r="K2774" s="753">
        <v>9</v>
      </c>
      <c r="L2774" s="754">
        <v>12</v>
      </c>
      <c r="M2774" s="736">
        <v>29560.799999999999</v>
      </c>
      <c r="N2774" s="744"/>
      <c r="O2774" s="739"/>
      <c r="P2774" s="739"/>
      <c r="Q2774" s="214"/>
    </row>
    <row r="2775" spans="1:17" ht="12" customHeight="1" x14ac:dyDescent="0.2">
      <c r="A2775" s="735" t="s">
        <v>7733</v>
      </c>
      <c r="B2775" s="735" t="s">
        <v>2170</v>
      </c>
      <c r="C2775" s="735" t="s">
        <v>451</v>
      </c>
      <c r="D2775" s="644" t="s">
        <v>7755</v>
      </c>
      <c r="E2775" s="736">
        <v>2500</v>
      </c>
      <c r="F2775" s="737" t="s">
        <v>9471</v>
      </c>
      <c r="G2775" s="636" t="s">
        <v>9472</v>
      </c>
      <c r="H2775" s="636" t="s">
        <v>8969</v>
      </c>
      <c r="I2775" s="636" t="s">
        <v>8969</v>
      </c>
      <c r="J2775" s="644" t="s">
        <v>643</v>
      </c>
      <c r="K2775" s="753">
        <v>12</v>
      </c>
      <c r="L2775" s="754">
        <v>12</v>
      </c>
      <c r="M2775" s="736">
        <v>31960.799999999999</v>
      </c>
      <c r="N2775" s="744"/>
      <c r="O2775" s="739"/>
      <c r="P2775" s="739"/>
      <c r="Q2775" s="214"/>
    </row>
    <row r="2776" spans="1:17" ht="12" customHeight="1" x14ac:dyDescent="0.2">
      <c r="A2776" s="735" t="s">
        <v>7733</v>
      </c>
      <c r="B2776" s="735" t="s">
        <v>2170</v>
      </c>
      <c r="C2776" s="735" t="s">
        <v>451</v>
      </c>
      <c r="D2776" s="644" t="s">
        <v>8288</v>
      </c>
      <c r="E2776" s="736">
        <v>2800</v>
      </c>
      <c r="F2776" s="737" t="s">
        <v>9473</v>
      </c>
      <c r="G2776" s="636" t="s">
        <v>9474</v>
      </c>
      <c r="H2776" s="636" t="s">
        <v>9475</v>
      </c>
      <c r="I2776" s="636" t="s">
        <v>9475</v>
      </c>
      <c r="J2776" s="644" t="s">
        <v>643</v>
      </c>
      <c r="K2776" s="753">
        <v>5</v>
      </c>
      <c r="L2776" s="754">
        <v>12</v>
      </c>
      <c r="M2776" s="736">
        <v>35560.800000000003</v>
      </c>
      <c r="N2776" s="744"/>
      <c r="O2776" s="739"/>
      <c r="P2776" s="739"/>
      <c r="Q2776" s="214"/>
    </row>
    <row r="2777" spans="1:17" ht="12" customHeight="1" x14ac:dyDescent="0.2">
      <c r="A2777" s="735" t="s">
        <v>7733</v>
      </c>
      <c r="B2777" s="735" t="s">
        <v>2170</v>
      </c>
      <c r="C2777" s="735" t="s">
        <v>451</v>
      </c>
      <c r="D2777" s="644" t="s">
        <v>8301</v>
      </c>
      <c r="E2777" s="736">
        <v>1600</v>
      </c>
      <c r="F2777" s="737" t="s">
        <v>9476</v>
      </c>
      <c r="G2777" s="636" t="s">
        <v>9477</v>
      </c>
      <c r="H2777" s="636" t="s">
        <v>7752</v>
      </c>
      <c r="I2777" s="636" t="s">
        <v>2179</v>
      </c>
      <c r="J2777" s="644" t="s">
        <v>643</v>
      </c>
      <c r="K2777" s="753">
        <v>12</v>
      </c>
      <c r="L2777" s="754">
        <v>12</v>
      </c>
      <c r="M2777" s="736">
        <v>21528</v>
      </c>
      <c r="N2777" s="744"/>
      <c r="O2777" s="739"/>
      <c r="P2777" s="739"/>
      <c r="Q2777" s="214"/>
    </row>
    <row r="2778" spans="1:17" ht="12" customHeight="1" x14ac:dyDescent="0.2">
      <c r="A2778" s="735" t="s">
        <v>7733</v>
      </c>
      <c r="B2778" s="735" t="s">
        <v>2170</v>
      </c>
      <c r="C2778" s="735" t="s">
        <v>451</v>
      </c>
      <c r="D2778" s="644" t="s">
        <v>8759</v>
      </c>
      <c r="E2778" s="736">
        <v>2801</v>
      </c>
      <c r="F2778" s="737" t="s">
        <v>9478</v>
      </c>
      <c r="G2778" s="636" t="s">
        <v>9479</v>
      </c>
      <c r="H2778" s="636" t="s">
        <v>8096</v>
      </c>
      <c r="I2778" s="636" t="s">
        <v>8741</v>
      </c>
      <c r="J2778" s="644" t="s">
        <v>643</v>
      </c>
      <c r="K2778" s="753">
        <v>5</v>
      </c>
      <c r="L2778" s="754">
        <v>12</v>
      </c>
      <c r="M2778" s="736">
        <v>35572.800000000003</v>
      </c>
      <c r="N2778" s="744"/>
      <c r="O2778" s="739"/>
      <c r="P2778" s="739"/>
      <c r="Q2778" s="214"/>
    </row>
    <row r="2779" spans="1:17" ht="12" customHeight="1" x14ac:dyDescent="0.2">
      <c r="A2779" s="735" t="s">
        <v>7733</v>
      </c>
      <c r="B2779" s="735" t="s">
        <v>2170</v>
      </c>
      <c r="C2779" s="735" t="s">
        <v>451</v>
      </c>
      <c r="D2779" s="644" t="s">
        <v>2179</v>
      </c>
      <c r="E2779" s="736">
        <v>3000</v>
      </c>
      <c r="F2779" s="737" t="s">
        <v>9480</v>
      </c>
      <c r="G2779" s="636" t="s">
        <v>9481</v>
      </c>
      <c r="H2779" s="636" t="s">
        <v>6571</v>
      </c>
      <c r="I2779" s="636" t="s">
        <v>2569</v>
      </c>
      <c r="J2779" s="644" t="s">
        <v>642</v>
      </c>
      <c r="K2779" s="753">
        <v>12</v>
      </c>
      <c r="L2779" s="754">
        <v>12</v>
      </c>
      <c r="M2779" s="736">
        <v>37960.800000000003</v>
      </c>
      <c r="N2779" s="744"/>
      <c r="O2779" s="739"/>
      <c r="P2779" s="739"/>
      <c r="Q2779" s="214"/>
    </row>
    <row r="2780" spans="1:17" ht="12" customHeight="1" x14ac:dyDescent="0.2">
      <c r="A2780" s="735" t="s">
        <v>7733</v>
      </c>
      <c r="B2780" s="735" t="s">
        <v>2170</v>
      </c>
      <c r="C2780" s="735" t="s">
        <v>451</v>
      </c>
      <c r="D2780" s="644" t="s">
        <v>8998</v>
      </c>
      <c r="E2780" s="736">
        <v>4500</v>
      </c>
      <c r="F2780" s="737" t="s">
        <v>9482</v>
      </c>
      <c r="G2780" s="636" t="s">
        <v>9483</v>
      </c>
      <c r="H2780" s="636" t="s">
        <v>7752</v>
      </c>
      <c r="I2780" s="636" t="s">
        <v>2179</v>
      </c>
      <c r="J2780" s="644" t="s">
        <v>642</v>
      </c>
      <c r="K2780" s="753">
        <v>5</v>
      </c>
      <c r="L2780" s="754">
        <v>12</v>
      </c>
      <c r="M2780" s="736">
        <v>55960.800000000003</v>
      </c>
      <c r="N2780" s="744"/>
      <c r="O2780" s="739"/>
      <c r="P2780" s="739"/>
      <c r="Q2780" s="214"/>
    </row>
    <row r="2781" spans="1:17" ht="12" customHeight="1" x14ac:dyDescent="0.2">
      <c r="A2781" s="735" t="s">
        <v>7733</v>
      </c>
      <c r="B2781" s="735" t="s">
        <v>2170</v>
      </c>
      <c r="C2781" s="735" t="s">
        <v>451</v>
      </c>
      <c r="D2781" s="644" t="s">
        <v>8425</v>
      </c>
      <c r="E2781" s="736">
        <v>4000</v>
      </c>
      <c r="F2781" s="737" t="s">
        <v>9484</v>
      </c>
      <c r="G2781" s="636" t="s">
        <v>9485</v>
      </c>
      <c r="H2781" s="636" t="s">
        <v>7752</v>
      </c>
      <c r="I2781" s="636" t="s">
        <v>2179</v>
      </c>
      <c r="J2781" s="644" t="s">
        <v>642</v>
      </c>
      <c r="K2781" s="753">
        <v>1</v>
      </c>
      <c r="L2781" s="754">
        <v>12</v>
      </c>
      <c r="M2781" s="736">
        <v>49960.800000000003</v>
      </c>
      <c r="N2781" s="744"/>
      <c r="O2781" s="739"/>
      <c r="P2781" s="739"/>
      <c r="Q2781" s="214"/>
    </row>
    <row r="2782" spans="1:17" ht="12" customHeight="1" x14ac:dyDescent="0.2">
      <c r="A2782" s="735" t="s">
        <v>7733</v>
      </c>
      <c r="B2782" s="735" t="s">
        <v>2170</v>
      </c>
      <c r="C2782" s="735" t="s">
        <v>451</v>
      </c>
      <c r="D2782" s="644" t="s">
        <v>2737</v>
      </c>
      <c r="E2782" s="736">
        <v>2000</v>
      </c>
      <c r="F2782" s="737" t="s">
        <v>9486</v>
      </c>
      <c r="G2782" s="636" t="s">
        <v>9487</v>
      </c>
      <c r="H2782" s="636" t="s">
        <v>3522</v>
      </c>
      <c r="I2782" s="636" t="s">
        <v>2346</v>
      </c>
      <c r="J2782" s="644" t="s">
        <v>643</v>
      </c>
      <c r="K2782" s="753">
        <v>3</v>
      </c>
      <c r="L2782" s="754">
        <v>9</v>
      </c>
      <c r="M2782" s="736">
        <v>19960.8</v>
      </c>
      <c r="N2782" s="744"/>
      <c r="O2782" s="739"/>
      <c r="P2782" s="739"/>
      <c r="Q2782" s="214"/>
    </row>
    <row r="2783" spans="1:17" ht="12" customHeight="1" x14ac:dyDescent="0.2">
      <c r="A2783" s="735" t="s">
        <v>7733</v>
      </c>
      <c r="B2783" s="735" t="s">
        <v>2170</v>
      </c>
      <c r="C2783" s="735" t="s">
        <v>451</v>
      </c>
      <c r="D2783" s="644" t="s">
        <v>8820</v>
      </c>
      <c r="E2783" s="736">
        <v>3000</v>
      </c>
      <c r="F2783" s="737" t="s">
        <v>9488</v>
      </c>
      <c r="G2783" s="636" t="s">
        <v>9489</v>
      </c>
      <c r="H2783" s="636" t="s">
        <v>9490</v>
      </c>
      <c r="I2783" s="636" t="s">
        <v>9490</v>
      </c>
      <c r="J2783" s="644" t="s">
        <v>643</v>
      </c>
      <c r="K2783" s="753">
        <v>6</v>
      </c>
      <c r="L2783" s="754">
        <v>12</v>
      </c>
      <c r="M2783" s="736">
        <v>37960.800000000003</v>
      </c>
      <c r="N2783" s="744"/>
      <c r="O2783" s="739"/>
      <c r="P2783" s="739"/>
      <c r="Q2783" s="214"/>
    </row>
    <row r="2784" spans="1:17" ht="12" customHeight="1" x14ac:dyDescent="0.2">
      <c r="A2784" s="735" t="s">
        <v>7733</v>
      </c>
      <c r="B2784" s="735" t="s">
        <v>2170</v>
      </c>
      <c r="C2784" s="735" t="s">
        <v>451</v>
      </c>
      <c r="D2784" s="644" t="s">
        <v>9491</v>
      </c>
      <c r="E2784" s="736">
        <v>7000</v>
      </c>
      <c r="F2784" s="737" t="s">
        <v>9492</v>
      </c>
      <c r="G2784" s="636" t="s">
        <v>9493</v>
      </c>
      <c r="H2784" s="636" t="s">
        <v>7752</v>
      </c>
      <c r="I2784" s="636" t="s">
        <v>2179</v>
      </c>
      <c r="J2784" s="644" t="s">
        <v>642</v>
      </c>
      <c r="K2784" s="753">
        <v>5</v>
      </c>
      <c r="L2784" s="754">
        <v>12</v>
      </c>
      <c r="M2784" s="736">
        <v>85960.8</v>
      </c>
      <c r="N2784" s="744"/>
      <c r="O2784" s="739"/>
      <c r="P2784" s="739"/>
      <c r="Q2784" s="214"/>
    </row>
    <row r="2785" spans="1:17" ht="12" customHeight="1" x14ac:dyDescent="0.2">
      <c r="A2785" s="735" t="s">
        <v>7733</v>
      </c>
      <c r="B2785" s="735" t="s">
        <v>2170</v>
      </c>
      <c r="C2785" s="735" t="s">
        <v>451</v>
      </c>
      <c r="D2785" s="644" t="s">
        <v>9494</v>
      </c>
      <c r="E2785" s="736">
        <v>1800</v>
      </c>
      <c r="F2785" s="737" t="s">
        <v>9495</v>
      </c>
      <c r="G2785" s="636" t="s">
        <v>9496</v>
      </c>
      <c r="H2785" s="636" t="s">
        <v>9497</v>
      </c>
      <c r="I2785" s="636" t="s">
        <v>8536</v>
      </c>
      <c r="J2785" s="644" t="s">
        <v>643</v>
      </c>
      <c r="K2785" s="753">
        <v>12</v>
      </c>
      <c r="L2785" s="754">
        <v>12</v>
      </c>
      <c r="M2785" s="736">
        <v>24144</v>
      </c>
      <c r="N2785" s="744"/>
      <c r="O2785" s="739"/>
      <c r="P2785" s="739"/>
      <c r="Q2785" s="214"/>
    </row>
    <row r="2786" spans="1:17" ht="12" customHeight="1" x14ac:dyDescent="0.2">
      <c r="A2786" s="735" t="s">
        <v>7733</v>
      </c>
      <c r="B2786" s="735" t="s">
        <v>2170</v>
      </c>
      <c r="C2786" s="735" t="s">
        <v>451</v>
      </c>
      <c r="D2786" s="644" t="s">
        <v>8268</v>
      </c>
      <c r="E2786" s="736">
        <v>2200</v>
      </c>
      <c r="F2786" s="737" t="s">
        <v>9498</v>
      </c>
      <c r="G2786" s="636" t="s">
        <v>9499</v>
      </c>
      <c r="H2786" s="636"/>
      <c r="I2786" s="636"/>
      <c r="J2786" s="644" t="s">
        <v>644</v>
      </c>
      <c r="K2786" s="753">
        <v>12</v>
      </c>
      <c r="L2786" s="754">
        <v>12</v>
      </c>
      <c r="M2786" s="736">
        <v>28360.799999999999</v>
      </c>
      <c r="N2786" s="744"/>
      <c r="O2786" s="739"/>
      <c r="P2786" s="739"/>
      <c r="Q2786" s="214"/>
    </row>
    <row r="2787" spans="1:17" ht="12" customHeight="1" x14ac:dyDescent="0.2">
      <c r="A2787" s="735" t="s">
        <v>7733</v>
      </c>
      <c r="B2787" s="735" t="s">
        <v>2170</v>
      </c>
      <c r="C2787" s="735" t="s">
        <v>451</v>
      </c>
      <c r="D2787" s="644" t="s">
        <v>8995</v>
      </c>
      <c r="E2787" s="736">
        <v>4000</v>
      </c>
      <c r="F2787" s="737" t="s">
        <v>9500</v>
      </c>
      <c r="G2787" s="636" t="s">
        <v>9501</v>
      </c>
      <c r="H2787" s="636"/>
      <c r="I2787" s="636"/>
      <c r="J2787" s="644" t="s">
        <v>642</v>
      </c>
      <c r="K2787" s="753">
        <v>12</v>
      </c>
      <c r="L2787" s="754">
        <v>12</v>
      </c>
      <c r="M2787" s="736">
        <v>49960.800000000003</v>
      </c>
      <c r="N2787" s="744"/>
      <c r="O2787" s="739"/>
      <c r="P2787" s="739"/>
      <c r="Q2787" s="214"/>
    </row>
    <row r="2788" spans="1:17" ht="12" customHeight="1" x14ac:dyDescent="0.2">
      <c r="A2788" s="735" t="s">
        <v>7733</v>
      </c>
      <c r="B2788" s="735" t="s">
        <v>2170</v>
      </c>
      <c r="C2788" s="735" t="s">
        <v>451</v>
      </c>
      <c r="D2788" s="644" t="s">
        <v>8041</v>
      </c>
      <c r="E2788" s="736">
        <v>2000</v>
      </c>
      <c r="F2788" s="737" t="s">
        <v>9502</v>
      </c>
      <c r="G2788" s="636" t="s">
        <v>9503</v>
      </c>
      <c r="H2788" s="636" t="s">
        <v>8143</v>
      </c>
      <c r="I2788" s="636" t="s">
        <v>2504</v>
      </c>
      <c r="J2788" s="644" t="s">
        <v>644</v>
      </c>
      <c r="K2788" s="753">
        <v>12</v>
      </c>
      <c r="L2788" s="754">
        <v>12</v>
      </c>
      <c r="M2788" s="736">
        <v>25960.799999999999</v>
      </c>
      <c r="N2788" s="744"/>
      <c r="O2788" s="739"/>
      <c r="P2788" s="739"/>
      <c r="Q2788" s="214"/>
    </row>
    <row r="2789" spans="1:17" ht="12" customHeight="1" x14ac:dyDescent="0.2">
      <c r="A2789" s="735" t="s">
        <v>7733</v>
      </c>
      <c r="B2789" s="735" t="s">
        <v>2170</v>
      </c>
      <c r="C2789" s="735" t="s">
        <v>451</v>
      </c>
      <c r="D2789" s="644" t="s">
        <v>7901</v>
      </c>
      <c r="E2789" s="736">
        <v>2500</v>
      </c>
      <c r="F2789" s="737" t="s">
        <v>9504</v>
      </c>
      <c r="G2789" s="636" t="s">
        <v>9505</v>
      </c>
      <c r="H2789" s="636"/>
      <c r="I2789" s="636"/>
      <c r="J2789" s="644" t="s">
        <v>644</v>
      </c>
      <c r="K2789" s="753">
        <v>10</v>
      </c>
      <c r="L2789" s="754">
        <v>10</v>
      </c>
      <c r="M2789" s="736">
        <v>26960.799999999999</v>
      </c>
      <c r="N2789" s="744"/>
      <c r="O2789" s="739"/>
      <c r="P2789" s="739"/>
      <c r="Q2789" s="214"/>
    </row>
    <row r="2790" spans="1:17" ht="12" customHeight="1" x14ac:dyDescent="0.2">
      <c r="A2790" s="735" t="s">
        <v>7733</v>
      </c>
      <c r="B2790" s="735" t="s">
        <v>2170</v>
      </c>
      <c r="C2790" s="735" t="s">
        <v>451</v>
      </c>
      <c r="D2790" s="644" t="s">
        <v>9506</v>
      </c>
      <c r="E2790" s="736">
        <v>3500</v>
      </c>
      <c r="F2790" s="737" t="s">
        <v>9507</v>
      </c>
      <c r="G2790" s="636" t="s">
        <v>9508</v>
      </c>
      <c r="H2790" s="636" t="s">
        <v>8000</v>
      </c>
      <c r="I2790" s="636" t="s">
        <v>2766</v>
      </c>
      <c r="J2790" s="644" t="s">
        <v>642</v>
      </c>
      <c r="K2790" s="753">
        <v>5</v>
      </c>
      <c r="L2790" s="754">
        <v>12</v>
      </c>
      <c r="M2790" s="736">
        <v>43960.800000000003</v>
      </c>
      <c r="N2790" s="744"/>
      <c r="O2790" s="739"/>
      <c r="P2790" s="739"/>
      <c r="Q2790" s="214"/>
    </row>
    <row r="2791" spans="1:17" ht="12" customHeight="1" x14ac:dyDescent="0.2">
      <c r="A2791" s="735" t="s">
        <v>7733</v>
      </c>
      <c r="B2791" s="735" t="s">
        <v>2170</v>
      </c>
      <c r="C2791" s="735" t="s">
        <v>451</v>
      </c>
      <c r="D2791" s="644" t="s">
        <v>8367</v>
      </c>
      <c r="E2791" s="736">
        <v>2300</v>
      </c>
      <c r="F2791" s="737" t="s">
        <v>9509</v>
      </c>
      <c r="G2791" s="636" t="s">
        <v>9510</v>
      </c>
      <c r="H2791" s="636" t="s">
        <v>7752</v>
      </c>
      <c r="I2791" s="636" t="s">
        <v>2569</v>
      </c>
      <c r="J2791" s="644" t="s">
        <v>643</v>
      </c>
      <c r="K2791" s="753">
        <v>5</v>
      </c>
      <c r="L2791" s="754">
        <v>12</v>
      </c>
      <c r="M2791" s="736">
        <v>29560.799999999999</v>
      </c>
      <c r="N2791" s="744"/>
      <c r="O2791" s="739"/>
      <c r="P2791" s="739"/>
      <c r="Q2791" s="214"/>
    </row>
    <row r="2792" spans="1:17" ht="12" customHeight="1" x14ac:dyDescent="0.2">
      <c r="A2792" s="735" t="s">
        <v>7733</v>
      </c>
      <c r="B2792" s="735" t="s">
        <v>2170</v>
      </c>
      <c r="C2792" s="735" t="s">
        <v>451</v>
      </c>
      <c r="D2792" s="644" t="s">
        <v>7831</v>
      </c>
      <c r="E2792" s="736">
        <v>1400</v>
      </c>
      <c r="F2792" s="737" t="s">
        <v>9511</v>
      </c>
      <c r="G2792" s="636" t="s">
        <v>9512</v>
      </c>
      <c r="H2792" s="636" t="s">
        <v>9513</v>
      </c>
      <c r="I2792" s="636" t="s">
        <v>9513</v>
      </c>
      <c r="J2792" s="644" t="s">
        <v>643</v>
      </c>
      <c r="K2792" s="753">
        <v>12</v>
      </c>
      <c r="L2792" s="754">
        <v>12</v>
      </c>
      <c r="M2792" s="736">
        <v>18912</v>
      </c>
      <c r="N2792" s="744"/>
      <c r="O2792" s="739"/>
      <c r="P2792" s="739"/>
      <c r="Q2792" s="214"/>
    </row>
    <row r="2793" spans="1:17" ht="12" customHeight="1" x14ac:dyDescent="0.2">
      <c r="A2793" s="735" t="s">
        <v>7733</v>
      </c>
      <c r="B2793" s="735" t="s">
        <v>2170</v>
      </c>
      <c r="C2793" s="735" t="s">
        <v>451</v>
      </c>
      <c r="D2793" s="644" t="s">
        <v>8041</v>
      </c>
      <c r="E2793" s="736">
        <v>2000</v>
      </c>
      <c r="F2793" s="737" t="s">
        <v>9514</v>
      </c>
      <c r="G2793" s="636" t="s">
        <v>9515</v>
      </c>
      <c r="H2793" s="636"/>
      <c r="I2793" s="636"/>
      <c r="J2793" s="644" t="s">
        <v>644</v>
      </c>
      <c r="K2793" s="753">
        <v>11</v>
      </c>
      <c r="L2793" s="754">
        <v>11</v>
      </c>
      <c r="M2793" s="736">
        <v>23960.799999999999</v>
      </c>
      <c r="N2793" s="744"/>
      <c r="O2793" s="739"/>
      <c r="P2793" s="739"/>
      <c r="Q2793" s="214"/>
    </row>
    <row r="2794" spans="1:17" ht="12" customHeight="1" x14ac:dyDescent="0.2">
      <c r="A2794" s="735" t="s">
        <v>7733</v>
      </c>
      <c r="B2794" s="735" t="s">
        <v>2170</v>
      </c>
      <c r="C2794" s="735" t="s">
        <v>451</v>
      </c>
      <c r="D2794" s="644" t="s">
        <v>2190</v>
      </c>
      <c r="E2794" s="736">
        <v>1800</v>
      </c>
      <c r="F2794" s="737" t="s">
        <v>9516</v>
      </c>
      <c r="G2794" s="636" t="s">
        <v>9517</v>
      </c>
      <c r="H2794" s="636"/>
      <c r="I2794" s="636"/>
      <c r="J2794" s="644" t="s">
        <v>644</v>
      </c>
      <c r="K2794" s="753">
        <v>5</v>
      </c>
      <c r="L2794" s="754">
        <v>12</v>
      </c>
      <c r="M2794" s="736">
        <v>24144</v>
      </c>
      <c r="N2794" s="744"/>
      <c r="O2794" s="739"/>
      <c r="P2794" s="739"/>
      <c r="Q2794" s="214"/>
    </row>
    <row r="2795" spans="1:17" ht="12" customHeight="1" x14ac:dyDescent="0.2">
      <c r="A2795" s="735" t="s">
        <v>7733</v>
      </c>
      <c r="B2795" s="735" t="s">
        <v>2170</v>
      </c>
      <c r="C2795" s="735" t="s">
        <v>451</v>
      </c>
      <c r="D2795" s="644" t="s">
        <v>7858</v>
      </c>
      <c r="E2795" s="736">
        <v>3000</v>
      </c>
      <c r="F2795" s="737" t="s">
        <v>9518</v>
      </c>
      <c r="G2795" s="636" t="s">
        <v>9519</v>
      </c>
      <c r="H2795" s="636" t="s">
        <v>7858</v>
      </c>
      <c r="I2795" s="636" t="s">
        <v>7859</v>
      </c>
      <c r="J2795" s="644" t="s">
        <v>644</v>
      </c>
      <c r="K2795" s="753">
        <v>12</v>
      </c>
      <c r="L2795" s="754">
        <v>12</v>
      </c>
      <c r="M2795" s="736">
        <v>37960.800000000003</v>
      </c>
      <c r="N2795" s="744"/>
      <c r="O2795" s="739"/>
      <c r="P2795" s="739"/>
      <c r="Q2795" s="214"/>
    </row>
    <row r="2796" spans="1:17" ht="12" customHeight="1" x14ac:dyDescent="0.2">
      <c r="A2796" s="735" t="s">
        <v>7733</v>
      </c>
      <c r="B2796" s="735" t="s">
        <v>2170</v>
      </c>
      <c r="C2796" s="735" t="s">
        <v>451</v>
      </c>
      <c r="D2796" s="644" t="s">
        <v>9520</v>
      </c>
      <c r="E2796" s="736">
        <v>4000</v>
      </c>
      <c r="F2796" s="737" t="s">
        <v>9521</v>
      </c>
      <c r="G2796" s="636" t="s">
        <v>9522</v>
      </c>
      <c r="H2796" s="636" t="s">
        <v>9523</v>
      </c>
      <c r="I2796" s="636" t="s">
        <v>3760</v>
      </c>
      <c r="J2796" s="644" t="s">
        <v>643</v>
      </c>
      <c r="K2796" s="753">
        <v>6</v>
      </c>
      <c r="L2796" s="754">
        <v>12</v>
      </c>
      <c r="M2796" s="736">
        <v>49960.800000000003</v>
      </c>
      <c r="N2796" s="744"/>
      <c r="O2796" s="739"/>
      <c r="P2796" s="739"/>
      <c r="Q2796" s="214"/>
    </row>
    <row r="2797" spans="1:17" ht="12" customHeight="1" x14ac:dyDescent="0.2">
      <c r="A2797" s="735" t="s">
        <v>7733</v>
      </c>
      <c r="B2797" s="735" t="s">
        <v>2170</v>
      </c>
      <c r="C2797" s="735" t="s">
        <v>451</v>
      </c>
      <c r="D2797" s="644" t="s">
        <v>8268</v>
      </c>
      <c r="E2797" s="736">
        <v>2200</v>
      </c>
      <c r="F2797" s="737" t="s">
        <v>9524</v>
      </c>
      <c r="G2797" s="636" t="s">
        <v>9525</v>
      </c>
      <c r="H2797" s="636" t="s">
        <v>7858</v>
      </c>
      <c r="I2797" s="636" t="s">
        <v>7858</v>
      </c>
      <c r="J2797" s="644" t="s">
        <v>644</v>
      </c>
      <c r="K2797" s="753">
        <v>12</v>
      </c>
      <c r="L2797" s="754">
        <v>12</v>
      </c>
      <c r="M2797" s="736">
        <v>28360.799999999999</v>
      </c>
      <c r="N2797" s="744"/>
      <c r="O2797" s="739"/>
      <c r="P2797" s="739"/>
      <c r="Q2797" s="214"/>
    </row>
    <row r="2798" spans="1:17" ht="12" customHeight="1" x14ac:dyDescent="0.2">
      <c r="A2798" s="735" t="s">
        <v>7733</v>
      </c>
      <c r="B2798" s="735" t="s">
        <v>2170</v>
      </c>
      <c r="C2798" s="735" t="s">
        <v>451</v>
      </c>
      <c r="D2798" s="644" t="s">
        <v>9526</v>
      </c>
      <c r="E2798" s="736">
        <v>6000</v>
      </c>
      <c r="F2798" s="737" t="s">
        <v>9527</v>
      </c>
      <c r="G2798" s="636" t="s">
        <v>9528</v>
      </c>
      <c r="H2798" s="636"/>
      <c r="I2798" s="636"/>
      <c r="J2798" s="644" t="s">
        <v>642</v>
      </c>
      <c r="K2798" s="753">
        <v>9</v>
      </c>
      <c r="L2798" s="754">
        <v>12</v>
      </c>
      <c r="M2798" s="736">
        <v>73960.800000000003</v>
      </c>
      <c r="N2798" s="744"/>
      <c r="O2798" s="739"/>
      <c r="P2798" s="739"/>
      <c r="Q2798" s="214"/>
    </row>
    <row r="2799" spans="1:17" ht="12" customHeight="1" x14ac:dyDescent="0.2">
      <c r="A2799" s="735" t="s">
        <v>7733</v>
      </c>
      <c r="B2799" s="735" t="s">
        <v>2170</v>
      </c>
      <c r="C2799" s="735" t="s">
        <v>451</v>
      </c>
      <c r="D2799" s="644" t="s">
        <v>7921</v>
      </c>
      <c r="E2799" s="736">
        <v>4000</v>
      </c>
      <c r="F2799" s="737" t="s">
        <v>9529</v>
      </c>
      <c r="G2799" s="636" t="s">
        <v>9530</v>
      </c>
      <c r="H2799" s="636" t="s">
        <v>9531</v>
      </c>
      <c r="I2799" s="636" t="s">
        <v>7835</v>
      </c>
      <c r="J2799" s="644" t="s">
        <v>642</v>
      </c>
      <c r="K2799" s="753">
        <v>11</v>
      </c>
      <c r="L2799" s="754">
        <v>11</v>
      </c>
      <c r="M2799" s="736">
        <v>45960.800000000003</v>
      </c>
      <c r="N2799" s="744"/>
      <c r="O2799" s="739"/>
      <c r="P2799" s="739"/>
      <c r="Q2799" s="214"/>
    </row>
    <row r="2800" spans="1:17" ht="12" customHeight="1" x14ac:dyDescent="0.2">
      <c r="A2800" s="735" t="s">
        <v>7733</v>
      </c>
      <c r="B2800" s="735" t="s">
        <v>2170</v>
      </c>
      <c r="C2800" s="735" t="s">
        <v>451</v>
      </c>
      <c r="D2800" s="644" t="s">
        <v>8701</v>
      </c>
      <c r="E2800" s="736">
        <v>3500</v>
      </c>
      <c r="F2800" s="737" t="s">
        <v>9532</v>
      </c>
      <c r="G2800" s="636" t="s">
        <v>9533</v>
      </c>
      <c r="H2800" s="636"/>
      <c r="I2800" s="636"/>
      <c r="J2800" s="644" t="s">
        <v>642</v>
      </c>
      <c r="K2800" s="753">
        <v>6</v>
      </c>
      <c r="L2800" s="754">
        <v>12</v>
      </c>
      <c r="M2800" s="736">
        <v>43960.800000000003</v>
      </c>
      <c r="N2800" s="744"/>
      <c r="O2800" s="739"/>
      <c r="P2800" s="739"/>
      <c r="Q2800" s="214"/>
    </row>
    <row r="2801" spans="1:17" ht="12" customHeight="1" x14ac:dyDescent="0.2">
      <c r="A2801" s="735" t="s">
        <v>7733</v>
      </c>
      <c r="B2801" s="735" t="s">
        <v>2170</v>
      </c>
      <c r="C2801" s="735" t="s">
        <v>451</v>
      </c>
      <c r="D2801" s="644" t="s">
        <v>7901</v>
      </c>
      <c r="E2801" s="736">
        <v>2500</v>
      </c>
      <c r="F2801" s="737" t="s">
        <v>9534</v>
      </c>
      <c r="G2801" s="636" t="s">
        <v>9535</v>
      </c>
      <c r="H2801" s="636" t="s">
        <v>8089</v>
      </c>
      <c r="I2801" s="636" t="s">
        <v>9536</v>
      </c>
      <c r="J2801" s="644" t="s">
        <v>643</v>
      </c>
      <c r="K2801" s="753">
        <v>12</v>
      </c>
      <c r="L2801" s="754">
        <v>12</v>
      </c>
      <c r="M2801" s="736">
        <v>31960.799999999999</v>
      </c>
      <c r="N2801" s="744"/>
      <c r="O2801" s="739"/>
      <c r="P2801" s="739"/>
      <c r="Q2801" s="214"/>
    </row>
    <row r="2802" spans="1:17" ht="12" customHeight="1" x14ac:dyDescent="0.2">
      <c r="A2802" s="735" t="s">
        <v>7733</v>
      </c>
      <c r="B2802" s="735" t="s">
        <v>2170</v>
      </c>
      <c r="C2802" s="735" t="s">
        <v>451</v>
      </c>
      <c r="D2802" s="644" t="s">
        <v>7746</v>
      </c>
      <c r="E2802" s="736">
        <v>1700</v>
      </c>
      <c r="F2802" s="737" t="s">
        <v>9537</v>
      </c>
      <c r="G2802" s="636" t="s">
        <v>9538</v>
      </c>
      <c r="H2802" s="636"/>
      <c r="I2802" s="636"/>
      <c r="J2802" s="644" t="s">
        <v>643</v>
      </c>
      <c r="K2802" s="753">
        <v>12</v>
      </c>
      <c r="L2802" s="754">
        <v>12</v>
      </c>
      <c r="M2802" s="736">
        <v>22836</v>
      </c>
      <c r="N2802" s="744"/>
      <c r="O2802" s="739"/>
      <c r="P2802" s="739"/>
      <c r="Q2802" s="214"/>
    </row>
    <row r="2803" spans="1:17" ht="12" customHeight="1" x14ac:dyDescent="0.2">
      <c r="A2803" s="735" t="s">
        <v>7733</v>
      </c>
      <c r="B2803" s="735" t="s">
        <v>2170</v>
      </c>
      <c r="C2803" s="735" t="s">
        <v>451</v>
      </c>
      <c r="D2803" s="644" t="s">
        <v>9338</v>
      </c>
      <c r="E2803" s="736">
        <v>1000</v>
      </c>
      <c r="F2803" s="737" t="s">
        <v>9539</v>
      </c>
      <c r="G2803" s="636" t="s">
        <v>9540</v>
      </c>
      <c r="H2803" s="636" t="s">
        <v>6613</v>
      </c>
      <c r="I2803" s="636" t="s">
        <v>2979</v>
      </c>
      <c r="J2803" s="644" t="s">
        <v>643</v>
      </c>
      <c r="K2803" s="753">
        <v>12</v>
      </c>
      <c r="L2803" s="754">
        <v>12</v>
      </c>
      <c r="M2803" s="736">
        <v>13680</v>
      </c>
      <c r="N2803" s="744"/>
      <c r="O2803" s="739"/>
      <c r="P2803" s="739"/>
      <c r="Q2803" s="214"/>
    </row>
    <row r="2804" spans="1:17" ht="12" customHeight="1" x14ac:dyDescent="0.2">
      <c r="A2804" s="735" t="s">
        <v>7733</v>
      </c>
      <c r="B2804" s="735" t="s">
        <v>2170</v>
      </c>
      <c r="C2804" s="735" t="s">
        <v>451</v>
      </c>
      <c r="D2804" s="644" t="s">
        <v>6668</v>
      </c>
      <c r="E2804" s="736">
        <v>3500</v>
      </c>
      <c r="F2804" s="737" t="s">
        <v>9541</v>
      </c>
      <c r="G2804" s="636" t="s">
        <v>9542</v>
      </c>
      <c r="H2804" s="636" t="s">
        <v>6633</v>
      </c>
      <c r="I2804" s="636" t="s">
        <v>8231</v>
      </c>
      <c r="J2804" s="644" t="s">
        <v>642</v>
      </c>
      <c r="K2804" s="753">
        <v>12</v>
      </c>
      <c r="L2804" s="754">
        <v>12</v>
      </c>
      <c r="M2804" s="736">
        <v>43960.800000000003</v>
      </c>
      <c r="N2804" s="744"/>
      <c r="O2804" s="739"/>
      <c r="P2804" s="739"/>
      <c r="Q2804" s="214"/>
    </row>
    <row r="2805" spans="1:17" ht="12" customHeight="1" x14ac:dyDescent="0.2">
      <c r="A2805" s="735" t="s">
        <v>7733</v>
      </c>
      <c r="B2805" s="735" t="s">
        <v>2170</v>
      </c>
      <c r="C2805" s="735" t="s">
        <v>451</v>
      </c>
      <c r="D2805" s="644" t="s">
        <v>9543</v>
      </c>
      <c r="E2805" s="736">
        <v>4000</v>
      </c>
      <c r="F2805" s="737" t="s">
        <v>9544</v>
      </c>
      <c r="G2805" s="636" t="s">
        <v>9545</v>
      </c>
      <c r="H2805" s="636" t="s">
        <v>7834</v>
      </c>
      <c r="I2805" s="636" t="s">
        <v>9546</v>
      </c>
      <c r="J2805" s="644" t="s">
        <v>642</v>
      </c>
      <c r="K2805" s="753">
        <v>6</v>
      </c>
      <c r="L2805" s="754">
        <v>9</v>
      </c>
      <c r="M2805" s="736">
        <v>37960.800000000003</v>
      </c>
      <c r="N2805" s="744"/>
      <c r="O2805" s="739"/>
      <c r="P2805" s="739"/>
      <c r="Q2805" s="214"/>
    </row>
    <row r="2806" spans="1:17" ht="12" customHeight="1" x14ac:dyDescent="0.2">
      <c r="A2806" s="735" t="s">
        <v>7733</v>
      </c>
      <c r="B2806" s="735" t="s">
        <v>2170</v>
      </c>
      <c r="C2806" s="735" t="s">
        <v>451</v>
      </c>
      <c r="D2806" s="644" t="s">
        <v>9399</v>
      </c>
      <c r="E2806" s="736">
        <v>2900</v>
      </c>
      <c r="F2806" s="737" t="s">
        <v>9547</v>
      </c>
      <c r="G2806" s="636" t="s">
        <v>9548</v>
      </c>
      <c r="H2806" s="636"/>
      <c r="I2806" s="636"/>
      <c r="J2806" s="644" t="s">
        <v>643</v>
      </c>
      <c r="K2806" s="753">
        <v>6</v>
      </c>
      <c r="L2806" s="754">
        <v>12</v>
      </c>
      <c r="M2806" s="736">
        <v>36760.800000000003</v>
      </c>
      <c r="N2806" s="744"/>
      <c r="O2806" s="739"/>
      <c r="P2806" s="739"/>
      <c r="Q2806" s="214"/>
    </row>
    <row r="2807" spans="1:17" ht="12" customHeight="1" x14ac:dyDescent="0.2">
      <c r="A2807" s="735" t="s">
        <v>7733</v>
      </c>
      <c r="B2807" s="735" t="s">
        <v>2170</v>
      </c>
      <c r="C2807" s="735" t="s">
        <v>451</v>
      </c>
      <c r="D2807" s="644" t="s">
        <v>7817</v>
      </c>
      <c r="E2807" s="736">
        <v>2500</v>
      </c>
      <c r="F2807" s="737" t="s">
        <v>9549</v>
      </c>
      <c r="G2807" s="636" t="s">
        <v>9550</v>
      </c>
      <c r="H2807" s="636" t="s">
        <v>8536</v>
      </c>
      <c r="I2807" s="636" t="s">
        <v>3057</v>
      </c>
      <c r="J2807" s="644" t="s">
        <v>643</v>
      </c>
      <c r="K2807" s="753">
        <v>12</v>
      </c>
      <c r="L2807" s="754">
        <v>12</v>
      </c>
      <c r="M2807" s="736">
        <v>31960.799999999999</v>
      </c>
      <c r="N2807" s="744"/>
      <c r="O2807" s="739"/>
      <c r="P2807" s="739"/>
      <c r="Q2807" s="214"/>
    </row>
    <row r="2808" spans="1:17" ht="12" customHeight="1" x14ac:dyDescent="0.2">
      <c r="A2808" s="735" t="s">
        <v>7733</v>
      </c>
      <c r="B2808" s="735" t="s">
        <v>2170</v>
      </c>
      <c r="C2808" s="735" t="s">
        <v>451</v>
      </c>
      <c r="D2808" s="644" t="s">
        <v>9551</v>
      </c>
      <c r="E2808" s="736">
        <v>5000</v>
      </c>
      <c r="F2808" s="737" t="s">
        <v>9552</v>
      </c>
      <c r="G2808" s="636" t="s">
        <v>9553</v>
      </c>
      <c r="H2808" s="636"/>
      <c r="I2808" s="636"/>
      <c r="J2808" s="644" t="s">
        <v>644</v>
      </c>
      <c r="K2808" s="753">
        <v>1</v>
      </c>
      <c r="L2808" s="754">
        <v>12</v>
      </c>
      <c r="M2808" s="736">
        <v>61960.800000000003</v>
      </c>
      <c r="N2808" s="744"/>
      <c r="O2808" s="739"/>
      <c r="P2808" s="739"/>
      <c r="Q2808" s="214"/>
    </row>
    <row r="2809" spans="1:17" ht="12" customHeight="1" x14ac:dyDescent="0.2">
      <c r="A2809" s="735" t="s">
        <v>7733</v>
      </c>
      <c r="B2809" s="735" t="s">
        <v>2170</v>
      </c>
      <c r="C2809" s="735" t="s">
        <v>451</v>
      </c>
      <c r="D2809" s="644" t="s">
        <v>9554</v>
      </c>
      <c r="E2809" s="736">
        <v>3500</v>
      </c>
      <c r="F2809" s="737" t="s">
        <v>9555</v>
      </c>
      <c r="G2809" s="636" t="s">
        <v>9556</v>
      </c>
      <c r="H2809" s="636" t="s">
        <v>9557</v>
      </c>
      <c r="I2809" s="636" t="s">
        <v>3760</v>
      </c>
      <c r="J2809" s="644" t="s">
        <v>643</v>
      </c>
      <c r="K2809" s="753">
        <v>7</v>
      </c>
      <c r="L2809" s="754">
        <v>12</v>
      </c>
      <c r="M2809" s="736">
        <v>43960.800000000003</v>
      </c>
      <c r="N2809" s="744"/>
      <c r="O2809" s="739"/>
      <c r="P2809" s="739"/>
      <c r="Q2809" s="214"/>
    </row>
    <row r="2810" spans="1:17" ht="12" customHeight="1" x14ac:dyDescent="0.2">
      <c r="A2810" s="735" t="s">
        <v>7733</v>
      </c>
      <c r="B2810" s="735" t="s">
        <v>2170</v>
      </c>
      <c r="C2810" s="735" t="s">
        <v>451</v>
      </c>
      <c r="D2810" s="644" t="s">
        <v>8704</v>
      </c>
      <c r="E2810" s="736">
        <v>2200</v>
      </c>
      <c r="F2810" s="737" t="s">
        <v>9558</v>
      </c>
      <c r="G2810" s="636" t="s">
        <v>9559</v>
      </c>
      <c r="H2810" s="636"/>
      <c r="I2810" s="636"/>
      <c r="J2810" s="644" t="s">
        <v>644</v>
      </c>
      <c r="K2810" s="753">
        <v>5</v>
      </c>
      <c r="L2810" s="754">
        <v>12</v>
      </c>
      <c r="M2810" s="736">
        <v>28360.799999999999</v>
      </c>
      <c r="N2810" s="744"/>
      <c r="O2810" s="739"/>
      <c r="P2810" s="739"/>
      <c r="Q2810" s="214"/>
    </row>
    <row r="2811" spans="1:17" ht="12" customHeight="1" x14ac:dyDescent="0.2">
      <c r="A2811" s="735" t="s">
        <v>7733</v>
      </c>
      <c r="B2811" s="735" t="s">
        <v>2170</v>
      </c>
      <c r="C2811" s="735" t="s">
        <v>451</v>
      </c>
      <c r="D2811" s="644" t="s">
        <v>8045</v>
      </c>
      <c r="E2811" s="736">
        <v>2200</v>
      </c>
      <c r="F2811" s="737" t="s">
        <v>9560</v>
      </c>
      <c r="G2811" s="636" t="s">
        <v>9561</v>
      </c>
      <c r="H2811" s="636" t="s">
        <v>8700</v>
      </c>
      <c r="I2811" s="636" t="s">
        <v>9536</v>
      </c>
      <c r="J2811" s="644" t="s">
        <v>643</v>
      </c>
      <c r="K2811" s="753">
        <v>12</v>
      </c>
      <c r="L2811" s="754">
        <v>12</v>
      </c>
      <c r="M2811" s="736">
        <v>28360.799999999999</v>
      </c>
      <c r="N2811" s="744"/>
      <c r="O2811" s="739"/>
      <c r="P2811" s="739"/>
      <c r="Q2811" s="214"/>
    </row>
    <row r="2812" spans="1:17" ht="12" customHeight="1" x14ac:dyDescent="0.2">
      <c r="A2812" s="735" t="s">
        <v>7733</v>
      </c>
      <c r="B2812" s="735" t="s">
        <v>2170</v>
      </c>
      <c r="C2812" s="735" t="s">
        <v>451</v>
      </c>
      <c r="D2812" s="644" t="s">
        <v>7817</v>
      </c>
      <c r="E2812" s="736">
        <v>2500</v>
      </c>
      <c r="F2812" s="737" t="s">
        <v>9562</v>
      </c>
      <c r="G2812" s="636" t="s">
        <v>9563</v>
      </c>
      <c r="H2812" s="636" t="s">
        <v>7752</v>
      </c>
      <c r="I2812" s="636" t="s">
        <v>3760</v>
      </c>
      <c r="J2812" s="644" t="s">
        <v>643</v>
      </c>
      <c r="K2812" s="753">
        <v>12</v>
      </c>
      <c r="L2812" s="754">
        <v>12</v>
      </c>
      <c r="M2812" s="736">
        <v>31960.799999999999</v>
      </c>
      <c r="N2812" s="744"/>
      <c r="O2812" s="739"/>
      <c r="P2812" s="739"/>
      <c r="Q2812" s="214"/>
    </row>
    <row r="2813" spans="1:17" ht="12" customHeight="1" x14ac:dyDescent="0.2">
      <c r="A2813" s="735" t="s">
        <v>7733</v>
      </c>
      <c r="B2813" s="735" t="s">
        <v>2170</v>
      </c>
      <c r="C2813" s="735" t="s">
        <v>451</v>
      </c>
      <c r="D2813" s="644" t="s">
        <v>2190</v>
      </c>
      <c r="E2813" s="736">
        <v>2200</v>
      </c>
      <c r="F2813" s="737" t="s">
        <v>9564</v>
      </c>
      <c r="G2813" s="636" t="s">
        <v>9565</v>
      </c>
      <c r="H2813" s="636"/>
      <c r="I2813" s="636"/>
      <c r="J2813" s="644" t="s">
        <v>644</v>
      </c>
      <c r="K2813" s="753">
        <v>12</v>
      </c>
      <c r="L2813" s="754">
        <v>12</v>
      </c>
      <c r="M2813" s="736">
        <v>28360.799999999999</v>
      </c>
      <c r="N2813" s="744"/>
      <c r="O2813" s="739"/>
      <c r="P2813" s="739"/>
      <c r="Q2813" s="214"/>
    </row>
    <row r="2814" spans="1:17" ht="12" customHeight="1" x14ac:dyDescent="0.2">
      <c r="A2814" s="735" t="s">
        <v>7733</v>
      </c>
      <c r="B2814" s="735" t="s">
        <v>2170</v>
      </c>
      <c r="C2814" s="735" t="s">
        <v>451</v>
      </c>
      <c r="D2814" s="644" t="s">
        <v>8268</v>
      </c>
      <c r="E2814" s="736">
        <v>2200</v>
      </c>
      <c r="F2814" s="737" t="s">
        <v>9566</v>
      </c>
      <c r="G2814" s="636" t="s">
        <v>9567</v>
      </c>
      <c r="H2814" s="636" t="s">
        <v>7916</v>
      </c>
      <c r="I2814" s="636" t="s">
        <v>7917</v>
      </c>
      <c r="J2814" s="644" t="s">
        <v>643</v>
      </c>
      <c r="K2814" s="753">
        <v>12</v>
      </c>
      <c r="L2814" s="754">
        <v>12</v>
      </c>
      <c r="M2814" s="736">
        <v>28360.799999999999</v>
      </c>
      <c r="N2814" s="744"/>
      <c r="O2814" s="739"/>
      <c r="P2814" s="739"/>
      <c r="Q2814" s="214"/>
    </row>
    <row r="2815" spans="1:17" ht="12" customHeight="1" x14ac:dyDescent="0.2">
      <c r="A2815" s="735" t="s">
        <v>7733</v>
      </c>
      <c r="B2815" s="735" t="s">
        <v>2170</v>
      </c>
      <c r="C2815" s="735" t="s">
        <v>451</v>
      </c>
      <c r="D2815" s="644" t="s">
        <v>5538</v>
      </c>
      <c r="E2815" s="736">
        <v>5000</v>
      </c>
      <c r="F2815" s="737" t="s">
        <v>9568</v>
      </c>
      <c r="G2815" s="636" t="s">
        <v>9569</v>
      </c>
      <c r="H2815" s="636"/>
      <c r="I2815" s="636"/>
      <c r="J2815" s="644" t="s">
        <v>642</v>
      </c>
      <c r="K2815" s="753">
        <v>1</v>
      </c>
      <c r="L2815" s="754">
        <v>1</v>
      </c>
      <c r="M2815" s="736">
        <v>6960.8</v>
      </c>
      <c r="N2815" s="744"/>
      <c r="O2815" s="739"/>
      <c r="P2815" s="739"/>
      <c r="Q2815" s="214"/>
    </row>
    <row r="2816" spans="1:17" ht="12" customHeight="1" x14ac:dyDescent="0.2">
      <c r="A2816" s="735" t="s">
        <v>7733</v>
      </c>
      <c r="B2816" s="735" t="s">
        <v>2170</v>
      </c>
      <c r="C2816" s="735" t="s">
        <v>451</v>
      </c>
      <c r="D2816" s="644" t="s">
        <v>8995</v>
      </c>
      <c r="E2816" s="736">
        <v>4000</v>
      </c>
      <c r="F2816" s="737" t="s">
        <v>9570</v>
      </c>
      <c r="G2816" s="636" t="s">
        <v>9571</v>
      </c>
      <c r="H2816" s="636" t="s">
        <v>7752</v>
      </c>
      <c r="I2816" s="636" t="s">
        <v>2179</v>
      </c>
      <c r="J2816" s="644" t="s">
        <v>642</v>
      </c>
      <c r="K2816" s="753">
        <v>12</v>
      </c>
      <c r="L2816" s="754">
        <v>12</v>
      </c>
      <c r="M2816" s="736">
        <v>49960.800000000003</v>
      </c>
      <c r="N2816" s="744"/>
      <c r="O2816" s="739"/>
      <c r="P2816" s="739"/>
      <c r="Q2816" s="214"/>
    </row>
    <row r="2817" spans="1:17" ht="12" customHeight="1" x14ac:dyDescent="0.2">
      <c r="A2817" s="735" t="s">
        <v>7733</v>
      </c>
      <c r="B2817" s="735" t="s">
        <v>2170</v>
      </c>
      <c r="C2817" s="735" t="s">
        <v>451</v>
      </c>
      <c r="D2817" s="644" t="s">
        <v>2261</v>
      </c>
      <c r="E2817" s="736">
        <v>3200</v>
      </c>
      <c r="F2817" s="737" t="s">
        <v>9572</v>
      </c>
      <c r="G2817" s="636" t="s">
        <v>9573</v>
      </c>
      <c r="H2817" s="636"/>
      <c r="I2817" s="636"/>
      <c r="J2817" s="644" t="s">
        <v>644</v>
      </c>
      <c r="K2817" s="753">
        <v>12</v>
      </c>
      <c r="L2817" s="754">
        <v>12</v>
      </c>
      <c r="M2817" s="736">
        <v>40360.800000000003</v>
      </c>
      <c r="N2817" s="744"/>
      <c r="O2817" s="739"/>
      <c r="P2817" s="739"/>
      <c r="Q2817" s="214"/>
    </row>
    <row r="2818" spans="1:17" ht="12" customHeight="1" x14ac:dyDescent="0.2">
      <c r="A2818" s="735" t="s">
        <v>7733</v>
      </c>
      <c r="B2818" s="735" t="s">
        <v>2170</v>
      </c>
      <c r="C2818" s="735" t="s">
        <v>451</v>
      </c>
      <c r="D2818" s="644" t="s">
        <v>7843</v>
      </c>
      <c r="E2818" s="736">
        <v>4000</v>
      </c>
      <c r="F2818" s="737" t="s">
        <v>9574</v>
      </c>
      <c r="G2818" s="636" t="s">
        <v>9575</v>
      </c>
      <c r="H2818" s="636" t="s">
        <v>6571</v>
      </c>
      <c r="I2818" s="636" t="s">
        <v>2179</v>
      </c>
      <c r="J2818" s="644" t="s">
        <v>642</v>
      </c>
      <c r="K2818" s="753">
        <v>12</v>
      </c>
      <c r="L2818" s="754">
        <v>12</v>
      </c>
      <c r="M2818" s="736">
        <v>49960.800000000003</v>
      </c>
      <c r="N2818" s="744"/>
      <c r="O2818" s="739"/>
      <c r="P2818" s="739"/>
      <c r="Q2818" s="214"/>
    </row>
    <row r="2819" spans="1:17" ht="12" customHeight="1" x14ac:dyDescent="0.2">
      <c r="A2819" s="735" t="s">
        <v>7733</v>
      </c>
      <c r="B2819" s="735" t="s">
        <v>2170</v>
      </c>
      <c r="C2819" s="735" t="s">
        <v>451</v>
      </c>
      <c r="D2819" s="644" t="s">
        <v>2788</v>
      </c>
      <c r="E2819" s="736">
        <v>2300</v>
      </c>
      <c r="F2819" s="737" t="s">
        <v>9576</v>
      </c>
      <c r="G2819" s="636" t="s">
        <v>9577</v>
      </c>
      <c r="H2819" s="636" t="s">
        <v>9578</v>
      </c>
      <c r="I2819" s="636" t="s">
        <v>7835</v>
      </c>
      <c r="J2819" s="644" t="s">
        <v>643</v>
      </c>
      <c r="K2819" s="753">
        <v>4</v>
      </c>
      <c r="L2819" s="754">
        <v>10</v>
      </c>
      <c r="M2819" s="736">
        <v>24960.799999999999</v>
      </c>
      <c r="N2819" s="744"/>
      <c r="O2819" s="739"/>
      <c r="P2819" s="739"/>
      <c r="Q2819" s="214"/>
    </row>
    <row r="2820" spans="1:17" ht="12" customHeight="1" x14ac:dyDescent="0.2">
      <c r="A2820" s="735" t="s">
        <v>7733</v>
      </c>
      <c r="B2820" s="735" t="s">
        <v>2170</v>
      </c>
      <c r="C2820" s="735" t="s">
        <v>451</v>
      </c>
      <c r="D2820" s="644" t="s">
        <v>7843</v>
      </c>
      <c r="E2820" s="736">
        <v>4000</v>
      </c>
      <c r="F2820" s="737" t="s">
        <v>9579</v>
      </c>
      <c r="G2820" s="636" t="s">
        <v>9580</v>
      </c>
      <c r="H2820" s="636" t="s">
        <v>7752</v>
      </c>
      <c r="I2820" s="636" t="s">
        <v>2179</v>
      </c>
      <c r="J2820" s="644" t="s">
        <v>642</v>
      </c>
      <c r="K2820" s="753">
        <v>12</v>
      </c>
      <c r="L2820" s="754">
        <v>12</v>
      </c>
      <c r="M2820" s="736">
        <v>49960.800000000003</v>
      </c>
      <c r="N2820" s="744"/>
      <c r="O2820" s="739"/>
      <c r="P2820" s="739"/>
      <c r="Q2820" s="214"/>
    </row>
    <row r="2821" spans="1:17" ht="12" customHeight="1" x14ac:dyDescent="0.2">
      <c r="A2821" s="735" t="s">
        <v>7733</v>
      </c>
      <c r="B2821" s="735" t="s">
        <v>2170</v>
      </c>
      <c r="C2821" s="735" t="s">
        <v>451</v>
      </c>
      <c r="D2821" s="644" t="s">
        <v>7755</v>
      </c>
      <c r="E2821" s="736">
        <v>2500</v>
      </c>
      <c r="F2821" s="737" t="s">
        <v>9581</v>
      </c>
      <c r="G2821" s="636" t="s">
        <v>9582</v>
      </c>
      <c r="H2821" s="636" t="s">
        <v>9583</v>
      </c>
      <c r="I2821" s="636" t="s">
        <v>7835</v>
      </c>
      <c r="J2821" s="644" t="s">
        <v>643</v>
      </c>
      <c r="K2821" s="753">
        <v>10</v>
      </c>
      <c r="L2821" s="754">
        <v>10</v>
      </c>
      <c r="M2821" s="736">
        <v>26960.799999999999</v>
      </c>
      <c r="N2821" s="744"/>
      <c r="O2821" s="739"/>
      <c r="P2821" s="739"/>
      <c r="Q2821" s="214"/>
    </row>
    <row r="2822" spans="1:17" ht="12" customHeight="1" x14ac:dyDescent="0.2">
      <c r="A2822" s="735" t="s">
        <v>7733</v>
      </c>
      <c r="B2822" s="735" t="s">
        <v>2170</v>
      </c>
      <c r="C2822" s="735" t="s">
        <v>451</v>
      </c>
      <c r="D2822" s="644" t="s">
        <v>7901</v>
      </c>
      <c r="E2822" s="736">
        <v>2500</v>
      </c>
      <c r="F2822" s="737" t="s">
        <v>9584</v>
      </c>
      <c r="G2822" s="636" t="s">
        <v>9585</v>
      </c>
      <c r="H2822" s="636" t="s">
        <v>3754</v>
      </c>
      <c r="I2822" s="636" t="s">
        <v>2979</v>
      </c>
      <c r="J2822" s="644" t="s">
        <v>643</v>
      </c>
      <c r="K2822" s="753">
        <v>11</v>
      </c>
      <c r="L2822" s="754">
        <v>11</v>
      </c>
      <c r="M2822" s="736">
        <v>29460.799999999999</v>
      </c>
      <c r="N2822" s="744"/>
      <c r="O2822" s="739"/>
      <c r="P2822" s="739"/>
      <c r="Q2822" s="214"/>
    </row>
    <row r="2823" spans="1:17" ht="12" customHeight="1" x14ac:dyDescent="0.2">
      <c r="A2823" s="735" t="s">
        <v>7733</v>
      </c>
      <c r="B2823" s="735" t="s">
        <v>2170</v>
      </c>
      <c r="C2823" s="735" t="s">
        <v>451</v>
      </c>
      <c r="D2823" s="644" t="s">
        <v>8794</v>
      </c>
      <c r="E2823" s="736">
        <v>3000</v>
      </c>
      <c r="F2823" s="737" t="s">
        <v>9586</v>
      </c>
      <c r="G2823" s="636" t="s">
        <v>9587</v>
      </c>
      <c r="H2823" s="636" t="s">
        <v>7752</v>
      </c>
      <c r="I2823" s="636" t="s">
        <v>2179</v>
      </c>
      <c r="J2823" s="644" t="s">
        <v>642</v>
      </c>
      <c r="K2823" s="753">
        <v>11</v>
      </c>
      <c r="L2823" s="754">
        <v>12</v>
      </c>
      <c r="M2823" s="736">
        <v>37960.800000000003</v>
      </c>
      <c r="N2823" s="744"/>
      <c r="O2823" s="739"/>
      <c r="P2823" s="739"/>
      <c r="Q2823" s="214"/>
    </row>
    <row r="2824" spans="1:17" ht="12" customHeight="1" x14ac:dyDescent="0.2">
      <c r="A2824" s="735" t="s">
        <v>7733</v>
      </c>
      <c r="B2824" s="735" t="s">
        <v>2170</v>
      </c>
      <c r="C2824" s="735" t="s">
        <v>451</v>
      </c>
      <c r="D2824" s="644" t="s">
        <v>8165</v>
      </c>
      <c r="E2824" s="736">
        <v>4000</v>
      </c>
      <c r="F2824" s="737" t="s">
        <v>9588</v>
      </c>
      <c r="G2824" s="636" t="s">
        <v>9589</v>
      </c>
      <c r="H2824" s="636"/>
      <c r="I2824" s="636"/>
      <c r="J2824" s="644" t="s">
        <v>642</v>
      </c>
      <c r="K2824" s="753">
        <v>12</v>
      </c>
      <c r="L2824" s="754">
        <v>12</v>
      </c>
      <c r="M2824" s="736">
        <v>49960.800000000003</v>
      </c>
      <c r="N2824" s="744"/>
      <c r="O2824" s="739"/>
      <c r="P2824" s="739"/>
      <c r="Q2824" s="214"/>
    </row>
    <row r="2825" spans="1:17" ht="12" customHeight="1" x14ac:dyDescent="0.2">
      <c r="A2825" s="735" t="s">
        <v>7733</v>
      </c>
      <c r="B2825" s="735" t="s">
        <v>2170</v>
      </c>
      <c r="C2825" s="735" t="s">
        <v>451</v>
      </c>
      <c r="D2825" s="644" t="s">
        <v>7971</v>
      </c>
      <c r="E2825" s="736">
        <v>3000</v>
      </c>
      <c r="F2825" s="737" t="s">
        <v>9590</v>
      </c>
      <c r="G2825" s="636" t="s">
        <v>9591</v>
      </c>
      <c r="H2825" s="636" t="s">
        <v>7752</v>
      </c>
      <c r="I2825" s="636" t="s">
        <v>2179</v>
      </c>
      <c r="J2825" s="644" t="s">
        <v>642</v>
      </c>
      <c r="K2825" s="753">
        <v>12</v>
      </c>
      <c r="L2825" s="754">
        <v>12</v>
      </c>
      <c r="M2825" s="736">
        <v>37960.800000000003</v>
      </c>
      <c r="N2825" s="744"/>
      <c r="O2825" s="739"/>
      <c r="P2825" s="739"/>
      <c r="Q2825" s="214"/>
    </row>
    <row r="2826" spans="1:17" ht="12" customHeight="1" x14ac:dyDescent="0.2">
      <c r="A2826" s="735" t="s">
        <v>7733</v>
      </c>
      <c r="B2826" s="735" t="s">
        <v>2170</v>
      </c>
      <c r="C2826" s="735" t="s">
        <v>451</v>
      </c>
      <c r="D2826" s="644" t="s">
        <v>8097</v>
      </c>
      <c r="E2826" s="736">
        <v>6000</v>
      </c>
      <c r="F2826" s="737" t="s">
        <v>9592</v>
      </c>
      <c r="G2826" s="636" t="s">
        <v>9593</v>
      </c>
      <c r="H2826" s="636" t="s">
        <v>6571</v>
      </c>
      <c r="I2826" s="636" t="s">
        <v>2179</v>
      </c>
      <c r="J2826" s="644" t="s">
        <v>642</v>
      </c>
      <c r="K2826" s="753">
        <v>5</v>
      </c>
      <c r="L2826" s="754">
        <v>12</v>
      </c>
      <c r="M2826" s="736">
        <v>73960.800000000003</v>
      </c>
      <c r="N2826" s="744"/>
      <c r="O2826" s="739"/>
      <c r="P2826" s="739"/>
      <c r="Q2826" s="214"/>
    </row>
    <row r="2827" spans="1:17" ht="12" customHeight="1" x14ac:dyDescent="0.2">
      <c r="A2827" s="735" t="s">
        <v>7733</v>
      </c>
      <c r="B2827" s="735" t="s">
        <v>2170</v>
      </c>
      <c r="C2827" s="735" t="s">
        <v>451</v>
      </c>
      <c r="D2827" s="644" t="s">
        <v>9594</v>
      </c>
      <c r="E2827" s="736">
        <v>4500</v>
      </c>
      <c r="F2827" s="737" t="s">
        <v>9595</v>
      </c>
      <c r="G2827" s="636" t="s">
        <v>9596</v>
      </c>
      <c r="H2827" s="636" t="s">
        <v>7782</v>
      </c>
      <c r="I2827" s="636" t="s">
        <v>2208</v>
      </c>
      <c r="J2827" s="644" t="s">
        <v>642</v>
      </c>
      <c r="K2827" s="753">
        <v>3</v>
      </c>
      <c r="L2827" s="754">
        <v>9</v>
      </c>
      <c r="M2827" s="736">
        <v>42460.800000000003</v>
      </c>
      <c r="N2827" s="744"/>
      <c r="O2827" s="739"/>
      <c r="P2827" s="739"/>
      <c r="Q2827" s="214"/>
    </row>
    <row r="2828" spans="1:17" ht="12" customHeight="1" x14ac:dyDescent="0.2">
      <c r="A2828" s="735" t="s">
        <v>7733</v>
      </c>
      <c r="B2828" s="735" t="s">
        <v>2170</v>
      </c>
      <c r="C2828" s="735" t="s">
        <v>451</v>
      </c>
      <c r="D2828" s="644" t="s">
        <v>7740</v>
      </c>
      <c r="E2828" s="736">
        <v>1900</v>
      </c>
      <c r="F2828" s="737" t="s">
        <v>9597</v>
      </c>
      <c r="G2828" s="636" t="s">
        <v>9598</v>
      </c>
      <c r="H2828" s="636" t="s">
        <v>7152</v>
      </c>
      <c r="I2828" s="636" t="s">
        <v>6536</v>
      </c>
      <c r="J2828" s="644" t="s">
        <v>643</v>
      </c>
      <c r="K2828" s="753">
        <v>12</v>
      </c>
      <c r="L2828" s="754">
        <v>12</v>
      </c>
      <c r="M2828" s="736">
        <v>25452</v>
      </c>
      <c r="N2828" s="744"/>
      <c r="O2828" s="739"/>
      <c r="P2828" s="739"/>
      <c r="Q2828" s="214"/>
    </row>
    <row r="2829" spans="1:17" ht="12" customHeight="1" x14ac:dyDescent="0.2">
      <c r="A2829" s="735" t="s">
        <v>7733</v>
      </c>
      <c r="B2829" s="735" t="s">
        <v>2170</v>
      </c>
      <c r="C2829" s="735" t="s">
        <v>451</v>
      </c>
      <c r="D2829" s="644" t="s">
        <v>9143</v>
      </c>
      <c r="E2829" s="736">
        <v>2500</v>
      </c>
      <c r="F2829" s="737" t="s">
        <v>9599</v>
      </c>
      <c r="G2829" s="636" t="s">
        <v>9600</v>
      </c>
      <c r="H2829" s="636" t="s">
        <v>2979</v>
      </c>
      <c r="I2829" s="636" t="s">
        <v>2979</v>
      </c>
      <c r="J2829" s="644" t="s">
        <v>643</v>
      </c>
      <c r="K2829" s="753">
        <v>5</v>
      </c>
      <c r="L2829" s="754">
        <v>12</v>
      </c>
      <c r="M2829" s="736">
        <v>31960.799999999999</v>
      </c>
      <c r="N2829" s="744"/>
      <c r="O2829" s="739"/>
      <c r="P2829" s="739"/>
      <c r="Q2829" s="214"/>
    </row>
    <row r="2830" spans="1:17" ht="12" customHeight="1" x14ac:dyDescent="0.2">
      <c r="A2830" s="735" t="s">
        <v>7733</v>
      </c>
      <c r="B2830" s="735" t="s">
        <v>2170</v>
      </c>
      <c r="C2830" s="735" t="s">
        <v>451</v>
      </c>
      <c r="D2830" s="644" t="s">
        <v>7755</v>
      </c>
      <c r="E2830" s="736">
        <v>2500</v>
      </c>
      <c r="F2830" s="737" t="s">
        <v>9601</v>
      </c>
      <c r="G2830" s="636" t="s">
        <v>9602</v>
      </c>
      <c r="H2830" s="636" t="s">
        <v>2228</v>
      </c>
      <c r="I2830" s="636" t="s">
        <v>2228</v>
      </c>
      <c r="J2830" s="644"/>
      <c r="K2830" s="753">
        <v>7</v>
      </c>
      <c r="L2830" s="754">
        <v>7</v>
      </c>
      <c r="M2830" s="736">
        <v>19460.8</v>
      </c>
      <c r="N2830" s="744"/>
      <c r="O2830" s="739"/>
      <c r="P2830" s="739"/>
      <c r="Q2830" s="214"/>
    </row>
    <row r="2831" spans="1:17" ht="12" customHeight="1" x14ac:dyDescent="0.2">
      <c r="A2831" s="735" t="s">
        <v>7733</v>
      </c>
      <c r="B2831" s="735" t="s">
        <v>2170</v>
      </c>
      <c r="C2831" s="735" t="s">
        <v>451</v>
      </c>
      <c r="D2831" s="644" t="s">
        <v>9603</v>
      </c>
      <c r="E2831" s="736">
        <v>6000</v>
      </c>
      <c r="F2831" s="737" t="s">
        <v>9604</v>
      </c>
      <c r="G2831" s="636" t="s">
        <v>9605</v>
      </c>
      <c r="H2831" s="636" t="s">
        <v>7752</v>
      </c>
      <c r="I2831" s="636" t="s">
        <v>2179</v>
      </c>
      <c r="J2831" s="644" t="s">
        <v>642</v>
      </c>
      <c r="K2831" s="753">
        <v>4</v>
      </c>
      <c r="L2831" s="754">
        <v>11</v>
      </c>
      <c r="M2831" s="736">
        <v>67960.800000000003</v>
      </c>
      <c r="N2831" s="744"/>
      <c r="O2831" s="739"/>
      <c r="P2831" s="739"/>
      <c r="Q2831" s="214"/>
    </row>
    <row r="2832" spans="1:17" ht="12" customHeight="1" x14ac:dyDescent="0.2">
      <c r="A2832" s="735" t="s">
        <v>7733</v>
      </c>
      <c r="B2832" s="735" t="s">
        <v>2170</v>
      </c>
      <c r="C2832" s="735" t="s">
        <v>451</v>
      </c>
      <c r="D2832" s="644" t="s">
        <v>9606</v>
      </c>
      <c r="E2832" s="736">
        <v>2300</v>
      </c>
      <c r="F2832" s="737" t="s">
        <v>9607</v>
      </c>
      <c r="G2832" s="636" t="s">
        <v>9608</v>
      </c>
      <c r="H2832" s="636" t="s">
        <v>3915</v>
      </c>
      <c r="I2832" s="636" t="s">
        <v>9609</v>
      </c>
      <c r="J2832" s="644" t="s">
        <v>643</v>
      </c>
      <c r="K2832" s="753">
        <v>10</v>
      </c>
      <c r="L2832" s="754">
        <v>12</v>
      </c>
      <c r="M2832" s="736">
        <v>29560.799999999999</v>
      </c>
      <c r="N2832" s="744"/>
      <c r="O2832" s="739"/>
      <c r="P2832" s="739"/>
      <c r="Q2832" s="214"/>
    </row>
    <row r="2833" spans="1:17" ht="12" customHeight="1" x14ac:dyDescent="0.2">
      <c r="A2833" s="735" t="s">
        <v>7733</v>
      </c>
      <c r="B2833" s="735" t="s">
        <v>2170</v>
      </c>
      <c r="C2833" s="735" t="s">
        <v>451</v>
      </c>
      <c r="D2833" s="644" t="s">
        <v>8894</v>
      </c>
      <c r="E2833" s="736">
        <v>10000</v>
      </c>
      <c r="F2833" s="737" t="s">
        <v>9610</v>
      </c>
      <c r="G2833" s="636" t="s">
        <v>9611</v>
      </c>
      <c r="H2833" s="636"/>
      <c r="I2833" s="636"/>
      <c r="J2833" s="644" t="s">
        <v>642</v>
      </c>
      <c r="K2833" s="753">
        <v>1</v>
      </c>
      <c r="L2833" s="754">
        <v>12</v>
      </c>
      <c r="M2833" s="736">
        <v>121960.8</v>
      </c>
      <c r="N2833" s="744"/>
      <c r="O2833" s="739"/>
      <c r="P2833" s="739"/>
      <c r="Q2833" s="214"/>
    </row>
    <row r="2834" spans="1:17" ht="12" customHeight="1" x14ac:dyDescent="0.2">
      <c r="A2834" s="735" t="s">
        <v>7733</v>
      </c>
      <c r="B2834" s="735" t="s">
        <v>2170</v>
      </c>
      <c r="C2834" s="735" t="s">
        <v>451</v>
      </c>
      <c r="D2834" s="644" t="s">
        <v>8995</v>
      </c>
      <c r="E2834" s="736">
        <v>4000</v>
      </c>
      <c r="F2834" s="737" t="s">
        <v>9612</v>
      </c>
      <c r="G2834" s="636" t="s">
        <v>9613</v>
      </c>
      <c r="H2834" s="636" t="s">
        <v>7752</v>
      </c>
      <c r="I2834" s="636" t="s">
        <v>2179</v>
      </c>
      <c r="J2834" s="644" t="s">
        <v>642</v>
      </c>
      <c r="K2834" s="753">
        <v>12</v>
      </c>
      <c r="L2834" s="754">
        <v>12</v>
      </c>
      <c r="M2834" s="736">
        <v>49960.800000000003</v>
      </c>
      <c r="N2834" s="744"/>
      <c r="O2834" s="739"/>
      <c r="P2834" s="739"/>
      <c r="Q2834" s="214"/>
    </row>
    <row r="2835" spans="1:17" ht="12" customHeight="1" x14ac:dyDescent="0.2">
      <c r="A2835" s="735" t="s">
        <v>7733</v>
      </c>
      <c r="B2835" s="735" t="s">
        <v>2170</v>
      </c>
      <c r="C2835" s="735" t="s">
        <v>451</v>
      </c>
      <c r="D2835" s="644" t="s">
        <v>8360</v>
      </c>
      <c r="E2835" s="736">
        <v>3500</v>
      </c>
      <c r="F2835" s="737" t="s">
        <v>9614</v>
      </c>
      <c r="G2835" s="636" t="s">
        <v>9615</v>
      </c>
      <c r="H2835" s="636" t="s">
        <v>2228</v>
      </c>
      <c r="I2835" s="636" t="s">
        <v>2228</v>
      </c>
      <c r="J2835" s="644"/>
      <c r="K2835" s="753">
        <v>5</v>
      </c>
      <c r="L2835" s="754">
        <v>5</v>
      </c>
      <c r="M2835" s="736">
        <v>19460.8</v>
      </c>
      <c r="N2835" s="744"/>
      <c r="O2835" s="739"/>
      <c r="P2835" s="739"/>
      <c r="Q2835" s="214"/>
    </row>
    <row r="2836" spans="1:17" ht="12" customHeight="1" x14ac:dyDescent="0.2">
      <c r="A2836" s="735" t="s">
        <v>7733</v>
      </c>
      <c r="B2836" s="735" t="s">
        <v>2170</v>
      </c>
      <c r="C2836" s="735" t="s">
        <v>451</v>
      </c>
      <c r="D2836" s="644" t="s">
        <v>2261</v>
      </c>
      <c r="E2836" s="736">
        <v>3500</v>
      </c>
      <c r="F2836" s="737" t="s">
        <v>9616</v>
      </c>
      <c r="G2836" s="636" t="s">
        <v>9617</v>
      </c>
      <c r="H2836" s="636" t="s">
        <v>2228</v>
      </c>
      <c r="I2836" s="636" t="s">
        <v>2228</v>
      </c>
      <c r="J2836" s="644"/>
      <c r="K2836" s="753">
        <v>3</v>
      </c>
      <c r="L2836" s="754">
        <v>7</v>
      </c>
      <c r="M2836" s="736">
        <v>26460.799999999999</v>
      </c>
      <c r="N2836" s="744"/>
      <c r="O2836" s="739"/>
      <c r="P2836" s="739"/>
      <c r="Q2836" s="214"/>
    </row>
    <row r="2837" spans="1:17" ht="12" customHeight="1" x14ac:dyDescent="0.2">
      <c r="A2837" s="735" t="s">
        <v>7733</v>
      </c>
      <c r="B2837" s="735" t="s">
        <v>2170</v>
      </c>
      <c r="C2837" s="735" t="s">
        <v>451</v>
      </c>
      <c r="D2837" s="644" t="s">
        <v>7901</v>
      </c>
      <c r="E2837" s="736">
        <v>2500</v>
      </c>
      <c r="F2837" s="737" t="s">
        <v>9618</v>
      </c>
      <c r="G2837" s="636" t="s">
        <v>9619</v>
      </c>
      <c r="H2837" s="636"/>
      <c r="I2837" s="636"/>
      <c r="J2837" s="644" t="s">
        <v>643</v>
      </c>
      <c r="K2837" s="753">
        <v>12</v>
      </c>
      <c r="L2837" s="754">
        <v>12</v>
      </c>
      <c r="M2837" s="736">
        <v>31960.799999999999</v>
      </c>
      <c r="N2837" s="744"/>
      <c r="O2837" s="739"/>
      <c r="P2837" s="739"/>
      <c r="Q2837" s="214"/>
    </row>
    <row r="2838" spans="1:17" ht="12" customHeight="1" x14ac:dyDescent="0.2">
      <c r="A2838" s="735" t="s">
        <v>7733</v>
      </c>
      <c r="B2838" s="735" t="s">
        <v>2170</v>
      </c>
      <c r="C2838" s="735" t="s">
        <v>451</v>
      </c>
      <c r="D2838" s="644" t="s">
        <v>7838</v>
      </c>
      <c r="E2838" s="736">
        <v>2500</v>
      </c>
      <c r="F2838" s="737" t="s">
        <v>9620</v>
      </c>
      <c r="G2838" s="636" t="s">
        <v>9621</v>
      </c>
      <c r="H2838" s="636"/>
      <c r="I2838" s="636"/>
      <c r="J2838" s="644" t="s">
        <v>642</v>
      </c>
      <c r="K2838" s="753">
        <v>10</v>
      </c>
      <c r="L2838" s="754">
        <v>10</v>
      </c>
      <c r="M2838" s="736">
        <v>26960.799999999999</v>
      </c>
      <c r="N2838" s="744"/>
      <c r="O2838" s="739"/>
      <c r="P2838" s="739"/>
      <c r="Q2838" s="214"/>
    </row>
    <row r="2839" spans="1:17" ht="12" customHeight="1" x14ac:dyDescent="0.2">
      <c r="A2839" s="735" t="s">
        <v>7733</v>
      </c>
      <c r="B2839" s="735" t="s">
        <v>2170</v>
      </c>
      <c r="C2839" s="735" t="s">
        <v>451</v>
      </c>
      <c r="D2839" s="644" t="s">
        <v>2772</v>
      </c>
      <c r="E2839" s="736">
        <v>2000</v>
      </c>
      <c r="F2839" s="737" t="s">
        <v>9622</v>
      </c>
      <c r="G2839" s="636" t="s">
        <v>9623</v>
      </c>
      <c r="H2839" s="636" t="s">
        <v>7834</v>
      </c>
      <c r="I2839" s="636" t="s">
        <v>7911</v>
      </c>
      <c r="J2839" s="644" t="s">
        <v>644</v>
      </c>
      <c r="K2839" s="753">
        <v>5</v>
      </c>
      <c r="L2839" s="754">
        <v>12</v>
      </c>
      <c r="M2839" s="736">
        <v>25960.799999999999</v>
      </c>
      <c r="N2839" s="744"/>
      <c r="O2839" s="739"/>
      <c r="P2839" s="739"/>
      <c r="Q2839" s="214"/>
    </row>
    <row r="2840" spans="1:17" ht="12" customHeight="1" x14ac:dyDescent="0.2">
      <c r="A2840" s="735" t="s">
        <v>7733</v>
      </c>
      <c r="B2840" s="735" t="s">
        <v>2170</v>
      </c>
      <c r="C2840" s="735" t="s">
        <v>451</v>
      </c>
      <c r="D2840" s="644" t="s">
        <v>9624</v>
      </c>
      <c r="E2840" s="736">
        <v>3000</v>
      </c>
      <c r="F2840" s="737" t="s">
        <v>9625</v>
      </c>
      <c r="G2840" s="636" t="s">
        <v>9626</v>
      </c>
      <c r="H2840" s="636" t="s">
        <v>2228</v>
      </c>
      <c r="I2840" s="636" t="s">
        <v>2228</v>
      </c>
      <c r="J2840" s="644"/>
      <c r="K2840" s="753">
        <v>1</v>
      </c>
      <c r="L2840" s="754">
        <v>1</v>
      </c>
      <c r="M2840" s="736">
        <v>4960.8</v>
      </c>
      <c r="N2840" s="744"/>
      <c r="O2840" s="739"/>
      <c r="P2840" s="739"/>
      <c r="Q2840" s="214"/>
    </row>
    <row r="2841" spans="1:17" ht="12" customHeight="1" x14ac:dyDescent="0.2">
      <c r="A2841" s="735" t="s">
        <v>7733</v>
      </c>
      <c r="B2841" s="735" t="s">
        <v>2170</v>
      </c>
      <c r="C2841" s="735" t="s">
        <v>451</v>
      </c>
      <c r="D2841" s="644" t="s">
        <v>9034</v>
      </c>
      <c r="E2841" s="736">
        <v>1800</v>
      </c>
      <c r="F2841" s="737" t="s">
        <v>9627</v>
      </c>
      <c r="G2841" s="636" t="s">
        <v>9628</v>
      </c>
      <c r="H2841" s="636"/>
      <c r="I2841" s="636"/>
      <c r="J2841" s="644" t="s">
        <v>644</v>
      </c>
      <c r="K2841" s="753">
        <v>7</v>
      </c>
      <c r="L2841" s="754">
        <v>12</v>
      </c>
      <c r="M2841" s="736">
        <v>24144</v>
      </c>
      <c r="N2841" s="744"/>
      <c r="O2841" s="739"/>
      <c r="P2841" s="739"/>
      <c r="Q2841" s="214"/>
    </row>
    <row r="2842" spans="1:17" ht="12" customHeight="1" x14ac:dyDescent="0.2">
      <c r="A2842" s="735" t="s">
        <v>7733</v>
      </c>
      <c r="B2842" s="735" t="s">
        <v>2170</v>
      </c>
      <c r="C2842" s="735" t="s">
        <v>451</v>
      </c>
      <c r="D2842" s="644" t="s">
        <v>9108</v>
      </c>
      <c r="E2842" s="736">
        <v>2300</v>
      </c>
      <c r="F2842" s="737" t="s">
        <v>9629</v>
      </c>
      <c r="G2842" s="636" t="s">
        <v>9630</v>
      </c>
      <c r="H2842" s="636" t="s">
        <v>2228</v>
      </c>
      <c r="I2842" s="636" t="s">
        <v>2228</v>
      </c>
      <c r="J2842" s="644"/>
      <c r="K2842" s="753">
        <v>3</v>
      </c>
      <c r="L2842" s="754">
        <v>5</v>
      </c>
      <c r="M2842" s="736">
        <v>13460.8</v>
      </c>
      <c r="N2842" s="744"/>
      <c r="O2842" s="739"/>
      <c r="P2842" s="739"/>
      <c r="Q2842" s="214"/>
    </row>
    <row r="2843" spans="1:17" ht="12" customHeight="1" x14ac:dyDescent="0.2">
      <c r="A2843" s="735" t="s">
        <v>7733</v>
      </c>
      <c r="B2843" s="735" t="s">
        <v>2170</v>
      </c>
      <c r="C2843" s="735" t="s">
        <v>451</v>
      </c>
      <c r="D2843" s="644" t="s">
        <v>8551</v>
      </c>
      <c r="E2843" s="736">
        <v>5000</v>
      </c>
      <c r="F2843" s="737" t="s">
        <v>9631</v>
      </c>
      <c r="G2843" s="636" t="s">
        <v>9632</v>
      </c>
      <c r="H2843" s="636" t="s">
        <v>9633</v>
      </c>
      <c r="I2843" s="636" t="s">
        <v>4740</v>
      </c>
      <c r="J2843" s="644" t="s">
        <v>642</v>
      </c>
      <c r="K2843" s="753">
        <v>5</v>
      </c>
      <c r="L2843" s="754">
        <v>7</v>
      </c>
      <c r="M2843" s="736">
        <v>36960.800000000003</v>
      </c>
      <c r="N2843" s="744"/>
      <c r="O2843" s="739"/>
      <c r="P2843" s="739"/>
      <c r="Q2843" s="214"/>
    </row>
    <row r="2844" spans="1:17" ht="12" customHeight="1" x14ac:dyDescent="0.2">
      <c r="A2844" s="735" t="s">
        <v>7733</v>
      </c>
      <c r="B2844" s="735" t="s">
        <v>2170</v>
      </c>
      <c r="C2844" s="735" t="s">
        <v>451</v>
      </c>
      <c r="D2844" s="644" t="s">
        <v>7868</v>
      </c>
      <c r="E2844" s="736">
        <v>4000</v>
      </c>
      <c r="F2844" s="737" t="s">
        <v>9634</v>
      </c>
      <c r="G2844" s="636" t="s">
        <v>9635</v>
      </c>
      <c r="H2844" s="636" t="s">
        <v>6571</v>
      </c>
      <c r="I2844" s="636" t="s">
        <v>2179</v>
      </c>
      <c r="J2844" s="644" t="s">
        <v>642</v>
      </c>
      <c r="K2844" s="753">
        <v>12</v>
      </c>
      <c r="L2844" s="754">
        <v>12</v>
      </c>
      <c r="M2844" s="736">
        <v>49960.800000000003</v>
      </c>
      <c r="N2844" s="744"/>
      <c r="O2844" s="739"/>
      <c r="P2844" s="739"/>
      <c r="Q2844" s="214"/>
    </row>
    <row r="2845" spans="1:17" ht="12" customHeight="1" x14ac:dyDescent="0.2">
      <c r="A2845" s="735" t="s">
        <v>7733</v>
      </c>
      <c r="B2845" s="735" t="s">
        <v>2170</v>
      </c>
      <c r="C2845" s="735" t="s">
        <v>451</v>
      </c>
      <c r="D2845" s="644" t="s">
        <v>8360</v>
      </c>
      <c r="E2845" s="736">
        <v>3500</v>
      </c>
      <c r="F2845" s="737" t="s">
        <v>9636</v>
      </c>
      <c r="G2845" s="636" t="s">
        <v>9637</v>
      </c>
      <c r="H2845" s="636" t="s">
        <v>6571</v>
      </c>
      <c r="I2845" s="636" t="s">
        <v>2179</v>
      </c>
      <c r="J2845" s="644" t="s">
        <v>642</v>
      </c>
      <c r="K2845" s="753">
        <v>9</v>
      </c>
      <c r="L2845" s="754">
        <v>9</v>
      </c>
      <c r="M2845" s="736">
        <v>33460.800000000003</v>
      </c>
      <c r="N2845" s="744"/>
      <c r="O2845" s="739"/>
      <c r="P2845" s="739"/>
      <c r="Q2845" s="214"/>
    </row>
    <row r="2846" spans="1:17" ht="12" customHeight="1" x14ac:dyDescent="0.2">
      <c r="A2846" s="735" t="s">
        <v>7733</v>
      </c>
      <c r="B2846" s="735" t="s">
        <v>2170</v>
      </c>
      <c r="C2846" s="735" t="s">
        <v>451</v>
      </c>
      <c r="D2846" s="644" t="s">
        <v>8995</v>
      </c>
      <c r="E2846" s="736">
        <v>4000</v>
      </c>
      <c r="F2846" s="737" t="s">
        <v>9638</v>
      </c>
      <c r="G2846" s="636" t="s">
        <v>9639</v>
      </c>
      <c r="H2846" s="636"/>
      <c r="I2846" s="636"/>
      <c r="J2846" s="644" t="s">
        <v>642</v>
      </c>
      <c r="K2846" s="753">
        <v>12</v>
      </c>
      <c r="L2846" s="754">
        <v>12</v>
      </c>
      <c r="M2846" s="736">
        <v>49960.800000000003</v>
      </c>
      <c r="N2846" s="744"/>
      <c r="O2846" s="739"/>
      <c r="P2846" s="739"/>
      <c r="Q2846" s="214"/>
    </row>
    <row r="2847" spans="1:17" ht="12" customHeight="1" x14ac:dyDescent="0.2">
      <c r="A2847" s="735" t="s">
        <v>7733</v>
      </c>
      <c r="B2847" s="735" t="s">
        <v>2170</v>
      </c>
      <c r="C2847" s="735" t="s">
        <v>451</v>
      </c>
      <c r="D2847" s="644" t="s">
        <v>7855</v>
      </c>
      <c r="E2847" s="736">
        <v>2200</v>
      </c>
      <c r="F2847" s="737" t="s">
        <v>9640</v>
      </c>
      <c r="G2847" s="636" t="s">
        <v>9641</v>
      </c>
      <c r="H2847" s="636" t="s">
        <v>7904</v>
      </c>
      <c r="I2847" s="636" t="s">
        <v>7858</v>
      </c>
      <c r="J2847" s="644" t="s">
        <v>644</v>
      </c>
      <c r="K2847" s="753">
        <v>12</v>
      </c>
      <c r="L2847" s="754">
        <v>12</v>
      </c>
      <c r="M2847" s="736">
        <v>28360.799999999999</v>
      </c>
      <c r="N2847" s="744"/>
      <c r="O2847" s="739"/>
      <c r="P2847" s="739"/>
      <c r="Q2847" s="214"/>
    </row>
    <row r="2848" spans="1:17" ht="12" customHeight="1" x14ac:dyDescent="0.2">
      <c r="A2848" s="735" t="s">
        <v>7733</v>
      </c>
      <c r="B2848" s="735" t="s">
        <v>2170</v>
      </c>
      <c r="C2848" s="735" t="s">
        <v>451</v>
      </c>
      <c r="D2848" s="644" t="s">
        <v>9642</v>
      </c>
      <c r="E2848" s="736">
        <v>3000</v>
      </c>
      <c r="F2848" s="737" t="s">
        <v>9643</v>
      </c>
      <c r="G2848" s="636" t="s">
        <v>9644</v>
      </c>
      <c r="H2848" s="636" t="s">
        <v>6778</v>
      </c>
      <c r="I2848" s="636" t="s">
        <v>3092</v>
      </c>
      <c r="J2848" s="644" t="s">
        <v>642</v>
      </c>
      <c r="K2848" s="753">
        <v>5</v>
      </c>
      <c r="L2848" s="754">
        <v>12</v>
      </c>
      <c r="M2848" s="736">
        <v>37960.800000000003</v>
      </c>
      <c r="N2848" s="744"/>
      <c r="O2848" s="739"/>
      <c r="P2848" s="739"/>
      <c r="Q2848" s="214"/>
    </row>
    <row r="2849" spans="1:17" ht="12" customHeight="1" x14ac:dyDescent="0.2">
      <c r="A2849" s="735" t="s">
        <v>7733</v>
      </c>
      <c r="B2849" s="735" t="s">
        <v>2170</v>
      </c>
      <c r="C2849" s="735" t="s">
        <v>451</v>
      </c>
      <c r="D2849" s="644" t="s">
        <v>9645</v>
      </c>
      <c r="E2849" s="736">
        <v>6000</v>
      </c>
      <c r="F2849" s="737" t="s">
        <v>9646</v>
      </c>
      <c r="G2849" s="636" t="s">
        <v>9647</v>
      </c>
      <c r="H2849" s="636" t="s">
        <v>9648</v>
      </c>
      <c r="I2849" s="636" t="s">
        <v>9649</v>
      </c>
      <c r="J2849" s="644" t="s">
        <v>642</v>
      </c>
      <c r="K2849" s="753">
        <v>5</v>
      </c>
      <c r="L2849" s="754">
        <v>12</v>
      </c>
      <c r="M2849" s="736">
        <v>73960.800000000003</v>
      </c>
      <c r="N2849" s="744"/>
      <c r="O2849" s="739"/>
      <c r="P2849" s="739"/>
      <c r="Q2849" s="214"/>
    </row>
    <row r="2850" spans="1:17" ht="12" customHeight="1" x14ac:dyDescent="0.2">
      <c r="A2850" s="735" t="s">
        <v>7733</v>
      </c>
      <c r="B2850" s="735" t="s">
        <v>2170</v>
      </c>
      <c r="C2850" s="735" t="s">
        <v>451</v>
      </c>
      <c r="D2850" s="644" t="s">
        <v>9650</v>
      </c>
      <c r="E2850" s="736">
        <v>11000</v>
      </c>
      <c r="F2850" s="737" t="s">
        <v>9651</v>
      </c>
      <c r="G2850" s="636" t="s">
        <v>9652</v>
      </c>
      <c r="H2850" s="636" t="s">
        <v>6571</v>
      </c>
      <c r="I2850" s="636" t="s">
        <v>2179</v>
      </c>
      <c r="J2850" s="644" t="s">
        <v>642</v>
      </c>
      <c r="K2850" s="753">
        <v>1</v>
      </c>
      <c r="L2850" s="754">
        <v>12</v>
      </c>
      <c r="M2850" s="736">
        <v>133960.79999999999</v>
      </c>
      <c r="N2850" s="744"/>
      <c r="O2850" s="739"/>
      <c r="P2850" s="739"/>
      <c r="Q2850" s="214"/>
    </row>
    <row r="2851" spans="1:17" ht="12" customHeight="1" x14ac:dyDescent="0.2">
      <c r="A2851" s="735" t="s">
        <v>7733</v>
      </c>
      <c r="B2851" s="735" t="s">
        <v>2170</v>
      </c>
      <c r="C2851" s="735" t="s">
        <v>451</v>
      </c>
      <c r="D2851" s="644" t="s">
        <v>7822</v>
      </c>
      <c r="E2851" s="736">
        <v>4200</v>
      </c>
      <c r="F2851" s="737" t="s">
        <v>9653</v>
      </c>
      <c r="G2851" s="636" t="s">
        <v>9654</v>
      </c>
      <c r="H2851" s="636" t="s">
        <v>8135</v>
      </c>
      <c r="I2851" s="636" t="s">
        <v>7835</v>
      </c>
      <c r="J2851" s="644" t="s">
        <v>642</v>
      </c>
      <c r="K2851" s="753">
        <v>6</v>
      </c>
      <c r="L2851" s="754">
        <v>12</v>
      </c>
      <c r="M2851" s="736">
        <v>52360.800000000003</v>
      </c>
      <c r="N2851" s="744"/>
      <c r="O2851" s="739"/>
      <c r="P2851" s="739"/>
      <c r="Q2851" s="214"/>
    </row>
    <row r="2852" spans="1:17" ht="12" customHeight="1" x14ac:dyDescent="0.2">
      <c r="A2852" s="735" t="s">
        <v>7733</v>
      </c>
      <c r="B2852" s="735" t="s">
        <v>2170</v>
      </c>
      <c r="C2852" s="735" t="s">
        <v>451</v>
      </c>
      <c r="D2852" s="644" t="s">
        <v>9655</v>
      </c>
      <c r="E2852" s="736">
        <v>4000</v>
      </c>
      <c r="F2852" s="737" t="s">
        <v>9656</v>
      </c>
      <c r="G2852" s="636" t="s">
        <v>9657</v>
      </c>
      <c r="H2852" s="636" t="s">
        <v>8096</v>
      </c>
      <c r="I2852" s="636" t="s">
        <v>9658</v>
      </c>
      <c r="J2852" s="644" t="s">
        <v>642</v>
      </c>
      <c r="K2852" s="753">
        <v>7</v>
      </c>
      <c r="L2852" s="754">
        <v>12</v>
      </c>
      <c r="M2852" s="736">
        <v>49960.800000000003</v>
      </c>
      <c r="N2852" s="744"/>
      <c r="O2852" s="739"/>
      <c r="P2852" s="739"/>
      <c r="Q2852" s="214"/>
    </row>
    <row r="2853" spans="1:17" ht="12" customHeight="1" x14ac:dyDescent="0.2">
      <c r="A2853" s="735" t="s">
        <v>7733</v>
      </c>
      <c r="B2853" s="735" t="s">
        <v>2170</v>
      </c>
      <c r="C2853" s="735" t="s">
        <v>451</v>
      </c>
      <c r="D2853" s="644" t="s">
        <v>2179</v>
      </c>
      <c r="E2853" s="736">
        <v>8000</v>
      </c>
      <c r="F2853" s="737" t="s">
        <v>9659</v>
      </c>
      <c r="G2853" s="636" t="s">
        <v>9660</v>
      </c>
      <c r="H2853" s="636" t="s">
        <v>6571</v>
      </c>
      <c r="I2853" s="636" t="s">
        <v>2179</v>
      </c>
      <c r="J2853" s="644" t="s">
        <v>642</v>
      </c>
      <c r="K2853" s="753">
        <v>12</v>
      </c>
      <c r="L2853" s="754">
        <v>12</v>
      </c>
      <c r="M2853" s="736">
        <v>97960.8</v>
      </c>
      <c r="N2853" s="744"/>
      <c r="O2853" s="739"/>
      <c r="P2853" s="739"/>
      <c r="Q2853" s="214"/>
    </row>
    <row r="2854" spans="1:17" ht="12" customHeight="1" x14ac:dyDescent="0.2">
      <c r="A2854" s="735" t="s">
        <v>7733</v>
      </c>
      <c r="B2854" s="735" t="s">
        <v>2170</v>
      </c>
      <c r="C2854" s="735" t="s">
        <v>451</v>
      </c>
      <c r="D2854" s="644" t="s">
        <v>7441</v>
      </c>
      <c r="E2854" s="736">
        <v>6500</v>
      </c>
      <c r="F2854" s="737" t="s">
        <v>9661</v>
      </c>
      <c r="G2854" s="636" t="s">
        <v>9662</v>
      </c>
      <c r="H2854" s="636" t="s">
        <v>6778</v>
      </c>
      <c r="I2854" s="636" t="s">
        <v>2174</v>
      </c>
      <c r="J2854" s="644" t="s">
        <v>642</v>
      </c>
      <c r="K2854" s="753">
        <v>5</v>
      </c>
      <c r="L2854" s="754">
        <v>12</v>
      </c>
      <c r="M2854" s="736">
        <v>79960.800000000003</v>
      </c>
      <c r="N2854" s="744"/>
      <c r="O2854" s="739"/>
      <c r="P2854" s="739"/>
      <c r="Q2854" s="214"/>
    </row>
    <row r="2855" spans="1:17" ht="12" customHeight="1" x14ac:dyDescent="0.2">
      <c r="A2855" s="735" t="s">
        <v>7733</v>
      </c>
      <c r="B2855" s="735" t="s">
        <v>2170</v>
      </c>
      <c r="C2855" s="735" t="s">
        <v>451</v>
      </c>
      <c r="D2855" s="644" t="s">
        <v>8158</v>
      </c>
      <c r="E2855" s="736">
        <v>2500</v>
      </c>
      <c r="F2855" s="737" t="s">
        <v>9663</v>
      </c>
      <c r="G2855" s="636" t="s">
        <v>9664</v>
      </c>
      <c r="H2855" s="636"/>
      <c r="I2855" s="636"/>
      <c r="J2855" s="644" t="s">
        <v>643</v>
      </c>
      <c r="K2855" s="753">
        <v>5</v>
      </c>
      <c r="L2855" s="754">
        <v>12</v>
      </c>
      <c r="M2855" s="736">
        <v>31960.799999999999</v>
      </c>
      <c r="N2855" s="744"/>
      <c r="O2855" s="739"/>
      <c r="P2855" s="739"/>
      <c r="Q2855" s="214"/>
    </row>
    <row r="2856" spans="1:17" ht="12" customHeight="1" x14ac:dyDescent="0.2">
      <c r="A2856" s="735" t="s">
        <v>7733</v>
      </c>
      <c r="B2856" s="735" t="s">
        <v>2170</v>
      </c>
      <c r="C2856" s="735" t="s">
        <v>451</v>
      </c>
      <c r="D2856" s="644" t="s">
        <v>7838</v>
      </c>
      <c r="E2856" s="736">
        <v>2500</v>
      </c>
      <c r="F2856" s="737" t="s">
        <v>9665</v>
      </c>
      <c r="G2856" s="636" t="s">
        <v>9666</v>
      </c>
      <c r="H2856" s="636"/>
      <c r="I2856" s="636"/>
      <c r="J2856" s="644" t="s">
        <v>643</v>
      </c>
      <c r="K2856" s="753">
        <v>12</v>
      </c>
      <c r="L2856" s="754">
        <v>12</v>
      </c>
      <c r="M2856" s="736">
        <v>31960.799999999999</v>
      </c>
      <c r="N2856" s="744"/>
      <c r="O2856" s="739"/>
      <c r="P2856" s="739"/>
      <c r="Q2856" s="214"/>
    </row>
    <row r="2857" spans="1:17" ht="12" customHeight="1" x14ac:dyDescent="0.2">
      <c r="A2857" s="735" t="s">
        <v>7733</v>
      </c>
      <c r="B2857" s="735" t="s">
        <v>2170</v>
      </c>
      <c r="C2857" s="735" t="s">
        <v>451</v>
      </c>
      <c r="D2857" s="644" t="s">
        <v>7786</v>
      </c>
      <c r="E2857" s="736">
        <v>6000</v>
      </c>
      <c r="F2857" s="737" t="s">
        <v>9667</v>
      </c>
      <c r="G2857" s="636" t="s">
        <v>9668</v>
      </c>
      <c r="H2857" s="636" t="s">
        <v>6571</v>
      </c>
      <c r="I2857" s="636" t="s">
        <v>2179</v>
      </c>
      <c r="J2857" s="644" t="s">
        <v>642</v>
      </c>
      <c r="K2857" s="753">
        <v>1</v>
      </c>
      <c r="L2857" s="754">
        <v>2</v>
      </c>
      <c r="M2857" s="736">
        <v>13960.8</v>
      </c>
      <c r="N2857" s="744"/>
      <c r="O2857" s="739"/>
      <c r="P2857" s="739"/>
      <c r="Q2857" s="214"/>
    </row>
    <row r="2858" spans="1:17" ht="12" customHeight="1" x14ac:dyDescent="0.2">
      <c r="A2858" s="735" t="s">
        <v>7733</v>
      </c>
      <c r="B2858" s="735" t="s">
        <v>2170</v>
      </c>
      <c r="C2858" s="735" t="s">
        <v>451</v>
      </c>
      <c r="D2858" s="644" t="s">
        <v>8007</v>
      </c>
      <c r="E2858" s="736">
        <v>4000</v>
      </c>
      <c r="F2858" s="737" t="s">
        <v>9669</v>
      </c>
      <c r="G2858" s="636" t="s">
        <v>9670</v>
      </c>
      <c r="H2858" s="636" t="s">
        <v>7752</v>
      </c>
      <c r="I2858" s="636" t="s">
        <v>8036</v>
      </c>
      <c r="J2858" s="644" t="s">
        <v>642</v>
      </c>
      <c r="K2858" s="753">
        <v>12</v>
      </c>
      <c r="L2858" s="754">
        <v>12</v>
      </c>
      <c r="M2858" s="736">
        <v>49960.800000000003</v>
      </c>
      <c r="N2858" s="744"/>
      <c r="O2858" s="739"/>
      <c r="P2858" s="739"/>
      <c r="Q2858" s="214"/>
    </row>
    <row r="2859" spans="1:17" ht="12" customHeight="1" x14ac:dyDescent="0.2">
      <c r="A2859" s="735" t="s">
        <v>7733</v>
      </c>
      <c r="B2859" s="735" t="s">
        <v>2170</v>
      </c>
      <c r="C2859" s="735" t="s">
        <v>451</v>
      </c>
      <c r="D2859" s="644" t="s">
        <v>8414</v>
      </c>
      <c r="E2859" s="736">
        <v>2200</v>
      </c>
      <c r="F2859" s="737" t="s">
        <v>9671</v>
      </c>
      <c r="G2859" s="636" t="s">
        <v>9672</v>
      </c>
      <c r="H2859" s="636" t="s">
        <v>3915</v>
      </c>
      <c r="I2859" s="636" t="s">
        <v>4559</v>
      </c>
      <c r="J2859" s="644" t="s">
        <v>644</v>
      </c>
      <c r="K2859" s="753">
        <v>4</v>
      </c>
      <c r="L2859" s="754">
        <v>9</v>
      </c>
      <c r="M2859" s="736">
        <v>21760.799999999999</v>
      </c>
      <c r="N2859" s="744"/>
      <c r="O2859" s="739"/>
      <c r="P2859" s="739"/>
      <c r="Q2859" s="214"/>
    </row>
    <row r="2860" spans="1:17" ht="12" customHeight="1" x14ac:dyDescent="0.2">
      <c r="A2860" s="735" t="s">
        <v>7733</v>
      </c>
      <c r="B2860" s="735" t="s">
        <v>2170</v>
      </c>
      <c r="C2860" s="735" t="s">
        <v>451</v>
      </c>
      <c r="D2860" s="644" t="s">
        <v>7740</v>
      </c>
      <c r="E2860" s="736">
        <v>2500</v>
      </c>
      <c r="F2860" s="737" t="s">
        <v>9673</v>
      </c>
      <c r="G2860" s="636" t="s">
        <v>9674</v>
      </c>
      <c r="H2860" s="636" t="s">
        <v>7782</v>
      </c>
      <c r="I2860" s="636" t="s">
        <v>2766</v>
      </c>
      <c r="J2860" s="644" t="s">
        <v>643</v>
      </c>
      <c r="K2860" s="753">
        <v>12</v>
      </c>
      <c r="L2860" s="754">
        <v>12</v>
      </c>
      <c r="M2860" s="736">
        <v>31960.799999999999</v>
      </c>
      <c r="N2860" s="744"/>
      <c r="O2860" s="739"/>
      <c r="P2860" s="739"/>
      <c r="Q2860" s="214"/>
    </row>
    <row r="2861" spans="1:17" ht="12" customHeight="1" x14ac:dyDescent="0.2">
      <c r="A2861" s="735" t="s">
        <v>7733</v>
      </c>
      <c r="B2861" s="735" t="s">
        <v>2170</v>
      </c>
      <c r="C2861" s="735" t="s">
        <v>451</v>
      </c>
      <c r="D2861" s="644" t="s">
        <v>8417</v>
      </c>
      <c r="E2861" s="736">
        <v>1400</v>
      </c>
      <c r="F2861" s="737" t="s">
        <v>9675</v>
      </c>
      <c r="G2861" s="636" t="s">
        <v>9676</v>
      </c>
      <c r="H2861" s="636"/>
      <c r="I2861" s="636"/>
      <c r="J2861" s="644" t="s">
        <v>644</v>
      </c>
      <c r="K2861" s="753">
        <v>4</v>
      </c>
      <c r="L2861" s="754">
        <v>12</v>
      </c>
      <c r="M2861" s="736">
        <v>18912</v>
      </c>
      <c r="N2861" s="744"/>
      <c r="O2861" s="739"/>
      <c r="P2861" s="739"/>
      <c r="Q2861" s="214"/>
    </row>
    <row r="2862" spans="1:17" ht="12" customHeight="1" x14ac:dyDescent="0.2">
      <c r="A2862" s="735" t="s">
        <v>7733</v>
      </c>
      <c r="B2862" s="735" t="s">
        <v>2170</v>
      </c>
      <c r="C2862" s="735" t="s">
        <v>451</v>
      </c>
      <c r="D2862" s="644" t="s">
        <v>7800</v>
      </c>
      <c r="E2862" s="736">
        <v>3500</v>
      </c>
      <c r="F2862" s="737" t="s">
        <v>9677</v>
      </c>
      <c r="G2862" s="636" t="s">
        <v>9678</v>
      </c>
      <c r="H2862" s="636"/>
      <c r="I2862" s="636"/>
      <c r="J2862" s="644" t="s">
        <v>642</v>
      </c>
      <c r="K2862" s="753">
        <v>12</v>
      </c>
      <c r="L2862" s="754">
        <v>12</v>
      </c>
      <c r="M2862" s="736">
        <v>43960.800000000003</v>
      </c>
      <c r="N2862" s="744"/>
      <c r="O2862" s="739"/>
      <c r="P2862" s="739"/>
      <c r="Q2862" s="214"/>
    </row>
    <row r="2863" spans="1:17" ht="12" customHeight="1" x14ac:dyDescent="0.2">
      <c r="A2863" s="735" t="s">
        <v>7733</v>
      </c>
      <c r="B2863" s="735" t="s">
        <v>2170</v>
      </c>
      <c r="C2863" s="735" t="s">
        <v>451</v>
      </c>
      <c r="D2863" s="644" t="s">
        <v>9043</v>
      </c>
      <c r="E2863" s="736">
        <v>4000</v>
      </c>
      <c r="F2863" s="737" t="s">
        <v>9679</v>
      </c>
      <c r="G2863" s="636" t="s">
        <v>9680</v>
      </c>
      <c r="H2863" s="636" t="s">
        <v>8000</v>
      </c>
      <c r="I2863" s="636" t="s">
        <v>8246</v>
      </c>
      <c r="J2863" s="644" t="s">
        <v>642</v>
      </c>
      <c r="K2863" s="753">
        <v>12</v>
      </c>
      <c r="L2863" s="754">
        <v>12</v>
      </c>
      <c r="M2863" s="736">
        <v>49960.800000000003</v>
      </c>
      <c r="N2863" s="744"/>
      <c r="O2863" s="739"/>
      <c r="P2863" s="739"/>
      <c r="Q2863" s="214"/>
    </row>
    <row r="2864" spans="1:17" ht="12" customHeight="1" x14ac:dyDescent="0.2">
      <c r="A2864" s="735" t="s">
        <v>7733</v>
      </c>
      <c r="B2864" s="735" t="s">
        <v>2170</v>
      </c>
      <c r="C2864" s="735" t="s">
        <v>451</v>
      </c>
      <c r="D2864" s="644" t="s">
        <v>9681</v>
      </c>
      <c r="E2864" s="736">
        <v>3200</v>
      </c>
      <c r="F2864" s="737" t="s">
        <v>9682</v>
      </c>
      <c r="G2864" s="636" t="s">
        <v>9683</v>
      </c>
      <c r="H2864" s="636" t="s">
        <v>7820</v>
      </c>
      <c r="I2864" s="636" t="s">
        <v>8014</v>
      </c>
      <c r="J2864" s="644" t="s">
        <v>643</v>
      </c>
      <c r="K2864" s="753">
        <v>7</v>
      </c>
      <c r="L2864" s="754">
        <v>12</v>
      </c>
      <c r="M2864" s="736">
        <v>40360.800000000003</v>
      </c>
      <c r="N2864" s="744"/>
      <c r="O2864" s="739"/>
      <c r="P2864" s="739"/>
      <c r="Q2864" s="214"/>
    </row>
    <row r="2865" spans="1:17" ht="12" customHeight="1" x14ac:dyDescent="0.2">
      <c r="A2865" s="735" t="s">
        <v>7733</v>
      </c>
      <c r="B2865" s="735" t="s">
        <v>2170</v>
      </c>
      <c r="C2865" s="735" t="s">
        <v>451</v>
      </c>
      <c r="D2865" s="644" t="s">
        <v>7921</v>
      </c>
      <c r="E2865" s="736">
        <v>4000</v>
      </c>
      <c r="F2865" s="737" t="s">
        <v>9684</v>
      </c>
      <c r="G2865" s="636" t="s">
        <v>9685</v>
      </c>
      <c r="H2865" s="636" t="s">
        <v>6571</v>
      </c>
      <c r="I2865" s="636" t="s">
        <v>2179</v>
      </c>
      <c r="J2865" s="644"/>
      <c r="K2865" s="753">
        <v>4</v>
      </c>
      <c r="L2865" s="754">
        <v>6</v>
      </c>
      <c r="M2865" s="736">
        <v>25960.799999999999</v>
      </c>
      <c r="N2865" s="744"/>
      <c r="O2865" s="739"/>
      <c r="P2865" s="739"/>
      <c r="Q2865" s="214"/>
    </row>
    <row r="2866" spans="1:17" ht="12" customHeight="1" x14ac:dyDescent="0.2">
      <c r="A2866" s="735" t="s">
        <v>7733</v>
      </c>
      <c r="B2866" s="735" t="s">
        <v>2170</v>
      </c>
      <c r="C2866" s="735" t="s">
        <v>451</v>
      </c>
      <c r="D2866" s="644" t="s">
        <v>9686</v>
      </c>
      <c r="E2866" s="736">
        <v>6000</v>
      </c>
      <c r="F2866" s="737" t="s">
        <v>9687</v>
      </c>
      <c r="G2866" s="636" t="s">
        <v>9688</v>
      </c>
      <c r="H2866" s="636" t="s">
        <v>6571</v>
      </c>
      <c r="I2866" s="636" t="s">
        <v>2179</v>
      </c>
      <c r="J2866" s="644" t="s">
        <v>642</v>
      </c>
      <c r="K2866" s="753">
        <v>5</v>
      </c>
      <c r="L2866" s="754">
        <v>12</v>
      </c>
      <c r="M2866" s="736">
        <v>73960.800000000003</v>
      </c>
      <c r="N2866" s="744"/>
      <c r="O2866" s="739"/>
      <c r="P2866" s="739"/>
      <c r="Q2866" s="214"/>
    </row>
    <row r="2867" spans="1:17" ht="12" customHeight="1" x14ac:dyDescent="0.2">
      <c r="A2867" s="735" t="s">
        <v>7733</v>
      </c>
      <c r="B2867" s="735" t="s">
        <v>2170</v>
      </c>
      <c r="C2867" s="735" t="s">
        <v>451</v>
      </c>
      <c r="D2867" s="644" t="s">
        <v>8041</v>
      </c>
      <c r="E2867" s="736">
        <v>2000</v>
      </c>
      <c r="F2867" s="737" t="s">
        <v>9689</v>
      </c>
      <c r="G2867" s="636" t="s">
        <v>9690</v>
      </c>
      <c r="H2867" s="636"/>
      <c r="I2867" s="636"/>
      <c r="J2867" s="644" t="s">
        <v>643</v>
      </c>
      <c r="K2867" s="753">
        <v>12</v>
      </c>
      <c r="L2867" s="754">
        <v>12</v>
      </c>
      <c r="M2867" s="736">
        <v>25960.799999999999</v>
      </c>
      <c r="N2867" s="744"/>
      <c r="O2867" s="739"/>
      <c r="P2867" s="739"/>
      <c r="Q2867" s="214"/>
    </row>
    <row r="2868" spans="1:17" ht="12" customHeight="1" x14ac:dyDescent="0.2">
      <c r="A2868" s="735" t="s">
        <v>7733</v>
      </c>
      <c r="B2868" s="735" t="s">
        <v>2170</v>
      </c>
      <c r="C2868" s="735" t="s">
        <v>451</v>
      </c>
      <c r="D2868" s="644" t="s">
        <v>5538</v>
      </c>
      <c r="E2868" s="736">
        <v>5000</v>
      </c>
      <c r="F2868" s="737" t="s">
        <v>9691</v>
      </c>
      <c r="G2868" s="636" t="s">
        <v>9692</v>
      </c>
      <c r="H2868" s="636" t="s">
        <v>2228</v>
      </c>
      <c r="I2868" s="636" t="s">
        <v>2228</v>
      </c>
      <c r="J2868" s="644"/>
      <c r="K2868" s="753">
        <v>2</v>
      </c>
      <c r="L2868" s="754">
        <v>3</v>
      </c>
      <c r="M2868" s="736">
        <v>16960.8</v>
      </c>
      <c r="N2868" s="744"/>
      <c r="O2868" s="739"/>
      <c r="P2868" s="739"/>
      <c r="Q2868" s="214"/>
    </row>
    <row r="2869" spans="1:17" ht="12" customHeight="1" x14ac:dyDescent="0.2">
      <c r="A2869" s="735" t="s">
        <v>7733</v>
      </c>
      <c r="B2869" s="735" t="s">
        <v>2170</v>
      </c>
      <c r="C2869" s="735" t="s">
        <v>451</v>
      </c>
      <c r="D2869" s="644" t="s">
        <v>7921</v>
      </c>
      <c r="E2869" s="736">
        <v>4000</v>
      </c>
      <c r="F2869" s="737" t="s">
        <v>9693</v>
      </c>
      <c r="G2869" s="636" t="s">
        <v>9694</v>
      </c>
      <c r="H2869" s="636"/>
      <c r="I2869" s="636"/>
      <c r="J2869" s="644" t="s">
        <v>642</v>
      </c>
      <c r="K2869" s="753">
        <v>12</v>
      </c>
      <c r="L2869" s="754">
        <v>12</v>
      </c>
      <c r="M2869" s="736">
        <v>49960.800000000003</v>
      </c>
      <c r="N2869" s="744"/>
      <c r="O2869" s="739"/>
      <c r="P2869" s="739"/>
      <c r="Q2869" s="214"/>
    </row>
    <row r="2870" spans="1:17" ht="12" customHeight="1" x14ac:dyDescent="0.2">
      <c r="A2870" s="735" t="s">
        <v>7733</v>
      </c>
      <c r="B2870" s="735" t="s">
        <v>2170</v>
      </c>
      <c r="C2870" s="735" t="s">
        <v>451</v>
      </c>
      <c r="D2870" s="644" t="s">
        <v>9396</v>
      </c>
      <c r="E2870" s="736">
        <v>4000</v>
      </c>
      <c r="F2870" s="737" t="s">
        <v>9695</v>
      </c>
      <c r="G2870" s="636" t="s">
        <v>9696</v>
      </c>
      <c r="H2870" s="636" t="s">
        <v>2228</v>
      </c>
      <c r="I2870" s="636" t="s">
        <v>2228</v>
      </c>
      <c r="J2870" s="644"/>
      <c r="K2870" s="753">
        <v>2</v>
      </c>
      <c r="L2870" s="754">
        <v>2</v>
      </c>
      <c r="M2870" s="736">
        <v>9960.7999999999993</v>
      </c>
      <c r="N2870" s="744"/>
      <c r="O2870" s="739"/>
      <c r="P2870" s="739"/>
      <c r="Q2870" s="214"/>
    </row>
    <row r="2871" spans="1:17" ht="12" customHeight="1" x14ac:dyDescent="0.2">
      <c r="A2871" s="735" t="s">
        <v>7733</v>
      </c>
      <c r="B2871" s="735" t="s">
        <v>2170</v>
      </c>
      <c r="C2871" s="735" t="s">
        <v>451</v>
      </c>
      <c r="D2871" s="644" t="s">
        <v>9697</v>
      </c>
      <c r="E2871" s="736">
        <v>6000</v>
      </c>
      <c r="F2871" s="737" t="s">
        <v>9698</v>
      </c>
      <c r="G2871" s="636" t="s">
        <v>9699</v>
      </c>
      <c r="H2871" s="636" t="s">
        <v>9700</v>
      </c>
      <c r="I2871" s="636" t="s">
        <v>2787</v>
      </c>
      <c r="J2871" s="644" t="s">
        <v>642</v>
      </c>
      <c r="K2871" s="753">
        <v>5</v>
      </c>
      <c r="L2871" s="754">
        <v>12</v>
      </c>
      <c r="M2871" s="736">
        <v>73960.800000000003</v>
      </c>
      <c r="N2871" s="744"/>
      <c r="O2871" s="739"/>
      <c r="P2871" s="739"/>
      <c r="Q2871" s="214"/>
    </row>
    <row r="2872" spans="1:17" ht="12" customHeight="1" x14ac:dyDescent="0.2">
      <c r="A2872" s="735" t="s">
        <v>7733</v>
      </c>
      <c r="B2872" s="735" t="s">
        <v>2170</v>
      </c>
      <c r="C2872" s="735" t="s">
        <v>451</v>
      </c>
      <c r="D2872" s="644" t="s">
        <v>9701</v>
      </c>
      <c r="E2872" s="736">
        <v>6500</v>
      </c>
      <c r="F2872" s="737" t="s">
        <v>9702</v>
      </c>
      <c r="G2872" s="636" t="s">
        <v>9703</v>
      </c>
      <c r="H2872" s="636" t="s">
        <v>8022</v>
      </c>
      <c r="I2872" s="636" t="s">
        <v>7879</v>
      </c>
      <c r="J2872" s="644" t="s">
        <v>642</v>
      </c>
      <c r="K2872" s="753">
        <v>4</v>
      </c>
      <c r="L2872" s="754">
        <v>12</v>
      </c>
      <c r="M2872" s="736">
        <v>79960.800000000003</v>
      </c>
      <c r="N2872" s="744"/>
      <c r="O2872" s="739"/>
      <c r="P2872" s="739"/>
      <c r="Q2872" s="214"/>
    </row>
    <row r="2873" spans="1:17" ht="12" customHeight="1" x14ac:dyDescent="0.2">
      <c r="A2873" s="735" t="s">
        <v>7733</v>
      </c>
      <c r="B2873" s="735" t="s">
        <v>2170</v>
      </c>
      <c r="C2873" s="735" t="s">
        <v>451</v>
      </c>
      <c r="D2873" s="644" t="s">
        <v>9704</v>
      </c>
      <c r="E2873" s="736">
        <v>1600</v>
      </c>
      <c r="F2873" s="737" t="s">
        <v>9705</v>
      </c>
      <c r="G2873" s="636" t="s">
        <v>9706</v>
      </c>
      <c r="H2873" s="636" t="s">
        <v>3754</v>
      </c>
      <c r="I2873" s="636" t="s">
        <v>2979</v>
      </c>
      <c r="J2873" s="644" t="s">
        <v>643</v>
      </c>
      <c r="K2873" s="753">
        <v>12</v>
      </c>
      <c r="L2873" s="754">
        <v>12</v>
      </c>
      <c r="M2873" s="736">
        <v>21528</v>
      </c>
      <c r="N2873" s="744"/>
      <c r="O2873" s="739"/>
      <c r="P2873" s="739"/>
      <c r="Q2873" s="214"/>
    </row>
    <row r="2874" spans="1:17" ht="12" customHeight="1" x14ac:dyDescent="0.2">
      <c r="A2874" s="735" t="s">
        <v>7733</v>
      </c>
      <c r="B2874" s="735" t="s">
        <v>2170</v>
      </c>
      <c r="C2874" s="735" t="s">
        <v>451</v>
      </c>
      <c r="D2874" s="644" t="s">
        <v>9707</v>
      </c>
      <c r="E2874" s="736">
        <v>4000</v>
      </c>
      <c r="F2874" s="737" t="s">
        <v>9708</v>
      </c>
      <c r="G2874" s="636" t="s">
        <v>9709</v>
      </c>
      <c r="H2874" s="636" t="s">
        <v>2228</v>
      </c>
      <c r="I2874" s="636" t="s">
        <v>2228</v>
      </c>
      <c r="J2874" s="644"/>
      <c r="K2874" s="753">
        <v>1</v>
      </c>
      <c r="L2874" s="754">
        <v>3</v>
      </c>
      <c r="M2874" s="736">
        <v>13960.8</v>
      </c>
      <c r="N2874" s="744"/>
      <c r="O2874" s="739"/>
      <c r="P2874" s="739"/>
      <c r="Q2874" s="214"/>
    </row>
    <row r="2875" spans="1:17" ht="12" customHeight="1" x14ac:dyDescent="0.2">
      <c r="A2875" s="735" t="s">
        <v>7733</v>
      </c>
      <c r="B2875" s="735" t="s">
        <v>2170</v>
      </c>
      <c r="C2875" s="735" t="s">
        <v>451</v>
      </c>
      <c r="D2875" s="644" t="s">
        <v>7779</v>
      </c>
      <c r="E2875" s="736">
        <v>4000</v>
      </c>
      <c r="F2875" s="737" t="s">
        <v>9710</v>
      </c>
      <c r="G2875" s="636" t="s">
        <v>9711</v>
      </c>
      <c r="H2875" s="636" t="s">
        <v>8000</v>
      </c>
      <c r="I2875" s="636" t="s">
        <v>2478</v>
      </c>
      <c r="J2875" s="644" t="s">
        <v>642</v>
      </c>
      <c r="K2875" s="753">
        <v>12</v>
      </c>
      <c r="L2875" s="754">
        <v>12</v>
      </c>
      <c r="M2875" s="736">
        <v>49960.800000000003</v>
      </c>
      <c r="N2875" s="744"/>
      <c r="O2875" s="739"/>
      <c r="P2875" s="739"/>
      <c r="Q2875" s="214"/>
    </row>
    <row r="2876" spans="1:17" ht="12" customHeight="1" x14ac:dyDescent="0.2">
      <c r="A2876" s="735" t="s">
        <v>7733</v>
      </c>
      <c r="B2876" s="735" t="s">
        <v>2170</v>
      </c>
      <c r="C2876" s="735" t="s">
        <v>451</v>
      </c>
      <c r="D2876" s="644" t="s">
        <v>8268</v>
      </c>
      <c r="E2876" s="736">
        <v>2200</v>
      </c>
      <c r="F2876" s="737" t="s">
        <v>9712</v>
      </c>
      <c r="G2876" s="636" t="s">
        <v>9713</v>
      </c>
      <c r="H2876" s="636" t="s">
        <v>7858</v>
      </c>
      <c r="I2876" s="636"/>
      <c r="J2876" s="644" t="s">
        <v>643</v>
      </c>
      <c r="K2876" s="753">
        <v>1</v>
      </c>
      <c r="L2876" s="754">
        <v>3</v>
      </c>
      <c r="M2876" s="736">
        <v>8560.7999999999993</v>
      </c>
      <c r="N2876" s="744"/>
      <c r="O2876" s="739"/>
      <c r="P2876" s="739"/>
      <c r="Q2876" s="214"/>
    </row>
    <row r="2877" spans="1:17" ht="12" customHeight="1" x14ac:dyDescent="0.2">
      <c r="A2877" s="735" t="s">
        <v>7733</v>
      </c>
      <c r="B2877" s="735" t="s">
        <v>2170</v>
      </c>
      <c r="C2877" s="735" t="s">
        <v>451</v>
      </c>
      <c r="D2877" s="644" t="s">
        <v>8247</v>
      </c>
      <c r="E2877" s="736">
        <v>4000</v>
      </c>
      <c r="F2877" s="737" t="s">
        <v>9714</v>
      </c>
      <c r="G2877" s="636" t="s">
        <v>9715</v>
      </c>
      <c r="H2877" s="636" t="s">
        <v>2365</v>
      </c>
      <c r="I2877" s="636" t="s">
        <v>7782</v>
      </c>
      <c r="J2877" s="644" t="s">
        <v>642</v>
      </c>
      <c r="K2877" s="753">
        <v>5</v>
      </c>
      <c r="L2877" s="754">
        <v>12</v>
      </c>
      <c r="M2877" s="736">
        <v>49960.800000000003</v>
      </c>
      <c r="N2877" s="744"/>
      <c r="O2877" s="739"/>
      <c r="P2877" s="739"/>
      <c r="Q2877" s="214"/>
    </row>
    <row r="2878" spans="1:17" ht="12" customHeight="1" x14ac:dyDescent="0.2">
      <c r="A2878" s="735" t="s">
        <v>7733</v>
      </c>
      <c r="B2878" s="735" t="s">
        <v>2170</v>
      </c>
      <c r="C2878" s="735" t="s">
        <v>451</v>
      </c>
      <c r="D2878" s="644" t="s">
        <v>8236</v>
      </c>
      <c r="E2878" s="736">
        <v>4000</v>
      </c>
      <c r="F2878" s="737" t="s">
        <v>9716</v>
      </c>
      <c r="G2878" s="636" t="s">
        <v>9717</v>
      </c>
      <c r="H2878" s="636" t="s">
        <v>7816</v>
      </c>
      <c r="I2878" s="636" t="s">
        <v>3328</v>
      </c>
      <c r="J2878" s="644" t="s">
        <v>642</v>
      </c>
      <c r="K2878" s="753">
        <v>1</v>
      </c>
      <c r="L2878" s="754">
        <v>1</v>
      </c>
      <c r="M2878" s="736">
        <v>5960.8</v>
      </c>
      <c r="N2878" s="744"/>
      <c r="O2878" s="739"/>
      <c r="P2878" s="739"/>
      <c r="Q2878" s="214"/>
    </row>
    <row r="2879" spans="1:17" ht="12" customHeight="1" x14ac:dyDescent="0.2">
      <c r="A2879" s="735" t="s">
        <v>7733</v>
      </c>
      <c r="B2879" s="735" t="s">
        <v>2170</v>
      </c>
      <c r="C2879" s="735" t="s">
        <v>451</v>
      </c>
      <c r="D2879" s="644" t="s">
        <v>8172</v>
      </c>
      <c r="E2879" s="736">
        <v>3500</v>
      </c>
      <c r="F2879" s="737" t="s">
        <v>9718</v>
      </c>
      <c r="G2879" s="636" t="s">
        <v>9719</v>
      </c>
      <c r="H2879" s="636" t="s">
        <v>7782</v>
      </c>
      <c r="I2879" s="636" t="s">
        <v>3760</v>
      </c>
      <c r="J2879" s="644" t="s">
        <v>643</v>
      </c>
      <c r="K2879" s="753">
        <v>12</v>
      </c>
      <c r="L2879" s="754">
        <v>12</v>
      </c>
      <c r="M2879" s="736">
        <v>43960.800000000003</v>
      </c>
      <c r="N2879" s="744"/>
      <c r="O2879" s="739"/>
      <c r="P2879" s="739"/>
      <c r="Q2879" s="214"/>
    </row>
    <row r="2880" spans="1:17" ht="12" customHeight="1" x14ac:dyDescent="0.2">
      <c r="A2880" s="735" t="s">
        <v>7733</v>
      </c>
      <c r="B2880" s="735" t="s">
        <v>2170</v>
      </c>
      <c r="C2880" s="735" t="s">
        <v>451</v>
      </c>
      <c r="D2880" s="644" t="s">
        <v>7855</v>
      </c>
      <c r="E2880" s="736">
        <v>1500</v>
      </c>
      <c r="F2880" s="737" t="s">
        <v>9720</v>
      </c>
      <c r="G2880" s="636" t="s">
        <v>9721</v>
      </c>
      <c r="H2880" s="636" t="s">
        <v>7152</v>
      </c>
      <c r="I2880" s="636" t="s">
        <v>2317</v>
      </c>
      <c r="J2880" s="644" t="s">
        <v>644</v>
      </c>
      <c r="K2880" s="753">
        <v>12</v>
      </c>
      <c r="L2880" s="754">
        <v>12</v>
      </c>
      <c r="M2880" s="736">
        <v>20220</v>
      </c>
      <c r="N2880" s="744"/>
      <c r="O2880" s="739"/>
      <c r="P2880" s="739"/>
      <c r="Q2880" s="214"/>
    </row>
    <row r="2881" spans="1:17" ht="12" customHeight="1" x14ac:dyDescent="0.2">
      <c r="A2881" s="735" t="s">
        <v>7733</v>
      </c>
      <c r="B2881" s="735" t="s">
        <v>2170</v>
      </c>
      <c r="C2881" s="735" t="s">
        <v>451</v>
      </c>
      <c r="D2881" s="644" t="s">
        <v>7871</v>
      </c>
      <c r="E2881" s="736">
        <v>4000</v>
      </c>
      <c r="F2881" s="737" t="s">
        <v>9722</v>
      </c>
      <c r="G2881" s="636" t="s">
        <v>9723</v>
      </c>
      <c r="H2881" s="636" t="s">
        <v>2365</v>
      </c>
      <c r="I2881" s="636" t="s">
        <v>2208</v>
      </c>
      <c r="J2881" s="644" t="s">
        <v>642</v>
      </c>
      <c r="K2881" s="753">
        <v>1</v>
      </c>
      <c r="L2881" s="754">
        <v>3</v>
      </c>
      <c r="M2881" s="736">
        <v>13960.8</v>
      </c>
      <c r="N2881" s="744"/>
      <c r="O2881" s="739"/>
      <c r="P2881" s="739"/>
      <c r="Q2881" s="214"/>
    </row>
    <row r="2882" spans="1:17" ht="12" customHeight="1" x14ac:dyDescent="0.2">
      <c r="A2882" s="735" t="s">
        <v>7733</v>
      </c>
      <c r="B2882" s="735" t="s">
        <v>2170</v>
      </c>
      <c r="C2882" s="735" t="s">
        <v>451</v>
      </c>
      <c r="D2882" s="644" t="s">
        <v>8268</v>
      </c>
      <c r="E2882" s="736">
        <v>2200</v>
      </c>
      <c r="F2882" s="737" t="s">
        <v>9724</v>
      </c>
      <c r="G2882" s="636" t="s">
        <v>9725</v>
      </c>
      <c r="H2882" s="636" t="s">
        <v>8282</v>
      </c>
      <c r="I2882" s="636" t="s">
        <v>9726</v>
      </c>
      <c r="J2882" s="644" t="s">
        <v>644</v>
      </c>
      <c r="K2882" s="753">
        <v>12</v>
      </c>
      <c r="L2882" s="754">
        <v>12</v>
      </c>
      <c r="M2882" s="736">
        <v>28360.799999999999</v>
      </c>
      <c r="N2882" s="744"/>
      <c r="O2882" s="739"/>
      <c r="P2882" s="739"/>
      <c r="Q2882" s="214"/>
    </row>
    <row r="2883" spans="1:17" ht="12" customHeight="1" x14ac:dyDescent="0.2">
      <c r="A2883" s="735" t="s">
        <v>7733</v>
      </c>
      <c r="B2883" s="735" t="s">
        <v>2170</v>
      </c>
      <c r="C2883" s="735" t="s">
        <v>451</v>
      </c>
      <c r="D2883" s="644" t="s">
        <v>9402</v>
      </c>
      <c r="E2883" s="736">
        <v>2500</v>
      </c>
      <c r="F2883" s="737" t="s">
        <v>9727</v>
      </c>
      <c r="G2883" s="636" t="s">
        <v>9728</v>
      </c>
      <c r="H2883" s="636" t="s">
        <v>8354</v>
      </c>
      <c r="I2883" s="636" t="s">
        <v>3057</v>
      </c>
      <c r="J2883" s="644" t="s">
        <v>642</v>
      </c>
      <c r="K2883" s="753">
        <v>1</v>
      </c>
      <c r="L2883" s="754">
        <v>12</v>
      </c>
      <c r="M2883" s="736">
        <v>31960.799999999999</v>
      </c>
      <c r="N2883" s="744"/>
      <c r="O2883" s="739"/>
      <c r="P2883" s="739"/>
      <c r="Q2883" s="214"/>
    </row>
    <row r="2884" spans="1:17" ht="12" customHeight="1" x14ac:dyDescent="0.2">
      <c r="A2884" s="735" t="s">
        <v>7733</v>
      </c>
      <c r="B2884" s="735" t="s">
        <v>2170</v>
      </c>
      <c r="C2884" s="735" t="s">
        <v>451</v>
      </c>
      <c r="D2884" s="644" t="s">
        <v>9325</v>
      </c>
      <c r="E2884" s="736">
        <v>6000</v>
      </c>
      <c r="F2884" s="737" t="s">
        <v>9729</v>
      </c>
      <c r="G2884" s="636" t="s">
        <v>9730</v>
      </c>
      <c r="H2884" s="636" t="s">
        <v>6571</v>
      </c>
      <c r="I2884" s="636" t="s">
        <v>2179</v>
      </c>
      <c r="J2884" s="644" t="s">
        <v>642</v>
      </c>
      <c r="K2884" s="753">
        <v>4</v>
      </c>
      <c r="L2884" s="754">
        <v>9</v>
      </c>
      <c r="M2884" s="736">
        <v>55960.800000000003</v>
      </c>
      <c r="N2884" s="744"/>
      <c r="O2884" s="739"/>
      <c r="P2884" s="739"/>
      <c r="Q2884" s="214"/>
    </row>
    <row r="2885" spans="1:17" ht="12" customHeight="1" x14ac:dyDescent="0.2">
      <c r="A2885" s="735" t="s">
        <v>7733</v>
      </c>
      <c r="B2885" s="735" t="s">
        <v>2170</v>
      </c>
      <c r="C2885" s="735" t="s">
        <v>451</v>
      </c>
      <c r="D2885" s="644" t="s">
        <v>9731</v>
      </c>
      <c r="E2885" s="736">
        <v>5000</v>
      </c>
      <c r="F2885" s="737" t="s">
        <v>9732</v>
      </c>
      <c r="G2885" s="636" t="s">
        <v>9733</v>
      </c>
      <c r="H2885" s="636"/>
      <c r="I2885" s="636"/>
      <c r="J2885" s="644" t="s">
        <v>642</v>
      </c>
      <c r="K2885" s="753">
        <v>5</v>
      </c>
      <c r="L2885" s="754">
        <v>12</v>
      </c>
      <c r="M2885" s="736">
        <v>61960.800000000003</v>
      </c>
      <c r="N2885" s="744"/>
      <c r="O2885" s="739"/>
      <c r="P2885" s="739"/>
      <c r="Q2885" s="214"/>
    </row>
    <row r="2886" spans="1:17" ht="12" customHeight="1" x14ac:dyDescent="0.2">
      <c r="A2886" s="735" t="s">
        <v>7733</v>
      </c>
      <c r="B2886" s="735" t="s">
        <v>2170</v>
      </c>
      <c r="C2886" s="735" t="s">
        <v>451</v>
      </c>
      <c r="D2886" s="644" t="s">
        <v>7786</v>
      </c>
      <c r="E2886" s="736">
        <v>6000</v>
      </c>
      <c r="F2886" s="737" t="s">
        <v>9734</v>
      </c>
      <c r="G2886" s="636" t="s">
        <v>9735</v>
      </c>
      <c r="H2886" s="636"/>
      <c r="I2886" s="636"/>
      <c r="J2886" s="644" t="s">
        <v>642</v>
      </c>
      <c r="K2886" s="753">
        <v>1</v>
      </c>
      <c r="L2886" s="754">
        <v>2</v>
      </c>
      <c r="M2886" s="736">
        <v>13960.8</v>
      </c>
      <c r="N2886" s="744"/>
      <c r="O2886" s="739"/>
      <c r="P2886" s="739"/>
      <c r="Q2886" s="214"/>
    </row>
    <row r="2887" spans="1:17" ht="12" customHeight="1" x14ac:dyDescent="0.2">
      <c r="A2887" s="735" t="s">
        <v>7733</v>
      </c>
      <c r="B2887" s="735" t="s">
        <v>2170</v>
      </c>
      <c r="C2887" s="735" t="s">
        <v>451</v>
      </c>
      <c r="D2887" s="644" t="s">
        <v>8268</v>
      </c>
      <c r="E2887" s="736">
        <v>2200</v>
      </c>
      <c r="F2887" s="737" t="s">
        <v>9736</v>
      </c>
      <c r="G2887" s="636" t="s">
        <v>9737</v>
      </c>
      <c r="H2887" s="636" t="s">
        <v>9738</v>
      </c>
      <c r="I2887" s="636" t="s">
        <v>7917</v>
      </c>
      <c r="J2887" s="644" t="s">
        <v>643</v>
      </c>
      <c r="K2887" s="753">
        <v>12</v>
      </c>
      <c r="L2887" s="754">
        <v>12</v>
      </c>
      <c r="M2887" s="736">
        <v>28360.799999999999</v>
      </c>
      <c r="N2887" s="744"/>
      <c r="O2887" s="739"/>
      <c r="P2887" s="739"/>
      <c r="Q2887" s="214"/>
    </row>
    <row r="2888" spans="1:17" ht="12" customHeight="1" x14ac:dyDescent="0.2">
      <c r="A2888" s="735" t="s">
        <v>7733</v>
      </c>
      <c r="B2888" s="735" t="s">
        <v>2170</v>
      </c>
      <c r="C2888" s="735" t="s">
        <v>451</v>
      </c>
      <c r="D2888" s="644" t="s">
        <v>7786</v>
      </c>
      <c r="E2888" s="736">
        <v>4000</v>
      </c>
      <c r="F2888" s="737" t="s">
        <v>9739</v>
      </c>
      <c r="G2888" s="636" t="s">
        <v>9740</v>
      </c>
      <c r="H2888" s="636" t="s">
        <v>7752</v>
      </c>
      <c r="I2888" s="636" t="s">
        <v>2179</v>
      </c>
      <c r="J2888" s="644" t="s">
        <v>642</v>
      </c>
      <c r="K2888" s="753">
        <v>12</v>
      </c>
      <c r="L2888" s="754">
        <v>12</v>
      </c>
      <c r="M2888" s="736">
        <v>49960.800000000003</v>
      </c>
      <c r="N2888" s="744"/>
      <c r="O2888" s="739"/>
      <c r="P2888" s="739"/>
      <c r="Q2888" s="214"/>
    </row>
    <row r="2889" spans="1:17" ht="12" customHeight="1" x14ac:dyDescent="0.2">
      <c r="A2889" s="735" t="s">
        <v>7733</v>
      </c>
      <c r="B2889" s="735" t="s">
        <v>2170</v>
      </c>
      <c r="C2889" s="735" t="s">
        <v>451</v>
      </c>
      <c r="D2889" s="644" t="s">
        <v>7855</v>
      </c>
      <c r="E2889" s="736">
        <v>2200</v>
      </c>
      <c r="F2889" s="737" t="s">
        <v>9741</v>
      </c>
      <c r="G2889" s="636" t="s">
        <v>9742</v>
      </c>
      <c r="H2889" s="636" t="s">
        <v>8536</v>
      </c>
      <c r="I2889" s="636" t="s">
        <v>9743</v>
      </c>
      <c r="J2889" s="644" t="s">
        <v>644</v>
      </c>
      <c r="K2889" s="753">
        <v>12</v>
      </c>
      <c r="L2889" s="754">
        <v>12</v>
      </c>
      <c r="M2889" s="736">
        <v>28360.799999999999</v>
      </c>
      <c r="N2889" s="744"/>
      <c r="O2889" s="739"/>
      <c r="P2889" s="739"/>
      <c r="Q2889" s="214"/>
    </row>
    <row r="2890" spans="1:17" ht="12" customHeight="1" x14ac:dyDescent="0.2">
      <c r="A2890" s="735" t="s">
        <v>7733</v>
      </c>
      <c r="B2890" s="735" t="s">
        <v>2170</v>
      </c>
      <c r="C2890" s="735" t="s">
        <v>451</v>
      </c>
      <c r="D2890" s="644" t="s">
        <v>7843</v>
      </c>
      <c r="E2890" s="736">
        <v>4000</v>
      </c>
      <c r="F2890" s="737" t="s">
        <v>9744</v>
      </c>
      <c r="G2890" s="636" t="s">
        <v>9745</v>
      </c>
      <c r="H2890" s="636" t="s">
        <v>6613</v>
      </c>
      <c r="I2890" s="636" t="s">
        <v>7974</v>
      </c>
      <c r="J2890" s="644" t="s">
        <v>642</v>
      </c>
      <c r="K2890" s="753">
        <v>12</v>
      </c>
      <c r="L2890" s="754">
        <v>12</v>
      </c>
      <c r="M2890" s="736">
        <v>49960.800000000003</v>
      </c>
      <c r="N2890" s="744"/>
      <c r="O2890" s="739"/>
      <c r="P2890" s="739"/>
      <c r="Q2890" s="214"/>
    </row>
    <row r="2891" spans="1:17" ht="12" customHeight="1" x14ac:dyDescent="0.2">
      <c r="A2891" s="735" t="s">
        <v>7733</v>
      </c>
      <c r="B2891" s="735" t="s">
        <v>2170</v>
      </c>
      <c r="C2891" s="735" t="s">
        <v>451</v>
      </c>
      <c r="D2891" s="644" t="s">
        <v>8401</v>
      </c>
      <c r="E2891" s="736">
        <v>5000</v>
      </c>
      <c r="F2891" s="737" t="s">
        <v>9746</v>
      </c>
      <c r="G2891" s="636" t="s">
        <v>9747</v>
      </c>
      <c r="H2891" s="636" t="s">
        <v>6571</v>
      </c>
      <c r="I2891" s="636" t="s">
        <v>2179</v>
      </c>
      <c r="J2891" s="644" t="s">
        <v>642</v>
      </c>
      <c r="K2891" s="753">
        <v>12</v>
      </c>
      <c r="L2891" s="754">
        <v>12</v>
      </c>
      <c r="M2891" s="736">
        <v>61960.800000000003</v>
      </c>
      <c r="N2891" s="744"/>
      <c r="O2891" s="739"/>
      <c r="P2891" s="739"/>
      <c r="Q2891" s="214"/>
    </row>
    <row r="2892" spans="1:17" ht="12" customHeight="1" x14ac:dyDescent="0.2">
      <c r="A2892" s="735" t="s">
        <v>7733</v>
      </c>
      <c r="B2892" s="735" t="s">
        <v>2170</v>
      </c>
      <c r="C2892" s="735" t="s">
        <v>451</v>
      </c>
      <c r="D2892" s="644" t="s">
        <v>7755</v>
      </c>
      <c r="E2892" s="736">
        <v>2500</v>
      </c>
      <c r="F2892" s="737" t="s">
        <v>9748</v>
      </c>
      <c r="G2892" s="636" t="s">
        <v>9749</v>
      </c>
      <c r="H2892" s="636"/>
      <c r="I2892" s="636"/>
      <c r="J2892" s="644" t="s">
        <v>642</v>
      </c>
      <c r="K2892" s="753">
        <v>12</v>
      </c>
      <c r="L2892" s="754">
        <v>12</v>
      </c>
      <c r="M2892" s="736">
        <v>31960.799999999999</v>
      </c>
      <c r="N2892" s="744"/>
      <c r="O2892" s="739"/>
      <c r="P2892" s="739"/>
      <c r="Q2892" s="214"/>
    </row>
    <row r="2893" spans="1:17" ht="12" customHeight="1" x14ac:dyDescent="0.2">
      <c r="A2893" s="735" t="s">
        <v>7733</v>
      </c>
      <c r="B2893" s="735" t="s">
        <v>2170</v>
      </c>
      <c r="C2893" s="735" t="s">
        <v>451</v>
      </c>
      <c r="D2893" s="644" t="s">
        <v>8045</v>
      </c>
      <c r="E2893" s="736">
        <v>2200</v>
      </c>
      <c r="F2893" s="737" t="s">
        <v>9750</v>
      </c>
      <c r="G2893" s="636" t="s">
        <v>9751</v>
      </c>
      <c r="H2893" s="636"/>
      <c r="I2893" s="636"/>
      <c r="J2893" s="644" t="s">
        <v>644</v>
      </c>
      <c r="K2893" s="753">
        <v>10</v>
      </c>
      <c r="L2893" s="754">
        <v>12</v>
      </c>
      <c r="M2893" s="736">
        <v>28360.799999999999</v>
      </c>
      <c r="N2893" s="744"/>
      <c r="O2893" s="739"/>
      <c r="P2893" s="739"/>
      <c r="Q2893" s="214"/>
    </row>
    <row r="2894" spans="1:17" ht="12" customHeight="1" x14ac:dyDescent="0.2">
      <c r="A2894" s="735" t="s">
        <v>7733</v>
      </c>
      <c r="B2894" s="735" t="s">
        <v>2170</v>
      </c>
      <c r="C2894" s="735" t="s">
        <v>451</v>
      </c>
      <c r="D2894" s="644" t="s">
        <v>8168</v>
      </c>
      <c r="E2894" s="736">
        <v>4500</v>
      </c>
      <c r="F2894" s="737" t="s">
        <v>9752</v>
      </c>
      <c r="G2894" s="636" t="s">
        <v>9753</v>
      </c>
      <c r="H2894" s="636" t="s">
        <v>6778</v>
      </c>
      <c r="I2894" s="636" t="s">
        <v>2174</v>
      </c>
      <c r="J2894" s="644" t="s">
        <v>642</v>
      </c>
      <c r="K2894" s="753">
        <v>1</v>
      </c>
      <c r="L2894" s="754">
        <v>1</v>
      </c>
      <c r="M2894" s="736">
        <v>6460.8</v>
      </c>
      <c r="N2894" s="744"/>
      <c r="O2894" s="739"/>
      <c r="P2894" s="739"/>
      <c r="Q2894" s="214"/>
    </row>
    <row r="2895" spans="1:17" ht="12" customHeight="1" x14ac:dyDescent="0.2">
      <c r="A2895" s="735" t="s">
        <v>7733</v>
      </c>
      <c r="B2895" s="735" t="s">
        <v>2170</v>
      </c>
      <c r="C2895" s="735" t="s">
        <v>451</v>
      </c>
      <c r="D2895" s="644" t="s">
        <v>8301</v>
      </c>
      <c r="E2895" s="736">
        <v>1600</v>
      </c>
      <c r="F2895" s="737" t="s">
        <v>9754</v>
      </c>
      <c r="G2895" s="636" t="s">
        <v>9755</v>
      </c>
      <c r="H2895" s="636" t="s">
        <v>9756</v>
      </c>
      <c r="I2895" s="636" t="s">
        <v>9757</v>
      </c>
      <c r="J2895" s="644" t="s">
        <v>643</v>
      </c>
      <c r="K2895" s="753">
        <v>12</v>
      </c>
      <c r="L2895" s="754">
        <v>12</v>
      </c>
      <c r="M2895" s="736">
        <v>21528</v>
      </c>
      <c r="N2895" s="744"/>
      <c r="O2895" s="739"/>
      <c r="P2895" s="739"/>
      <c r="Q2895" s="214"/>
    </row>
    <row r="2896" spans="1:17" ht="12" customHeight="1" x14ac:dyDescent="0.2">
      <c r="A2896" s="735" t="s">
        <v>7733</v>
      </c>
      <c r="B2896" s="735" t="s">
        <v>2170</v>
      </c>
      <c r="C2896" s="735" t="s">
        <v>451</v>
      </c>
      <c r="D2896" s="644" t="s">
        <v>9758</v>
      </c>
      <c r="E2896" s="736">
        <v>3400</v>
      </c>
      <c r="F2896" s="737" t="s">
        <v>9759</v>
      </c>
      <c r="G2896" s="636" t="s">
        <v>9760</v>
      </c>
      <c r="H2896" s="636" t="s">
        <v>7834</v>
      </c>
      <c r="I2896" s="636" t="s">
        <v>7835</v>
      </c>
      <c r="J2896" s="644" t="s">
        <v>642</v>
      </c>
      <c r="K2896" s="753">
        <v>1</v>
      </c>
      <c r="L2896" s="754">
        <v>10</v>
      </c>
      <c r="M2896" s="736">
        <v>35960.800000000003</v>
      </c>
      <c r="N2896" s="744"/>
      <c r="O2896" s="739"/>
      <c r="P2896" s="739"/>
      <c r="Q2896" s="214"/>
    </row>
    <row r="2897" spans="1:17" ht="12" customHeight="1" x14ac:dyDescent="0.2">
      <c r="A2897" s="735" t="s">
        <v>7733</v>
      </c>
      <c r="B2897" s="735" t="s">
        <v>2170</v>
      </c>
      <c r="C2897" s="735" t="s">
        <v>451</v>
      </c>
      <c r="D2897" s="644" t="s">
        <v>9761</v>
      </c>
      <c r="E2897" s="736">
        <v>10000</v>
      </c>
      <c r="F2897" s="737" t="s">
        <v>9762</v>
      </c>
      <c r="G2897" s="636" t="s">
        <v>9763</v>
      </c>
      <c r="H2897" s="636" t="s">
        <v>7834</v>
      </c>
      <c r="I2897" s="636" t="s">
        <v>7835</v>
      </c>
      <c r="J2897" s="644" t="s">
        <v>642</v>
      </c>
      <c r="K2897" s="753">
        <v>1</v>
      </c>
      <c r="L2897" s="754">
        <v>12</v>
      </c>
      <c r="M2897" s="736">
        <v>123960.8</v>
      </c>
      <c r="N2897" s="744"/>
      <c r="O2897" s="739"/>
      <c r="P2897" s="739"/>
      <c r="Q2897" s="214"/>
    </row>
    <row r="2898" spans="1:17" ht="12" customHeight="1" x14ac:dyDescent="0.2">
      <c r="A2898" s="735" t="s">
        <v>7733</v>
      </c>
      <c r="B2898" s="735" t="s">
        <v>2170</v>
      </c>
      <c r="C2898" s="735" t="s">
        <v>451</v>
      </c>
      <c r="D2898" s="644" t="s">
        <v>9764</v>
      </c>
      <c r="E2898" s="736">
        <v>6000</v>
      </c>
      <c r="F2898" s="737" t="s">
        <v>9765</v>
      </c>
      <c r="G2898" s="636" t="s">
        <v>9766</v>
      </c>
      <c r="H2898" s="636" t="s">
        <v>6571</v>
      </c>
      <c r="I2898" s="636" t="s">
        <v>2179</v>
      </c>
      <c r="J2898" s="644" t="s">
        <v>642</v>
      </c>
      <c r="K2898" s="753">
        <v>5</v>
      </c>
      <c r="L2898" s="754">
        <v>12</v>
      </c>
      <c r="M2898" s="736">
        <v>73960.800000000003</v>
      </c>
      <c r="N2898" s="744"/>
      <c r="O2898" s="739"/>
      <c r="P2898" s="739"/>
      <c r="Q2898" s="214"/>
    </row>
    <row r="2899" spans="1:17" ht="12" customHeight="1" x14ac:dyDescent="0.2">
      <c r="A2899" s="735" t="s">
        <v>7733</v>
      </c>
      <c r="B2899" s="735" t="s">
        <v>2170</v>
      </c>
      <c r="C2899" s="735" t="s">
        <v>451</v>
      </c>
      <c r="D2899" s="644" t="s">
        <v>8401</v>
      </c>
      <c r="E2899" s="736">
        <v>5000</v>
      </c>
      <c r="F2899" s="737" t="s">
        <v>9767</v>
      </c>
      <c r="G2899" s="636" t="s">
        <v>9768</v>
      </c>
      <c r="H2899" s="636" t="s">
        <v>7752</v>
      </c>
      <c r="I2899" s="636" t="s">
        <v>2179</v>
      </c>
      <c r="J2899" s="644" t="s">
        <v>642</v>
      </c>
      <c r="K2899" s="753">
        <v>12</v>
      </c>
      <c r="L2899" s="754">
        <v>12</v>
      </c>
      <c r="M2899" s="736">
        <v>61960.800000000003</v>
      </c>
      <c r="N2899" s="744"/>
      <c r="O2899" s="739"/>
      <c r="P2899" s="739"/>
      <c r="Q2899" s="214"/>
    </row>
    <row r="2900" spans="1:17" ht="12" customHeight="1" x14ac:dyDescent="0.2">
      <c r="A2900" s="735" t="s">
        <v>7733</v>
      </c>
      <c r="B2900" s="735" t="s">
        <v>2170</v>
      </c>
      <c r="C2900" s="735" t="s">
        <v>451</v>
      </c>
      <c r="D2900" s="644" t="s">
        <v>8445</v>
      </c>
      <c r="E2900" s="736">
        <v>2500</v>
      </c>
      <c r="F2900" s="737" t="s">
        <v>9769</v>
      </c>
      <c r="G2900" s="636" t="s">
        <v>9770</v>
      </c>
      <c r="H2900" s="636" t="s">
        <v>6571</v>
      </c>
      <c r="I2900" s="636" t="s">
        <v>2179</v>
      </c>
      <c r="J2900" s="644" t="s">
        <v>642</v>
      </c>
      <c r="K2900" s="753">
        <v>11</v>
      </c>
      <c r="L2900" s="754">
        <v>12</v>
      </c>
      <c r="M2900" s="736">
        <v>31960.799999999999</v>
      </c>
      <c r="N2900" s="744"/>
      <c r="O2900" s="739"/>
      <c r="P2900" s="739"/>
      <c r="Q2900" s="214"/>
    </row>
    <row r="2901" spans="1:17" ht="12" customHeight="1" x14ac:dyDescent="0.2">
      <c r="A2901" s="735" t="s">
        <v>7733</v>
      </c>
      <c r="B2901" s="735" t="s">
        <v>2170</v>
      </c>
      <c r="C2901" s="735" t="s">
        <v>451</v>
      </c>
      <c r="D2901" s="644" t="s">
        <v>8486</v>
      </c>
      <c r="E2901" s="736">
        <v>7500</v>
      </c>
      <c r="F2901" s="737" t="s">
        <v>9771</v>
      </c>
      <c r="G2901" s="636" t="s">
        <v>9772</v>
      </c>
      <c r="H2901" s="636" t="s">
        <v>6571</v>
      </c>
      <c r="I2901" s="636" t="s">
        <v>2179</v>
      </c>
      <c r="J2901" s="644" t="s">
        <v>642</v>
      </c>
      <c r="K2901" s="753">
        <v>5</v>
      </c>
      <c r="L2901" s="754">
        <v>12</v>
      </c>
      <c r="M2901" s="736">
        <v>91960.8</v>
      </c>
      <c r="N2901" s="744"/>
      <c r="O2901" s="739"/>
      <c r="P2901" s="739"/>
      <c r="Q2901" s="214"/>
    </row>
    <row r="2902" spans="1:17" ht="12" customHeight="1" x14ac:dyDescent="0.2">
      <c r="A2902" s="735" t="s">
        <v>7733</v>
      </c>
      <c r="B2902" s="735" t="s">
        <v>2170</v>
      </c>
      <c r="C2902" s="735" t="s">
        <v>451</v>
      </c>
      <c r="D2902" s="644" t="s">
        <v>7825</v>
      </c>
      <c r="E2902" s="736">
        <v>3000</v>
      </c>
      <c r="F2902" s="737" t="s">
        <v>9773</v>
      </c>
      <c r="G2902" s="636" t="s">
        <v>9774</v>
      </c>
      <c r="H2902" s="636" t="s">
        <v>2228</v>
      </c>
      <c r="I2902" s="636" t="s">
        <v>2228</v>
      </c>
      <c r="J2902" s="644"/>
      <c r="K2902" s="753">
        <v>8</v>
      </c>
      <c r="L2902" s="754">
        <v>8</v>
      </c>
      <c r="M2902" s="736">
        <v>25960.799999999999</v>
      </c>
      <c r="N2902" s="744"/>
      <c r="O2902" s="739"/>
      <c r="P2902" s="739"/>
      <c r="Q2902" s="214"/>
    </row>
    <row r="2903" spans="1:17" ht="12" customHeight="1" x14ac:dyDescent="0.2">
      <c r="A2903" s="735" t="s">
        <v>7733</v>
      </c>
      <c r="B2903" s="735" t="s">
        <v>2170</v>
      </c>
      <c r="C2903" s="735" t="s">
        <v>451</v>
      </c>
      <c r="D2903" s="644" t="s">
        <v>8061</v>
      </c>
      <c r="E2903" s="736">
        <v>4000</v>
      </c>
      <c r="F2903" s="737" t="s">
        <v>9775</v>
      </c>
      <c r="G2903" s="636" t="s">
        <v>9776</v>
      </c>
      <c r="H2903" s="636" t="s">
        <v>7834</v>
      </c>
      <c r="I2903" s="636" t="s">
        <v>9726</v>
      </c>
      <c r="J2903" s="644" t="s">
        <v>642</v>
      </c>
      <c r="K2903" s="753">
        <v>5</v>
      </c>
      <c r="L2903" s="754">
        <v>9</v>
      </c>
      <c r="M2903" s="736">
        <v>37960.800000000003</v>
      </c>
      <c r="N2903" s="744"/>
      <c r="O2903" s="739"/>
      <c r="P2903" s="739"/>
      <c r="Q2903" s="214"/>
    </row>
    <row r="2904" spans="1:17" ht="12" customHeight="1" x14ac:dyDescent="0.2">
      <c r="A2904" s="735" t="s">
        <v>7733</v>
      </c>
      <c r="B2904" s="735" t="s">
        <v>2170</v>
      </c>
      <c r="C2904" s="735" t="s">
        <v>451</v>
      </c>
      <c r="D2904" s="644" t="s">
        <v>5832</v>
      </c>
      <c r="E2904" s="736">
        <v>2300</v>
      </c>
      <c r="F2904" s="737" t="s">
        <v>9777</v>
      </c>
      <c r="G2904" s="636" t="s">
        <v>9778</v>
      </c>
      <c r="H2904" s="636" t="s">
        <v>8135</v>
      </c>
      <c r="I2904" s="636" t="s">
        <v>7835</v>
      </c>
      <c r="J2904" s="644" t="s">
        <v>642</v>
      </c>
      <c r="K2904" s="753">
        <v>12</v>
      </c>
      <c r="L2904" s="754">
        <v>12</v>
      </c>
      <c r="M2904" s="736">
        <v>29560.799999999999</v>
      </c>
      <c r="N2904" s="744"/>
      <c r="O2904" s="739"/>
      <c r="P2904" s="739"/>
      <c r="Q2904" s="214"/>
    </row>
    <row r="2905" spans="1:17" ht="12" customHeight="1" x14ac:dyDescent="0.2">
      <c r="A2905" s="735" t="s">
        <v>7733</v>
      </c>
      <c r="B2905" s="735" t="s">
        <v>2170</v>
      </c>
      <c r="C2905" s="735" t="s">
        <v>451</v>
      </c>
      <c r="D2905" s="644" t="s">
        <v>2261</v>
      </c>
      <c r="E2905" s="736">
        <v>3000</v>
      </c>
      <c r="F2905" s="737" t="s">
        <v>9779</v>
      </c>
      <c r="G2905" s="636" t="s">
        <v>9780</v>
      </c>
      <c r="H2905" s="636" t="s">
        <v>7752</v>
      </c>
      <c r="I2905" s="636" t="s">
        <v>2766</v>
      </c>
      <c r="J2905" s="644" t="s">
        <v>644</v>
      </c>
      <c r="K2905" s="753">
        <v>5</v>
      </c>
      <c r="L2905" s="754">
        <v>12</v>
      </c>
      <c r="M2905" s="736">
        <v>37960.800000000003</v>
      </c>
      <c r="N2905" s="744"/>
      <c r="O2905" s="739"/>
      <c r="P2905" s="739"/>
      <c r="Q2905" s="214"/>
    </row>
    <row r="2906" spans="1:17" ht="12" customHeight="1" x14ac:dyDescent="0.2">
      <c r="A2906" s="735" t="s">
        <v>7733</v>
      </c>
      <c r="B2906" s="735" t="s">
        <v>2170</v>
      </c>
      <c r="C2906" s="735" t="s">
        <v>451</v>
      </c>
      <c r="D2906" s="644" t="s">
        <v>7921</v>
      </c>
      <c r="E2906" s="736">
        <v>4000</v>
      </c>
      <c r="F2906" s="737" t="s">
        <v>9781</v>
      </c>
      <c r="G2906" s="636" t="s">
        <v>9782</v>
      </c>
      <c r="H2906" s="636" t="s">
        <v>7782</v>
      </c>
      <c r="I2906" s="636" t="s">
        <v>2208</v>
      </c>
      <c r="J2906" s="644" t="s">
        <v>642</v>
      </c>
      <c r="K2906" s="753">
        <v>12</v>
      </c>
      <c r="L2906" s="754">
        <v>12</v>
      </c>
      <c r="M2906" s="736">
        <v>49960.800000000003</v>
      </c>
      <c r="N2906" s="744"/>
      <c r="O2906" s="739"/>
      <c r="P2906" s="739"/>
      <c r="Q2906" s="214"/>
    </row>
    <row r="2907" spans="1:17" ht="12" customHeight="1" x14ac:dyDescent="0.2">
      <c r="A2907" s="735" t="s">
        <v>7733</v>
      </c>
      <c r="B2907" s="735" t="s">
        <v>2170</v>
      </c>
      <c r="C2907" s="735" t="s">
        <v>451</v>
      </c>
      <c r="D2907" s="644" t="s">
        <v>2179</v>
      </c>
      <c r="E2907" s="736">
        <v>3000</v>
      </c>
      <c r="F2907" s="737" t="s">
        <v>9783</v>
      </c>
      <c r="G2907" s="636" t="s">
        <v>9784</v>
      </c>
      <c r="H2907" s="636" t="s">
        <v>2228</v>
      </c>
      <c r="I2907" s="636" t="s">
        <v>2228</v>
      </c>
      <c r="J2907" s="644"/>
      <c r="K2907" s="753">
        <v>5</v>
      </c>
      <c r="L2907" s="754">
        <v>5</v>
      </c>
      <c r="M2907" s="736">
        <v>16960.8</v>
      </c>
      <c r="N2907" s="744"/>
      <c r="O2907" s="739"/>
      <c r="P2907" s="739"/>
      <c r="Q2907" s="214"/>
    </row>
    <row r="2908" spans="1:17" ht="12" customHeight="1" x14ac:dyDescent="0.2">
      <c r="A2908" s="735" t="s">
        <v>7733</v>
      </c>
      <c r="B2908" s="735" t="s">
        <v>2170</v>
      </c>
      <c r="C2908" s="735" t="s">
        <v>451</v>
      </c>
      <c r="D2908" s="644" t="s">
        <v>7904</v>
      </c>
      <c r="E2908" s="736">
        <v>3000</v>
      </c>
      <c r="F2908" s="737" t="s">
        <v>9785</v>
      </c>
      <c r="G2908" s="636" t="s">
        <v>9786</v>
      </c>
      <c r="H2908" s="636" t="s">
        <v>7152</v>
      </c>
      <c r="I2908" s="636" t="s">
        <v>2317</v>
      </c>
      <c r="J2908" s="644" t="s">
        <v>643</v>
      </c>
      <c r="K2908" s="753">
        <v>12</v>
      </c>
      <c r="L2908" s="754">
        <v>12</v>
      </c>
      <c r="M2908" s="736">
        <v>37960.800000000003</v>
      </c>
      <c r="N2908" s="744"/>
      <c r="O2908" s="739"/>
      <c r="P2908" s="739"/>
      <c r="Q2908" s="214"/>
    </row>
    <row r="2909" spans="1:17" ht="12" customHeight="1" x14ac:dyDescent="0.2">
      <c r="A2909" s="735" t="s">
        <v>7733</v>
      </c>
      <c r="B2909" s="735" t="s">
        <v>2170</v>
      </c>
      <c r="C2909" s="735" t="s">
        <v>451</v>
      </c>
      <c r="D2909" s="644" t="s">
        <v>8268</v>
      </c>
      <c r="E2909" s="736">
        <v>2200</v>
      </c>
      <c r="F2909" s="737" t="s">
        <v>9787</v>
      </c>
      <c r="G2909" s="636" t="s">
        <v>9788</v>
      </c>
      <c r="H2909" s="636"/>
      <c r="I2909" s="636"/>
      <c r="J2909" s="644" t="s">
        <v>643</v>
      </c>
      <c r="K2909" s="753">
        <v>12</v>
      </c>
      <c r="L2909" s="754">
        <v>12</v>
      </c>
      <c r="M2909" s="736">
        <v>28360.799999999999</v>
      </c>
      <c r="N2909" s="744"/>
      <c r="O2909" s="739"/>
      <c r="P2909" s="739"/>
      <c r="Q2909" s="214"/>
    </row>
    <row r="2910" spans="1:17" ht="12" customHeight="1" x14ac:dyDescent="0.2">
      <c r="A2910" s="735" t="s">
        <v>7733</v>
      </c>
      <c r="B2910" s="735" t="s">
        <v>2170</v>
      </c>
      <c r="C2910" s="735" t="s">
        <v>451</v>
      </c>
      <c r="D2910" s="644" t="s">
        <v>7897</v>
      </c>
      <c r="E2910" s="736">
        <v>3000</v>
      </c>
      <c r="F2910" s="737" t="s">
        <v>9789</v>
      </c>
      <c r="G2910" s="636" t="s">
        <v>9790</v>
      </c>
      <c r="H2910" s="636" t="s">
        <v>3754</v>
      </c>
      <c r="I2910" s="636" t="s">
        <v>2745</v>
      </c>
      <c r="J2910" s="644" t="s">
        <v>642</v>
      </c>
      <c r="K2910" s="753">
        <v>12</v>
      </c>
      <c r="L2910" s="754">
        <v>12</v>
      </c>
      <c r="M2910" s="736">
        <v>37960.800000000003</v>
      </c>
      <c r="N2910" s="744"/>
      <c r="O2910" s="739"/>
      <c r="P2910" s="739"/>
      <c r="Q2910" s="214"/>
    </row>
    <row r="2911" spans="1:17" ht="12" customHeight="1" x14ac:dyDescent="0.2">
      <c r="A2911" s="735" t="s">
        <v>7733</v>
      </c>
      <c r="B2911" s="735" t="s">
        <v>2170</v>
      </c>
      <c r="C2911" s="735" t="s">
        <v>451</v>
      </c>
      <c r="D2911" s="644" t="s">
        <v>2261</v>
      </c>
      <c r="E2911" s="736">
        <v>3500</v>
      </c>
      <c r="F2911" s="737" t="s">
        <v>9791</v>
      </c>
      <c r="G2911" s="636" t="s">
        <v>9792</v>
      </c>
      <c r="H2911" s="636" t="s">
        <v>6848</v>
      </c>
      <c r="I2911" s="636" t="s">
        <v>2602</v>
      </c>
      <c r="J2911" s="644" t="s">
        <v>643</v>
      </c>
      <c r="K2911" s="753">
        <v>5</v>
      </c>
      <c r="L2911" s="754">
        <v>12</v>
      </c>
      <c r="M2911" s="736">
        <v>43960.800000000003</v>
      </c>
      <c r="N2911" s="744"/>
      <c r="O2911" s="739"/>
      <c r="P2911" s="739"/>
      <c r="Q2911" s="214"/>
    </row>
    <row r="2912" spans="1:17" ht="12" customHeight="1" x14ac:dyDescent="0.2">
      <c r="A2912" s="735" t="s">
        <v>7733</v>
      </c>
      <c r="B2912" s="735" t="s">
        <v>2170</v>
      </c>
      <c r="C2912" s="735" t="s">
        <v>451</v>
      </c>
      <c r="D2912" s="644" t="s">
        <v>7843</v>
      </c>
      <c r="E2912" s="736">
        <v>4000</v>
      </c>
      <c r="F2912" s="737" t="s">
        <v>9793</v>
      </c>
      <c r="G2912" s="636" t="s">
        <v>9794</v>
      </c>
      <c r="H2912" s="636" t="s">
        <v>2228</v>
      </c>
      <c r="I2912" s="636" t="s">
        <v>2228</v>
      </c>
      <c r="J2912" s="644"/>
      <c r="K2912" s="753">
        <v>5</v>
      </c>
      <c r="L2912" s="754">
        <v>5</v>
      </c>
      <c r="M2912" s="736">
        <v>21960.799999999999</v>
      </c>
      <c r="N2912" s="744"/>
      <c r="O2912" s="739"/>
      <c r="P2912" s="739"/>
      <c r="Q2912" s="214"/>
    </row>
    <row r="2913" spans="1:17" ht="12" customHeight="1" x14ac:dyDescent="0.2">
      <c r="A2913" s="735" t="s">
        <v>7733</v>
      </c>
      <c r="B2913" s="735" t="s">
        <v>2170</v>
      </c>
      <c r="C2913" s="735" t="s">
        <v>451</v>
      </c>
      <c r="D2913" s="644" t="s">
        <v>8934</v>
      </c>
      <c r="E2913" s="736">
        <v>3000</v>
      </c>
      <c r="F2913" s="737" t="s">
        <v>9795</v>
      </c>
      <c r="G2913" s="636" t="s">
        <v>9796</v>
      </c>
      <c r="H2913" s="636" t="s">
        <v>2228</v>
      </c>
      <c r="I2913" s="636" t="s">
        <v>2228</v>
      </c>
      <c r="J2913" s="644"/>
      <c r="K2913" s="753">
        <v>1</v>
      </c>
      <c r="L2913" s="754">
        <v>1</v>
      </c>
      <c r="M2913" s="736">
        <v>4960.8</v>
      </c>
      <c r="N2913" s="744"/>
      <c r="O2913" s="739"/>
      <c r="P2913" s="739"/>
      <c r="Q2913" s="214"/>
    </row>
    <row r="2914" spans="1:17" ht="12" customHeight="1" x14ac:dyDescent="0.2">
      <c r="A2914" s="735" t="s">
        <v>7733</v>
      </c>
      <c r="B2914" s="735" t="s">
        <v>2170</v>
      </c>
      <c r="C2914" s="735" t="s">
        <v>451</v>
      </c>
      <c r="D2914" s="644" t="s">
        <v>9409</v>
      </c>
      <c r="E2914" s="736">
        <v>4000</v>
      </c>
      <c r="F2914" s="737" t="s">
        <v>9797</v>
      </c>
      <c r="G2914" s="636" t="s">
        <v>9798</v>
      </c>
      <c r="H2914" s="636" t="s">
        <v>6571</v>
      </c>
      <c r="I2914" s="636" t="s">
        <v>2179</v>
      </c>
      <c r="J2914" s="644" t="s">
        <v>642</v>
      </c>
      <c r="K2914" s="753">
        <v>12</v>
      </c>
      <c r="L2914" s="754">
        <v>12</v>
      </c>
      <c r="M2914" s="736">
        <v>49960.800000000003</v>
      </c>
      <c r="N2914" s="744"/>
      <c r="O2914" s="739"/>
      <c r="P2914" s="739"/>
      <c r="Q2914" s="214"/>
    </row>
    <row r="2915" spans="1:17" ht="12" customHeight="1" x14ac:dyDescent="0.2">
      <c r="A2915" s="735" t="s">
        <v>7733</v>
      </c>
      <c r="B2915" s="735" t="s">
        <v>2170</v>
      </c>
      <c r="C2915" s="735" t="s">
        <v>451</v>
      </c>
      <c r="D2915" s="644" t="s">
        <v>7779</v>
      </c>
      <c r="E2915" s="736">
        <v>3000</v>
      </c>
      <c r="F2915" s="737" t="s">
        <v>9799</v>
      </c>
      <c r="G2915" s="636" t="s">
        <v>9800</v>
      </c>
      <c r="H2915" s="636"/>
      <c r="I2915" s="636"/>
      <c r="J2915" s="644" t="s">
        <v>642</v>
      </c>
      <c r="K2915" s="753">
        <v>12</v>
      </c>
      <c r="L2915" s="754">
        <v>12</v>
      </c>
      <c r="M2915" s="736">
        <v>37960.800000000003</v>
      </c>
      <c r="N2915" s="744"/>
      <c r="O2915" s="739"/>
      <c r="P2915" s="739"/>
      <c r="Q2915" s="214"/>
    </row>
    <row r="2916" spans="1:17" ht="12" customHeight="1" x14ac:dyDescent="0.2">
      <c r="A2916" s="735" t="s">
        <v>7733</v>
      </c>
      <c r="B2916" s="735" t="s">
        <v>2170</v>
      </c>
      <c r="C2916" s="735" t="s">
        <v>451</v>
      </c>
      <c r="D2916" s="644" t="s">
        <v>9801</v>
      </c>
      <c r="E2916" s="736">
        <v>5000</v>
      </c>
      <c r="F2916" s="737" t="s">
        <v>9802</v>
      </c>
      <c r="G2916" s="636" t="s">
        <v>9803</v>
      </c>
      <c r="H2916" s="636"/>
      <c r="I2916" s="636"/>
      <c r="J2916" s="644" t="s">
        <v>642</v>
      </c>
      <c r="K2916" s="753">
        <v>5</v>
      </c>
      <c r="L2916" s="754">
        <v>12</v>
      </c>
      <c r="M2916" s="736">
        <v>61960.800000000003</v>
      </c>
      <c r="N2916" s="744"/>
      <c r="O2916" s="739"/>
      <c r="P2916" s="739"/>
      <c r="Q2916" s="214"/>
    </row>
    <row r="2917" spans="1:17" ht="12" customHeight="1" x14ac:dyDescent="0.2">
      <c r="A2917" s="735" t="s">
        <v>7733</v>
      </c>
      <c r="B2917" s="735" t="s">
        <v>2170</v>
      </c>
      <c r="C2917" s="735" t="s">
        <v>451</v>
      </c>
      <c r="D2917" s="644" t="s">
        <v>3296</v>
      </c>
      <c r="E2917" s="736">
        <v>6000</v>
      </c>
      <c r="F2917" s="737" t="s">
        <v>9804</v>
      </c>
      <c r="G2917" s="636" t="s">
        <v>9805</v>
      </c>
      <c r="H2917" s="636" t="s">
        <v>8003</v>
      </c>
      <c r="I2917" s="636" t="s">
        <v>7835</v>
      </c>
      <c r="J2917" s="644" t="s">
        <v>642</v>
      </c>
      <c r="K2917" s="753">
        <v>7</v>
      </c>
      <c r="L2917" s="754">
        <v>12</v>
      </c>
      <c r="M2917" s="736">
        <v>73960.800000000003</v>
      </c>
      <c r="N2917" s="744"/>
      <c r="O2917" s="739"/>
      <c r="P2917" s="739"/>
      <c r="Q2917" s="214"/>
    </row>
    <row r="2918" spans="1:17" ht="12" customHeight="1" x14ac:dyDescent="0.2">
      <c r="A2918" s="735" t="s">
        <v>7733</v>
      </c>
      <c r="B2918" s="735" t="s">
        <v>2170</v>
      </c>
      <c r="C2918" s="735" t="s">
        <v>451</v>
      </c>
      <c r="D2918" s="644" t="s">
        <v>3057</v>
      </c>
      <c r="E2918" s="736">
        <v>2250</v>
      </c>
      <c r="F2918" s="737" t="s">
        <v>9806</v>
      </c>
      <c r="G2918" s="636" t="s">
        <v>9807</v>
      </c>
      <c r="H2918" s="636" t="s">
        <v>9808</v>
      </c>
      <c r="I2918" s="636" t="s">
        <v>3057</v>
      </c>
      <c r="J2918" s="644" t="s">
        <v>642</v>
      </c>
      <c r="K2918" s="753">
        <v>12</v>
      </c>
      <c r="L2918" s="754">
        <v>12</v>
      </c>
      <c r="M2918" s="736">
        <v>28960.799999999999</v>
      </c>
      <c r="N2918" s="744"/>
      <c r="O2918" s="739"/>
      <c r="P2918" s="739"/>
      <c r="Q2918" s="214"/>
    </row>
    <row r="2919" spans="1:17" ht="12" customHeight="1" x14ac:dyDescent="0.2">
      <c r="A2919" s="735" t="s">
        <v>7733</v>
      </c>
      <c r="B2919" s="735" t="s">
        <v>2170</v>
      </c>
      <c r="C2919" s="735" t="s">
        <v>451</v>
      </c>
      <c r="D2919" s="644" t="s">
        <v>7901</v>
      </c>
      <c r="E2919" s="736">
        <v>2500</v>
      </c>
      <c r="F2919" s="737" t="s">
        <v>9809</v>
      </c>
      <c r="G2919" s="636" t="s">
        <v>9810</v>
      </c>
      <c r="H2919" s="636" t="s">
        <v>2228</v>
      </c>
      <c r="I2919" s="636" t="s">
        <v>2228</v>
      </c>
      <c r="J2919" s="644"/>
      <c r="K2919" s="753">
        <v>8</v>
      </c>
      <c r="L2919" s="754">
        <v>8</v>
      </c>
      <c r="M2919" s="736">
        <v>21960.799999999999</v>
      </c>
      <c r="N2919" s="744"/>
      <c r="O2919" s="739"/>
      <c r="P2919" s="739"/>
      <c r="Q2919" s="214"/>
    </row>
    <row r="2920" spans="1:17" ht="12" customHeight="1" x14ac:dyDescent="0.2">
      <c r="A2920" s="735" t="s">
        <v>7733</v>
      </c>
      <c r="B2920" s="735" t="s">
        <v>2170</v>
      </c>
      <c r="C2920" s="735" t="s">
        <v>451</v>
      </c>
      <c r="D2920" s="644" t="s">
        <v>2560</v>
      </c>
      <c r="E2920" s="736">
        <v>3000</v>
      </c>
      <c r="F2920" s="737" t="s">
        <v>9811</v>
      </c>
      <c r="G2920" s="636" t="s">
        <v>9812</v>
      </c>
      <c r="H2920" s="636"/>
      <c r="I2920" s="636"/>
      <c r="J2920" s="644" t="s">
        <v>644</v>
      </c>
      <c r="K2920" s="753">
        <v>12</v>
      </c>
      <c r="L2920" s="754">
        <v>12</v>
      </c>
      <c r="M2920" s="736">
        <v>37960.800000000003</v>
      </c>
      <c r="N2920" s="744"/>
      <c r="O2920" s="739"/>
      <c r="P2920" s="739"/>
      <c r="Q2920" s="214"/>
    </row>
    <row r="2921" spans="1:17" ht="12" customHeight="1" x14ac:dyDescent="0.2">
      <c r="A2921" s="735" t="s">
        <v>7733</v>
      </c>
      <c r="B2921" s="735" t="s">
        <v>2170</v>
      </c>
      <c r="C2921" s="735" t="s">
        <v>451</v>
      </c>
      <c r="D2921" s="644" t="s">
        <v>9813</v>
      </c>
      <c r="E2921" s="736">
        <v>5000</v>
      </c>
      <c r="F2921" s="737" t="s">
        <v>9814</v>
      </c>
      <c r="G2921" s="636" t="s">
        <v>9815</v>
      </c>
      <c r="H2921" s="636" t="s">
        <v>8067</v>
      </c>
      <c r="I2921" s="636" t="s">
        <v>9816</v>
      </c>
      <c r="J2921" s="644" t="s">
        <v>643</v>
      </c>
      <c r="K2921" s="753">
        <v>9</v>
      </c>
      <c r="L2921" s="754">
        <v>12</v>
      </c>
      <c r="M2921" s="736">
        <v>61960.800000000003</v>
      </c>
      <c r="N2921" s="744"/>
      <c r="O2921" s="739"/>
      <c r="P2921" s="739"/>
      <c r="Q2921" s="214"/>
    </row>
    <row r="2922" spans="1:17" ht="12" customHeight="1" x14ac:dyDescent="0.2">
      <c r="A2922" s="735" t="s">
        <v>7733</v>
      </c>
      <c r="B2922" s="735" t="s">
        <v>2170</v>
      </c>
      <c r="C2922" s="735" t="s">
        <v>451</v>
      </c>
      <c r="D2922" s="644" t="s">
        <v>7855</v>
      </c>
      <c r="E2922" s="736">
        <v>1800</v>
      </c>
      <c r="F2922" s="737" t="s">
        <v>9817</v>
      </c>
      <c r="G2922" s="636" t="s">
        <v>9818</v>
      </c>
      <c r="H2922" s="636" t="s">
        <v>2228</v>
      </c>
      <c r="I2922" s="636" t="s">
        <v>2228</v>
      </c>
      <c r="J2922" s="644"/>
      <c r="K2922" s="753">
        <v>7</v>
      </c>
      <c r="L2922" s="754">
        <v>7</v>
      </c>
      <c r="M2922" s="736">
        <v>15144</v>
      </c>
      <c r="N2922" s="744"/>
      <c r="O2922" s="739"/>
      <c r="P2922" s="739"/>
      <c r="Q2922" s="214"/>
    </row>
    <row r="2923" spans="1:17" ht="12" customHeight="1" x14ac:dyDescent="0.2">
      <c r="A2923" s="735" t="s">
        <v>7733</v>
      </c>
      <c r="B2923" s="735" t="s">
        <v>2170</v>
      </c>
      <c r="C2923" s="735" t="s">
        <v>451</v>
      </c>
      <c r="D2923" s="644" t="s">
        <v>2261</v>
      </c>
      <c r="E2923" s="736">
        <v>3000</v>
      </c>
      <c r="F2923" s="737" t="s">
        <v>9819</v>
      </c>
      <c r="G2923" s="636" t="s">
        <v>9820</v>
      </c>
      <c r="H2923" s="636"/>
      <c r="I2923" s="636"/>
      <c r="J2923" s="644" t="s">
        <v>644</v>
      </c>
      <c r="K2923" s="753">
        <v>5</v>
      </c>
      <c r="L2923" s="754">
        <v>12</v>
      </c>
      <c r="M2923" s="736">
        <v>37960.800000000003</v>
      </c>
      <c r="N2923" s="744"/>
      <c r="O2923" s="739"/>
      <c r="P2923" s="739"/>
      <c r="Q2923" s="214"/>
    </row>
    <row r="2924" spans="1:17" ht="12" customHeight="1" x14ac:dyDescent="0.2">
      <c r="A2924" s="735" t="s">
        <v>7733</v>
      </c>
      <c r="B2924" s="735" t="s">
        <v>2170</v>
      </c>
      <c r="C2924" s="735" t="s">
        <v>451</v>
      </c>
      <c r="D2924" s="644" t="s">
        <v>2261</v>
      </c>
      <c r="E2924" s="736">
        <v>2300</v>
      </c>
      <c r="F2924" s="737" t="s">
        <v>9821</v>
      </c>
      <c r="G2924" s="636" t="s">
        <v>9822</v>
      </c>
      <c r="H2924" s="636"/>
      <c r="I2924" s="636"/>
      <c r="J2924" s="644" t="s">
        <v>642</v>
      </c>
      <c r="K2924" s="753">
        <v>1</v>
      </c>
      <c r="L2924" s="754">
        <v>3</v>
      </c>
      <c r="M2924" s="736">
        <v>8860.7999999999993</v>
      </c>
      <c r="N2924" s="744"/>
      <c r="O2924" s="739"/>
      <c r="P2924" s="739"/>
      <c r="Q2924" s="214"/>
    </row>
    <row r="2925" spans="1:17" ht="12" customHeight="1" x14ac:dyDescent="0.2">
      <c r="A2925" s="735" t="s">
        <v>7733</v>
      </c>
      <c r="B2925" s="735" t="s">
        <v>2170</v>
      </c>
      <c r="C2925" s="735" t="s">
        <v>451</v>
      </c>
      <c r="D2925" s="644" t="s">
        <v>9686</v>
      </c>
      <c r="E2925" s="736">
        <v>6000</v>
      </c>
      <c r="F2925" s="737" t="s">
        <v>9823</v>
      </c>
      <c r="G2925" s="636" t="s">
        <v>9824</v>
      </c>
      <c r="H2925" s="636"/>
      <c r="I2925" s="636"/>
      <c r="J2925" s="644" t="s">
        <v>642</v>
      </c>
      <c r="K2925" s="753">
        <v>5</v>
      </c>
      <c r="L2925" s="754">
        <v>12</v>
      </c>
      <c r="M2925" s="736">
        <v>73960.800000000003</v>
      </c>
      <c r="N2925" s="744"/>
      <c r="O2925" s="739"/>
      <c r="P2925" s="739"/>
      <c r="Q2925" s="214"/>
    </row>
    <row r="2926" spans="1:17" ht="12" customHeight="1" x14ac:dyDescent="0.2">
      <c r="A2926" s="735" t="s">
        <v>7733</v>
      </c>
      <c r="B2926" s="735" t="s">
        <v>2170</v>
      </c>
      <c r="C2926" s="735" t="s">
        <v>451</v>
      </c>
      <c r="D2926" s="644" t="s">
        <v>7904</v>
      </c>
      <c r="E2926" s="736">
        <v>3000</v>
      </c>
      <c r="F2926" s="737" t="s">
        <v>9825</v>
      </c>
      <c r="G2926" s="636" t="s">
        <v>9826</v>
      </c>
      <c r="H2926" s="636" t="s">
        <v>8000</v>
      </c>
      <c r="I2926" s="636" t="s">
        <v>8036</v>
      </c>
      <c r="J2926" s="644" t="s">
        <v>643</v>
      </c>
      <c r="K2926" s="753">
        <v>12</v>
      </c>
      <c r="L2926" s="754">
        <v>12</v>
      </c>
      <c r="M2926" s="736">
        <v>37960.800000000003</v>
      </c>
      <c r="N2926" s="744"/>
      <c r="O2926" s="739"/>
      <c r="P2926" s="739"/>
      <c r="Q2926" s="214"/>
    </row>
    <row r="2927" spans="1:17" ht="12" customHeight="1" x14ac:dyDescent="0.2">
      <c r="A2927" s="735" t="s">
        <v>7733</v>
      </c>
      <c r="B2927" s="735" t="s">
        <v>2170</v>
      </c>
      <c r="C2927" s="735" t="s">
        <v>451</v>
      </c>
      <c r="D2927" s="644" t="s">
        <v>8010</v>
      </c>
      <c r="E2927" s="736">
        <v>3000</v>
      </c>
      <c r="F2927" s="737" t="s">
        <v>9827</v>
      </c>
      <c r="G2927" s="636" t="s">
        <v>9828</v>
      </c>
      <c r="H2927" s="636" t="s">
        <v>9829</v>
      </c>
      <c r="I2927" s="636" t="s">
        <v>9830</v>
      </c>
      <c r="J2927" s="644" t="s">
        <v>643</v>
      </c>
      <c r="K2927" s="753">
        <v>5</v>
      </c>
      <c r="L2927" s="754">
        <v>12</v>
      </c>
      <c r="M2927" s="736">
        <v>37960.800000000003</v>
      </c>
      <c r="N2927" s="744"/>
      <c r="O2927" s="739"/>
      <c r="P2927" s="739"/>
      <c r="Q2927" s="214"/>
    </row>
    <row r="2928" spans="1:17" ht="12" customHeight="1" x14ac:dyDescent="0.2">
      <c r="A2928" s="735" t="s">
        <v>7733</v>
      </c>
      <c r="B2928" s="735" t="s">
        <v>2170</v>
      </c>
      <c r="C2928" s="735" t="s">
        <v>451</v>
      </c>
      <c r="D2928" s="644" t="s">
        <v>7779</v>
      </c>
      <c r="E2928" s="736">
        <v>4000</v>
      </c>
      <c r="F2928" s="737" t="s">
        <v>9831</v>
      </c>
      <c r="G2928" s="636" t="s">
        <v>9832</v>
      </c>
      <c r="H2928" s="636" t="s">
        <v>7782</v>
      </c>
      <c r="I2928" s="636" t="s">
        <v>2208</v>
      </c>
      <c r="J2928" s="644" t="s">
        <v>642</v>
      </c>
      <c r="K2928" s="753">
        <v>12</v>
      </c>
      <c r="L2928" s="754">
        <v>12</v>
      </c>
      <c r="M2928" s="736">
        <v>49960.800000000003</v>
      </c>
      <c r="N2928" s="744"/>
      <c r="O2928" s="739"/>
      <c r="P2928" s="739"/>
      <c r="Q2928" s="214"/>
    </row>
    <row r="2929" spans="1:17" ht="12" customHeight="1" x14ac:dyDescent="0.2">
      <c r="A2929" s="735" t="s">
        <v>7733</v>
      </c>
      <c r="B2929" s="735" t="s">
        <v>2170</v>
      </c>
      <c r="C2929" s="735" t="s">
        <v>451</v>
      </c>
      <c r="D2929" s="644" t="s">
        <v>8483</v>
      </c>
      <c r="E2929" s="736">
        <v>5600</v>
      </c>
      <c r="F2929" s="737" t="s">
        <v>9833</v>
      </c>
      <c r="G2929" s="636" t="s">
        <v>9834</v>
      </c>
      <c r="H2929" s="636" t="s">
        <v>7816</v>
      </c>
      <c r="I2929" s="636" t="s">
        <v>3328</v>
      </c>
      <c r="J2929" s="644" t="s">
        <v>642</v>
      </c>
      <c r="K2929" s="753">
        <v>6</v>
      </c>
      <c r="L2929" s="754">
        <v>12</v>
      </c>
      <c r="M2929" s="736">
        <v>69160.800000000003</v>
      </c>
      <c r="N2929" s="744"/>
      <c r="O2929" s="739"/>
      <c r="P2929" s="739"/>
      <c r="Q2929" s="214"/>
    </row>
    <row r="2930" spans="1:17" ht="12" customHeight="1" x14ac:dyDescent="0.2">
      <c r="A2930" s="735" t="s">
        <v>7733</v>
      </c>
      <c r="B2930" s="735" t="s">
        <v>2170</v>
      </c>
      <c r="C2930" s="735" t="s">
        <v>451</v>
      </c>
      <c r="D2930" s="644" t="s">
        <v>8417</v>
      </c>
      <c r="E2930" s="736">
        <v>1200</v>
      </c>
      <c r="F2930" s="737" t="s">
        <v>9835</v>
      </c>
      <c r="G2930" s="636" t="s">
        <v>9836</v>
      </c>
      <c r="H2930" s="636" t="s">
        <v>6571</v>
      </c>
      <c r="I2930" s="636" t="s">
        <v>4559</v>
      </c>
      <c r="J2930" s="644" t="s">
        <v>7991</v>
      </c>
      <c r="K2930" s="753">
        <v>1</v>
      </c>
      <c r="L2930" s="754">
        <v>2</v>
      </c>
      <c r="M2930" s="736">
        <v>4296</v>
      </c>
      <c r="N2930" s="744"/>
      <c r="O2930" s="739"/>
      <c r="P2930" s="739"/>
      <c r="Q2930" s="214"/>
    </row>
    <row r="2931" spans="1:17" ht="12" customHeight="1" x14ac:dyDescent="0.2">
      <c r="A2931" s="735" t="s">
        <v>7733</v>
      </c>
      <c r="B2931" s="735" t="s">
        <v>2170</v>
      </c>
      <c r="C2931" s="735" t="s">
        <v>451</v>
      </c>
      <c r="D2931" s="644" t="s">
        <v>8268</v>
      </c>
      <c r="E2931" s="736">
        <v>2500</v>
      </c>
      <c r="F2931" s="737" t="s">
        <v>9837</v>
      </c>
      <c r="G2931" s="636" t="s">
        <v>9838</v>
      </c>
      <c r="H2931" s="636" t="s">
        <v>9490</v>
      </c>
      <c r="I2931" s="636" t="s">
        <v>9490</v>
      </c>
      <c r="J2931" s="644" t="s">
        <v>644</v>
      </c>
      <c r="K2931" s="753">
        <v>12</v>
      </c>
      <c r="L2931" s="754">
        <v>12</v>
      </c>
      <c r="M2931" s="736">
        <v>31960.799999999999</v>
      </c>
      <c r="N2931" s="744"/>
      <c r="O2931" s="739"/>
      <c r="P2931" s="739"/>
      <c r="Q2931" s="214"/>
    </row>
    <row r="2932" spans="1:17" ht="12" customHeight="1" x14ac:dyDescent="0.2">
      <c r="A2932" s="735" t="s">
        <v>7733</v>
      </c>
      <c r="B2932" s="735" t="s">
        <v>2170</v>
      </c>
      <c r="C2932" s="735" t="s">
        <v>451</v>
      </c>
      <c r="D2932" s="644" t="s">
        <v>8029</v>
      </c>
      <c r="E2932" s="736">
        <v>4000</v>
      </c>
      <c r="F2932" s="737" t="s">
        <v>9839</v>
      </c>
      <c r="G2932" s="636" t="s">
        <v>9840</v>
      </c>
      <c r="H2932" s="636"/>
      <c r="I2932" s="636"/>
      <c r="J2932" s="644" t="s">
        <v>9278</v>
      </c>
      <c r="K2932" s="753">
        <v>12</v>
      </c>
      <c r="L2932" s="754">
        <v>12</v>
      </c>
      <c r="M2932" s="736">
        <v>49960.800000000003</v>
      </c>
      <c r="N2932" s="744"/>
      <c r="O2932" s="739"/>
      <c r="P2932" s="739"/>
      <c r="Q2932" s="214"/>
    </row>
    <row r="2933" spans="1:17" ht="12" customHeight="1" x14ac:dyDescent="0.2">
      <c r="A2933" s="735" t="s">
        <v>7733</v>
      </c>
      <c r="B2933" s="735" t="s">
        <v>2170</v>
      </c>
      <c r="C2933" s="735" t="s">
        <v>451</v>
      </c>
      <c r="D2933" s="644" t="s">
        <v>7871</v>
      </c>
      <c r="E2933" s="736">
        <v>5000</v>
      </c>
      <c r="F2933" s="737" t="s">
        <v>9841</v>
      </c>
      <c r="G2933" s="636" t="s">
        <v>9842</v>
      </c>
      <c r="H2933" s="636" t="s">
        <v>8067</v>
      </c>
      <c r="I2933" s="636" t="s">
        <v>9843</v>
      </c>
      <c r="J2933" s="644" t="s">
        <v>642</v>
      </c>
      <c r="K2933" s="753">
        <v>4</v>
      </c>
      <c r="L2933" s="754">
        <v>12</v>
      </c>
      <c r="M2933" s="736">
        <v>61960.800000000003</v>
      </c>
      <c r="N2933" s="744"/>
      <c r="O2933" s="739"/>
      <c r="P2933" s="739"/>
      <c r="Q2933" s="214"/>
    </row>
    <row r="2934" spans="1:17" ht="12" customHeight="1" x14ac:dyDescent="0.2">
      <c r="A2934" s="735" t="s">
        <v>7733</v>
      </c>
      <c r="B2934" s="735" t="s">
        <v>2170</v>
      </c>
      <c r="C2934" s="735" t="s">
        <v>451</v>
      </c>
      <c r="D2934" s="644" t="s">
        <v>9844</v>
      </c>
      <c r="E2934" s="736">
        <v>6000</v>
      </c>
      <c r="F2934" s="737" t="s">
        <v>9845</v>
      </c>
      <c r="G2934" s="636" t="s">
        <v>9846</v>
      </c>
      <c r="H2934" s="636" t="s">
        <v>6571</v>
      </c>
      <c r="I2934" s="636" t="s">
        <v>2179</v>
      </c>
      <c r="J2934" s="644" t="s">
        <v>642</v>
      </c>
      <c r="K2934" s="753">
        <v>5</v>
      </c>
      <c r="L2934" s="754">
        <v>12</v>
      </c>
      <c r="M2934" s="736">
        <v>73960.800000000003</v>
      </c>
      <c r="N2934" s="744"/>
      <c r="O2934" s="739"/>
      <c r="P2934" s="739"/>
      <c r="Q2934" s="214"/>
    </row>
    <row r="2935" spans="1:17" ht="12" customHeight="1" x14ac:dyDescent="0.2">
      <c r="A2935" s="735" t="s">
        <v>7733</v>
      </c>
      <c r="B2935" s="735" t="s">
        <v>2170</v>
      </c>
      <c r="C2935" s="735" t="s">
        <v>451</v>
      </c>
      <c r="D2935" s="644" t="s">
        <v>7831</v>
      </c>
      <c r="E2935" s="736">
        <v>2300</v>
      </c>
      <c r="F2935" s="737" t="s">
        <v>9847</v>
      </c>
      <c r="G2935" s="636" t="s">
        <v>9848</v>
      </c>
      <c r="H2935" s="636" t="s">
        <v>6613</v>
      </c>
      <c r="I2935" s="636" t="s">
        <v>2745</v>
      </c>
      <c r="J2935" s="644" t="s">
        <v>642</v>
      </c>
      <c r="K2935" s="753">
        <v>5</v>
      </c>
      <c r="L2935" s="754">
        <v>12</v>
      </c>
      <c r="M2935" s="736">
        <v>29560.799999999999</v>
      </c>
      <c r="N2935" s="744"/>
      <c r="O2935" s="739"/>
      <c r="P2935" s="739"/>
      <c r="Q2935" s="214"/>
    </row>
    <row r="2936" spans="1:17" ht="12" customHeight="1" x14ac:dyDescent="0.2">
      <c r="A2936" s="735" t="s">
        <v>7733</v>
      </c>
      <c r="B2936" s="735" t="s">
        <v>2170</v>
      </c>
      <c r="C2936" s="735" t="s">
        <v>451</v>
      </c>
      <c r="D2936" s="644" t="s">
        <v>2479</v>
      </c>
      <c r="E2936" s="736">
        <v>9000</v>
      </c>
      <c r="F2936" s="737" t="s">
        <v>9849</v>
      </c>
      <c r="G2936" s="636" t="s">
        <v>9850</v>
      </c>
      <c r="H2936" s="636"/>
      <c r="I2936" s="636"/>
      <c r="J2936" s="644" t="s">
        <v>642</v>
      </c>
      <c r="K2936" s="753">
        <v>5</v>
      </c>
      <c r="L2936" s="754">
        <v>12</v>
      </c>
      <c r="M2936" s="736">
        <v>109960.8</v>
      </c>
      <c r="N2936" s="744"/>
      <c r="O2936" s="739"/>
      <c r="P2936" s="739"/>
      <c r="Q2936" s="214"/>
    </row>
    <row r="2937" spans="1:17" ht="12" customHeight="1" x14ac:dyDescent="0.2">
      <c r="A2937" s="735" t="s">
        <v>7733</v>
      </c>
      <c r="B2937" s="735" t="s">
        <v>2170</v>
      </c>
      <c r="C2937" s="735" t="s">
        <v>451</v>
      </c>
      <c r="D2937" s="644" t="s">
        <v>7968</v>
      </c>
      <c r="E2937" s="736">
        <v>4000</v>
      </c>
      <c r="F2937" s="737" t="s">
        <v>9851</v>
      </c>
      <c r="G2937" s="636" t="s">
        <v>9852</v>
      </c>
      <c r="H2937" s="636" t="s">
        <v>7152</v>
      </c>
      <c r="I2937" s="636"/>
      <c r="J2937" s="644" t="s">
        <v>642</v>
      </c>
      <c r="K2937" s="753">
        <v>9</v>
      </c>
      <c r="L2937" s="754">
        <v>12</v>
      </c>
      <c r="M2937" s="736">
        <v>49960.800000000003</v>
      </c>
      <c r="N2937" s="744"/>
      <c r="O2937" s="739"/>
      <c r="P2937" s="739"/>
      <c r="Q2937" s="214"/>
    </row>
    <row r="2938" spans="1:17" ht="12" customHeight="1" x14ac:dyDescent="0.2">
      <c r="A2938" s="735" t="s">
        <v>7733</v>
      </c>
      <c r="B2938" s="735" t="s">
        <v>2170</v>
      </c>
      <c r="C2938" s="735" t="s">
        <v>451</v>
      </c>
      <c r="D2938" s="644" t="s">
        <v>7901</v>
      </c>
      <c r="E2938" s="736">
        <v>2500</v>
      </c>
      <c r="F2938" s="737" t="s">
        <v>9853</v>
      </c>
      <c r="G2938" s="636" t="s">
        <v>9854</v>
      </c>
      <c r="H2938" s="636" t="s">
        <v>9855</v>
      </c>
      <c r="I2938" s="636" t="s">
        <v>7835</v>
      </c>
      <c r="J2938" s="644" t="s">
        <v>644</v>
      </c>
      <c r="K2938" s="753">
        <v>12</v>
      </c>
      <c r="L2938" s="754">
        <v>12</v>
      </c>
      <c r="M2938" s="736">
        <v>31960.799999999999</v>
      </c>
      <c r="N2938" s="744"/>
      <c r="O2938" s="739"/>
      <c r="P2938" s="739"/>
      <c r="Q2938" s="214"/>
    </row>
    <row r="2939" spans="1:17" ht="12" customHeight="1" x14ac:dyDescent="0.2">
      <c r="A2939" s="735" t="s">
        <v>7733</v>
      </c>
      <c r="B2939" s="735" t="s">
        <v>2170</v>
      </c>
      <c r="C2939" s="735" t="s">
        <v>451</v>
      </c>
      <c r="D2939" s="644" t="s">
        <v>7740</v>
      </c>
      <c r="E2939" s="736">
        <v>2200</v>
      </c>
      <c r="F2939" s="737" t="s">
        <v>9856</v>
      </c>
      <c r="G2939" s="636" t="s">
        <v>9857</v>
      </c>
      <c r="H2939" s="636" t="s">
        <v>9531</v>
      </c>
      <c r="I2939" s="636" t="s">
        <v>7835</v>
      </c>
      <c r="J2939" s="644" t="s">
        <v>642</v>
      </c>
      <c r="K2939" s="753">
        <v>10</v>
      </c>
      <c r="L2939" s="754">
        <v>10</v>
      </c>
      <c r="M2939" s="736">
        <v>23960.799999999999</v>
      </c>
      <c r="N2939" s="744"/>
      <c r="O2939" s="739"/>
      <c r="P2939" s="739"/>
      <c r="Q2939" s="214"/>
    </row>
    <row r="2940" spans="1:17" ht="12" customHeight="1" x14ac:dyDescent="0.2">
      <c r="A2940" s="735" t="s">
        <v>7733</v>
      </c>
      <c r="B2940" s="735" t="s">
        <v>2170</v>
      </c>
      <c r="C2940" s="735" t="s">
        <v>451</v>
      </c>
      <c r="D2940" s="644" t="s">
        <v>2772</v>
      </c>
      <c r="E2940" s="736">
        <v>2500</v>
      </c>
      <c r="F2940" s="737" t="s">
        <v>9858</v>
      </c>
      <c r="G2940" s="636" t="s">
        <v>9859</v>
      </c>
      <c r="H2940" s="636" t="s">
        <v>6571</v>
      </c>
      <c r="I2940" s="636" t="s">
        <v>2179</v>
      </c>
      <c r="J2940" s="644" t="s">
        <v>642</v>
      </c>
      <c r="K2940" s="753">
        <v>1</v>
      </c>
      <c r="L2940" s="754">
        <v>2</v>
      </c>
      <c r="M2940" s="736">
        <v>6960.8</v>
      </c>
      <c r="N2940" s="744"/>
      <c r="O2940" s="739"/>
      <c r="P2940" s="739"/>
      <c r="Q2940" s="214"/>
    </row>
    <row r="2941" spans="1:17" ht="12" customHeight="1" x14ac:dyDescent="0.2">
      <c r="A2941" s="735" t="s">
        <v>7733</v>
      </c>
      <c r="B2941" s="735" t="s">
        <v>2170</v>
      </c>
      <c r="C2941" s="735" t="s">
        <v>451</v>
      </c>
      <c r="D2941" s="644" t="s">
        <v>3484</v>
      </c>
      <c r="E2941" s="736">
        <v>3200</v>
      </c>
      <c r="F2941" s="737" t="s">
        <v>9860</v>
      </c>
      <c r="G2941" s="636" t="s">
        <v>9861</v>
      </c>
      <c r="H2941" s="636" t="s">
        <v>2228</v>
      </c>
      <c r="I2941" s="636" t="s">
        <v>2228</v>
      </c>
      <c r="J2941" s="644"/>
      <c r="K2941" s="753">
        <v>7</v>
      </c>
      <c r="L2941" s="754">
        <v>8</v>
      </c>
      <c r="M2941" s="736">
        <v>27560.799999999999</v>
      </c>
      <c r="N2941" s="744"/>
      <c r="O2941" s="739"/>
      <c r="P2941" s="739"/>
      <c r="Q2941" s="214"/>
    </row>
    <row r="2942" spans="1:17" ht="12" customHeight="1" x14ac:dyDescent="0.2">
      <c r="A2942" s="735" t="s">
        <v>7733</v>
      </c>
      <c r="B2942" s="735" t="s">
        <v>2170</v>
      </c>
      <c r="C2942" s="735" t="s">
        <v>451</v>
      </c>
      <c r="D2942" s="644" t="s">
        <v>7901</v>
      </c>
      <c r="E2942" s="736">
        <v>2500</v>
      </c>
      <c r="F2942" s="737" t="s">
        <v>9862</v>
      </c>
      <c r="G2942" s="636" t="s">
        <v>9863</v>
      </c>
      <c r="H2942" s="636" t="s">
        <v>9864</v>
      </c>
      <c r="I2942" s="636" t="s">
        <v>9865</v>
      </c>
      <c r="J2942" s="644" t="s">
        <v>643</v>
      </c>
      <c r="K2942" s="753">
        <v>12</v>
      </c>
      <c r="L2942" s="754">
        <v>12</v>
      </c>
      <c r="M2942" s="736">
        <v>31960.799999999999</v>
      </c>
      <c r="N2942" s="744"/>
      <c r="O2942" s="739"/>
      <c r="P2942" s="739"/>
      <c r="Q2942" s="214"/>
    </row>
    <row r="2943" spans="1:17" ht="12" customHeight="1" x14ac:dyDescent="0.2">
      <c r="A2943" s="735" t="s">
        <v>7733</v>
      </c>
      <c r="B2943" s="735" t="s">
        <v>2170</v>
      </c>
      <c r="C2943" s="735" t="s">
        <v>451</v>
      </c>
      <c r="D2943" s="644" t="s">
        <v>8032</v>
      </c>
      <c r="E2943" s="736">
        <v>2000</v>
      </c>
      <c r="F2943" s="737" t="s">
        <v>9866</v>
      </c>
      <c r="G2943" s="636" t="s">
        <v>9867</v>
      </c>
      <c r="H2943" s="636"/>
      <c r="I2943" s="636"/>
      <c r="J2943" s="644" t="s">
        <v>644</v>
      </c>
      <c r="K2943" s="753">
        <v>12</v>
      </c>
      <c r="L2943" s="754">
        <v>12</v>
      </c>
      <c r="M2943" s="736">
        <v>25960.799999999999</v>
      </c>
      <c r="N2943" s="744"/>
      <c r="O2943" s="739"/>
      <c r="P2943" s="739"/>
      <c r="Q2943" s="214"/>
    </row>
    <row r="2944" spans="1:17" ht="12" customHeight="1" x14ac:dyDescent="0.2">
      <c r="A2944" s="735" t="s">
        <v>7733</v>
      </c>
      <c r="B2944" s="735" t="s">
        <v>2170</v>
      </c>
      <c r="C2944" s="735" t="s">
        <v>451</v>
      </c>
      <c r="D2944" s="644" t="s">
        <v>9868</v>
      </c>
      <c r="E2944" s="736">
        <v>2800</v>
      </c>
      <c r="F2944" s="737" t="s">
        <v>9869</v>
      </c>
      <c r="G2944" s="636" t="s">
        <v>9870</v>
      </c>
      <c r="H2944" s="636" t="s">
        <v>9871</v>
      </c>
      <c r="I2944" s="636" t="s">
        <v>8228</v>
      </c>
      <c r="J2944" s="644" t="s">
        <v>643</v>
      </c>
      <c r="K2944" s="753">
        <v>12</v>
      </c>
      <c r="L2944" s="754">
        <v>12</v>
      </c>
      <c r="M2944" s="736">
        <v>35560.800000000003</v>
      </c>
      <c r="N2944" s="744"/>
      <c r="O2944" s="739"/>
      <c r="P2944" s="739"/>
      <c r="Q2944" s="214"/>
    </row>
    <row r="2945" spans="1:17" ht="12" customHeight="1" x14ac:dyDescent="0.2">
      <c r="A2945" s="735" t="s">
        <v>7733</v>
      </c>
      <c r="B2945" s="735" t="s">
        <v>2170</v>
      </c>
      <c r="C2945" s="735" t="s">
        <v>451</v>
      </c>
      <c r="D2945" s="644" t="s">
        <v>7838</v>
      </c>
      <c r="E2945" s="736">
        <v>2500</v>
      </c>
      <c r="F2945" s="737" t="s">
        <v>9872</v>
      </c>
      <c r="G2945" s="636" t="s">
        <v>9873</v>
      </c>
      <c r="H2945" s="636" t="s">
        <v>8282</v>
      </c>
      <c r="I2945" s="636" t="s">
        <v>7835</v>
      </c>
      <c r="J2945" s="644" t="s">
        <v>643</v>
      </c>
      <c r="K2945" s="753">
        <v>9</v>
      </c>
      <c r="L2945" s="754">
        <v>9</v>
      </c>
      <c r="M2945" s="736">
        <v>24460.799999999999</v>
      </c>
      <c r="N2945" s="744"/>
      <c r="O2945" s="739"/>
      <c r="P2945" s="739"/>
      <c r="Q2945" s="214"/>
    </row>
    <row r="2946" spans="1:17" ht="12" customHeight="1" x14ac:dyDescent="0.2">
      <c r="A2946" s="735" t="s">
        <v>7733</v>
      </c>
      <c r="B2946" s="735" t="s">
        <v>2170</v>
      </c>
      <c r="C2946" s="735" t="s">
        <v>451</v>
      </c>
      <c r="D2946" s="644" t="s">
        <v>7740</v>
      </c>
      <c r="E2946" s="736">
        <v>2200</v>
      </c>
      <c r="F2946" s="737" t="s">
        <v>9874</v>
      </c>
      <c r="G2946" s="636" t="s">
        <v>9875</v>
      </c>
      <c r="H2946" s="636"/>
      <c r="I2946" s="636"/>
      <c r="J2946" s="644" t="s">
        <v>642</v>
      </c>
      <c r="K2946" s="753">
        <v>1</v>
      </c>
      <c r="L2946" s="754">
        <v>1</v>
      </c>
      <c r="M2946" s="736">
        <v>4160.8</v>
      </c>
      <c r="N2946" s="744"/>
      <c r="O2946" s="739"/>
      <c r="P2946" s="739"/>
      <c r="Q2946" s="214"/>
    </row>
    <row r="2947" spans="1:17" ht="12" customHeight="1" x14ac:dyDescent="0.2">
      <c r="A2947" s="735" t="s">
        <v>7733</v>
      </c>
      <c r="B2947" s="735" t="s">
        <v>2170</v>
      </c>
      <c r="C2947" s="735" t="s">
        <v>451</v>
      </c>
      <c r="D2947" s="644" t="s">
        <v>8268</v>
      </c>
      <c r="E2947" s="736">
        <v>2200</v>
      </c>
      <c r="F2947" s="737" t="s">
        <v>9876</v>
      </c>
      <c r="G2947" s="636" t="s">
        <v>9877</v>
      </c>
      <c r="H2947" s="636" t="s">
        <v>8282</v>
      </c>
      <c r="I2947" s="636" t="s">
        <v>7835</v>
      </c>
      <c r="J2947" s="644" t="s">
        <v>644</v>
      </c>
      <c r="K2947" s="753">
        <v>12</v>
      </c>
      <c r="L2947" s="754">
        <v>12</v>
      </c>
      <c r="M2947" s="736">
        <v>28360.799999999999</v>
      </c>
      <c r="N2947" s="744"/>
      <c r="O2947" s="739"/>
      <c r="P2947" s="739"/>
      <c r="Q2947" s="214"/>
    </row>
    <row r="2948" spans="1:17" ht="12" customHeight="1" x14ac:dyDescent="0.2">
      <c r="A2948" s="735" t="s">
        <v>7733</v>
      </c>
      <c r="B2948" s="735" t="s">
        <v>2170</v>
      </c>
      <c r="C2948" s="735" t="s">
        <v>451</v>
      </c>
      <c r="D2948" s="644" t="s">
        <v>8010</v>
      </c>
      <c r="E2948" s="736">
        <v>2000</v>
      </c>
      <c r="F2948" s="737" t="s">
        <v>9878</v>
      </c>
      <c r="G2948" s="636" t="s">
        <v>9879</v>
      </c>
      <c r="H2948" s="636"/>
      <c r="I2948" s="636"/>
      <c r="J2948" s="644" t="s">
        <v>643</v>
      </c>
      <c r="K2948" s="753">
        <v>5</v>
      </c>
      <c r="L2948" s="754">
        <v>12</v>
      </c>
      <c r="M2948" s="736">
        <v>25960.799999999999</v>
      </c>
      <c r="N2948" s="744"/>
      <c r="O2948" s="739"/>
      <c r="P2948" s="739"/>
      <c r="Q2948" s="214"/>
    </row>
    <row r="2949" spans="1:17" ht="12" customHeight="1" x14ac:dyDescent="0.2">
      <c r="A2949" s="735" t="s">
        <v>7733</v>
      </c>
      <c r="B2949" s="735" t="s">
        <v>2170</v>
      </c>
      <c r="C2949" s="735" t="s">
        <v>451</v>
      </c>
      <c r="D2949" s="644" t="s">
        <v>9192</v>
      </c>
      <c r="E2949" s="736">
        <v>3500</v>
      </c>
      <c r="F2949" s="737" t="s">
        <v>9880</v>
      </c>
      <c r="G2949" s="636" t="s">
        <v>9881</v>
      </c>
      <c r="H2949" s="636"/>
      <c r="I2949" s="636"/>
      <c r="J2949" s="644" t="s">
        <v>642</v>
      </c>
      <c r="K2949" s="753">
        <v>1</v>
      </c>
      <c r="L2949" s="754">
        <v>1</v>
      </c>
      <c r="M2949" s="736">
        <v>5460.8</v>
      </c>
      <c r="N2949" s="744"/>
      <c r="O2949" s="739"/>
      <c r="P2949" s="739"/>
      <c r="Q2949" s="214"/>
    </row>
    <row r="2950" spans="1:17" ht="12" customHeight="1" x14ac:dyDescent="0.2">
      <c r="A2950" s="735" t="s">
        <v>7733</v>
      </c>
      <c r="B2950" s="735" t="s">
        <v>2170</v>
      </c>
      <c r="C2950" s="735" t="s">
        <v>451</v>
      </c>
      <c r="D2950" s="644" t="s">
        <v>2261</v>
      </c>
      <c r="E2950" s="736">
        <v>3000</v>
      </c>
      <c r="F2950" s="737" t="s">
        <v>9882</v>
      </c>
      <c r="G2950" s="636" t="s">
        <v>9883</v>
      </c>
      <c r="H2950" s="636"/>
      <c r="I2950" s="636"/>
      <c r="J2950" s="644" t="s">
        <v>642</v>
      </c>
      <c r="K2950" s="753">
        <v>1</v>
      </c>
      <c r="L2950" s="754">
        <v>3</v>
      </c>
      <c r="M2950" s="736">
        <v>10960.8</v>
      </c>
      <c r="N2950" s="744"/>
      <c r="O2950" s="739"/>
      <c r="P2950" s="739"/>
      <c r="Q2950" s="214"/>
    </row>
    <row r="2951" spans="1:17" ht="12" customHeight="1" x14ac:dyDescent="0.2">
      <c r="A2951" s="735" t="s">
        <v>7733</v>
      </c>
      <c r="B2951" s="735" t="s">
        <v>2170</v>
      </c>
      <c r="C2951" s="735" t="s">
        <v>451</v>
      </c>
      <c r="D2951" s="644" t="s">
        <v>7977</v>
      </c>
      <c r="E2951" s="736">
        <v>4000</v>
      </c>
      <c r="F2951" s="737" t="s">
        <v>9884</v>
      </c>
      <c r="G2951" s="636" t="s">
        <v>9885</v>
      </c>
      <c r="H2951" s="636" t="s">
        <v>7782</v>
      </c>
      <c r="I2951" s="636" t="s">
        <v>2208</v>
      </c>
      <c r="J2951" s="644" t="s">
        <v>642</v>
      </c>
      <c r="K2951" s="753">
        <v>12</v>
      </c>
      <c r="L2951" s="754">
        <v>12</v>
      </c>
      <c r="M2951" s="736">
        <v>49960.800000000003</v>
      </c>
      <c r="N2951" s="744"/>
      <c r="O2951" s="739"/>
      <c r="P2951" s="739"/>
      <c r="Q2951" s="214"/>
    </row>
    <row r="2952" spans="1:17" ht="12" customHeight="1" x14ac:dyDescent="0.2">
      <c r="A2952" s="735" t="s">
        <v>7733</v>
      </c>
      <c r="B2952" s="735" t="s">
        <v>2170</v>
      </c>
      <c r="C2952" s="735" t="s">
        <v>451</v>
      </c>
      <c r="D2952" s="644" t="s">
        <v>8298</v>
      </c>
      <c r="E2952" s="736">
        <v>1200</v>
      </c>
      <c r="F2952" s="737" t="s">
        <v>9886</v>
      </c>
      <c r="G2952" s="636" t="s">
        <v>9887</v>
      </c>
      <c r="H2952" s="636"/>
      <c r="I2952" s="636"/>
      <c r="J2952" s="644" t="s">
        <v>644</v>
      </c>
      <c r="K2952" s="753">
        <v>5</v>
      </c>
      <c r="L2952" s="754">
        <v>12</v>
      </c>
      <c r="M2952" s="736">
        <v>16296</v>
      </c>
      <c r="N2952" s="744"/>
      <c r="O2952" s="739"/>
      <c r="P2952" s="739"/>
      <c r="Q2952" s="214"/>
    </row>
    <row r="2953" spans="1:17" ht="12" customHeight="1" x14ac:dyDescent="0.2">
      <c r="A2953" s="735" t="s">
        <v>7733</v>
      </c>
      <c r="B2953" s="735" t="s">
        <v>2170</v>
      </c>
      <c r="C2953" s="735" t="s">
        <v>451</v>
      </c>
      <c r="D2953" s="644" t="s">
        <v>7817</v>
      </c>
      <c r="E2953" s="736">
        <v>2500</v>
      </c>
      <c r="F2953" s="737" t="s">
        <v>9888</v>
      </c>
      <c r="G2953" s="636" t="s">
        <v>9889</v>
      </c>
      <c r="H2953" s="636" t="s">
        <v>8386</v>
      </c>
      <c r="I2953" s="636" t="s">
        <v>8387</v>
      </c>
      <c r="J2953" s="644" t="s">
        <v>643</v>
      </c>
      <c r="K2953" s="753">
        <v>12</v>
      </c>
      <c r="L2953" s="754">
        <v>12</v>
      </c>
      <c r="M2953" s="736">
        <v>31960.799999999999</v>
      </c>
      <c r="N2953" s="744"/>
      <c r="O2953" s="739"/>
      <c r="P2953" s="739"/>
      <c r="Q2953" s="214"/>
    </row>
    <row r="2954" spans="1:17" ht="12" customHeight="1" x14ac:dyDescent="0.2">
      <c r="A2954" s="735" t="s">
        <v>7733</v>
      </c>
      <c r="B2954" s="735" t="s">
        <v>2170</v>
      </c>
      <c r="C2954" s="735" t="s">
        <v>451</v>
      </c>
      <c r="D2954" s="644" t="s">
        <v>3345</v>
      </c>
      <c r="E2954" s="736">
        <v>4000</v>
      </c>
      <c r="F2954" s="737" t="s">
        <v>9890</v>
      </c>
      <c r="G2954" s="636" t="s">
        <v>9891</v>
      </c>
      <c r="H2954" s="636"/>
      <c r="I2954" s="636"/>
      <c r="J2954" s="644" t="s">
        <v>642</v>
      </c>
      <c r="K2954" s="753">
        <v>5</v>
      </c>
      <c r="L2954" s="754">
        <v>12</v>
      </c>
      <c r="M2954" s="736">
        <v>49960.800000000003</v>
      </c>
      <c r="N2954" s="744"/>
      <c r="O2954" s="739"/>
      <c r="P2954" s="739"/>
      <c r="Q2954" s="214"/>
    </row>
    <row r="2955" spans="1:17" ht="12" customHeight="1" x14ac:dyDescent="0.2">
      <c r="A2955" s="735" t="s">
        <v>7733</v>
      </c>
      <c r="B2955" s="735" t="s">
        <v>2170</v>
      </c>
      <c r="C2955" s="735" t="s">
        <v>451</v>
      </c>
      <c r="D2955" s="644" t="s">
        <v>9701</v>
      </c>
      <c r="E2955" s="736">
        <v>6500</v>
      </c>
      <c r="F2955" s="737" t="s">
        <v>9892</v>
      </c>
      <c r="G2955" s="636" t="s">
        <v>9893</v>
      </c>
      <c r="H2955" s="636" t="s">
        <v>9894</v>
      </c>
      <c r="I2955" s="636" t="s">
        <v>2766</v>
      </c>
      <c r="J2955" s="644" t="s">
        <v>642</v>
      </c>
      <c r="K2955" s="753">
        <v>5</v>
      </c>
      <c r="L2955" s="754">
        <v>12</v>
      </c>
      <c r="M2955" s="736">
        <v>79960.800000000003</v>
      </c>
      <c r="N2955" s="744"/>
      <c r="O2955" s="739"/>
      <c r="P2955" s="739"/>
      <c r="Q2955" s="214"/>
    </row>
    <row r="2956" spans="1:17" ht="12" customHeight="1" x14ac:dyDescent="0.2">
      <c r="A2956" s="735" t="s">
        <v>7733</v>
      </c>
      <c r="B2956" s="735" t="s">
        <v>2170</v>
      </c>
      <c r="C2956" s="735" t="s">
        <v>451</v>
      </c>
      <c r="D2956" s="644" t="s">
        <v>7746</v>
      </c>
      <c r="E2956" s="736">
        <v>2200</v>
      </c>
      <c r="F2956" s="737" t="s">
        <v>9895</v>
      </c>
      <c r="G2956" s="636" t="s">
        <v>9896</v>
      </c>
      <c r="H2956" s="636" t="s">
        <v>2228</v>
      </c>
      <c r="I2956" s="636" t="s">
        <v>2228</v>
      </c>
      <c r="J2956" s="644"/>
      <c r="K2956" s="753">
        <v>7</v>
      </c>
      <c r="L2956" s="754">
        <v>7</v>
      </c>
      <c r="M2956" s="736">
        <v>17360.8</v>
      </c>
      <c r="N2956" s="744"/>
      <c r="O2956" s="739"/>
      <c r="P2956" s="739"/>
      <c r="Q2956" s="214"/>
    </row>
    <row r="2957" spans="1:17" ht="12" customHeight="1" x14ac:dyDescent="0.2">
      <c r="A2957" s="735" t="s">
        <v>7733</v>
      </c>
      <c r="B2957" s="735" t="s">
        <v>2170</v>
      </c>
      <c r="C2957" s="735" t="s">
        <v>451</v>
      </c>
      <c r="D2957" s="644" t="s">
        <v>9295</v>
      </c>
      <c r="E2957" s="736">
        <v>7500</v>
      </c>
      <c r="F2957" s="737" t="s">
        <v>9897</v>
      </c>
      <c r="G2957" s="636" t="s">
        <v>9898</v>
      </c>
      <c r="H2957" s="636" t="s">
        <v>2228</v>
      </c>
      <c r="I2957" s="636" t="s">
        <v>2228</v>
      </c>
      <c r="J2957" s="644"/>
      <c r="K2957" s="753">
        <v>1</v>
      </c>
      <c r="L2957" s="754">
        <v>1</v>
      </c>
      <c r="M2957" s="736">
        <v>9460.7999999999993</v>
      </c>
      <c r="N2957" s="744"/>
      <c r="O2957" s="739"/>
      <c r="P2957" s="739"/>
      <c r="Q2957" s="214"/>
    </row>
    <row r="2958" spans="1:17" ht="12" customHeight="1" x14ac:dyDescent="0.2">
      <c r="A2958" s="735" t="s">
        <v>7733</v>
      </c>
      <c r="B2958" s="735" t="s">
        <v>2170</v>
      </c>
      <c r="C2958" s="735" t="s">
        <v>451</v>
      </c>
      <c r="D2958" s="644" t="s">
        <v>6668</v>
      </c>
      <c r="E2958" s="736">
        <v>3500</v>
      </c>
      <c r="F2958" s="737" t="s">
        <v>9899</v>
      </c>
      <c r="G2958" s="636" t="s">
        <v>9900</v>
      </c>
      <c r="H2958" s="636" t="s">
        <v>6778</v>
      </c>
      <c r="I2958" s="636" t="s">
        <v>2174</v>
      </c>
      <c r="J2958" s="644" t="s">
        <v>642</v>
      </c>
      <c r="K2958" s="753">
        <v>12</v>
      </c>
      <c r="L2958" s="754">
        <v>12</v>
      </c>
      <c r="M2958" s="736">
        <v>43960.800000000003</v>
      </c>
      <c r="N2958" s="744"/>
      <c r="O2958" s="739"/>
      <c r="P2958" s="739"/>
      <c r="Q2958" s="214"/>
    </row>
    <row r="2959" spans="1:17" ht="12" customHeight="1" x14ac:dyDescent="0.2">
      <c r="A2959" s="735" t="s">
        <v>7733</v>
      </c>
      <c r="B2959" s="735" t="s">
        <v>2170</v>
      </c>
      <c r="C2959" s="735" t="s">
        <v>451</v>
      </c>
      <c r="D2959" s="644" t="s">
        <v>8791</v>
      </c>
      <c r="E2959" s="736">
        <v>2500</v>
      </c>
      <c r="F2959" s="737" t="s">
        <v>9901</v>
      </c>
      <c r="G2959" s="636" t="s">
        <v>9902</v>
      </c>
      <c r="H2959" s="636" t="s">
        <v>6571</v>
      </c>
      <c r="I2959" s="636" t="s">
        <v>2179</v>
      </c>
      <c r="J2959" s="644" t="s">
        <v>642</v>
      </c>
      <c r="K2959" s="753">
        <v>5</v>
      </c>
      <c r="L2959" s="754">
        <v>6</v>
      </c>
      <c r="M2959" s="736">
        <v>16960.8</v>
      </c>
      <c r="N2959" s="744"/>
      <c r="O2959" s="739"/>
      <c r="P2959" s="739"/>
      <c r="Q2959" s="214"/>
    </row>
    <row r="2960" spans="1:17" ht="12" customHeight="1" x14ac:dyDescent="0.2">
      <c r="A2960" s="735" t="s">
        <v>7733</v>
      </c>
      <c r="B2960" s="735" t="s">
        <v>2170</v>
      </c>
      <c r="C2960" s="735" t="s">
        <v>451</v>
      </c>
      <c r="D2960" s="644" t="s">
        <v>9248</v>
      </c>
      <c r="E2960" s="736">
        <v>8000</v>
      </c>
      <c r="F2960" s="737" t="s">
        <v>9903</v>
      </c>
      <c r="G2960" s="636" t="s">
        <v>9904</v>
      </c>
      <c r="H2960" s="636" t="s">
        <v>7834</v>
      </c>
      <c r="I2960" s="636" t="s">
        <v>7835</v>
      </c>
      <c r="J2960" s="644" t="s">
        <v>642</v>
      </c>
      <c r="K2960" s="753">
        <v>9</v>
      </c>
      <c r="L2960" s="754">
        <v>12</v>
      </c>
      <c r="M2960" s="736">
        <v>97960.8</v>
      </c>
      <c r="N2960" s="744"/>
      <c r="O2960" s="739"/>
      <c r="P2960" s="739"/>
      <c r="Q2960" s="214"/>
    </row>
    <row r="2961" spans="1:17" ht="12" customHeight="1" x14ac:dyDescent="0.2">
      <c r="A2961" s="735" t="s">
        <v>7733</v>
      </c>
      <c r="B2961" s="735" t="s">
        <v>2170</v>
      </c>
      <c r="C2961" s="735" t="s">
        <v>451</v>
      </c>
      <c r="D2961" s="644" t="s">
        <v>7838</v>
      </c>
      <c r="E2961" s="736">
        <v>2500</v>
      </c>
      <c r="F2961" s="737" t="s">
        <v>9905</v>
      </c>
      <c r="G2961" s="636" t="s">
        <v>9906</v>
      </c>
      <c r="H2961" s="636"/>
      <c r="I2961" s="636"/>
      <c r="J2961" s="644" t="s">
        <v>642</v>
      </c>
      <c r="K2961" s="753">
        <v>12</v>
      </c>
      <c r="L2961" s="754">
        <v>12</v>
      </c>
      <c r="M2961" s="736">
        <v>31960.799999999999</v>
      </c>
      <c r="N2961" s="744"/>
      <c r="O2961" s="739"/>
      <c r="P2961" s="739"/>
      <c r="Q2961" s="214"/>
    </row>
    <row r="2962" spans="1:17" ht="12" customHeight="1" x14ac:dyDescent="0.2">
      <c r="A2962" s="735" t="s">
        <v>7733</v>
      </c>
      <c r="B2962" s="735" t="s">
        <v>2170</v>
      </c>
      <c r="C2962" s="735" t="s">
        <v>451</v>
      </c>
      <c r="D2962" s="644" t="s">
        <v>8401</v>
      </c>
      <c r="E2962" s="736">
        <v>5000</v>
      </c>
      <c r="F2962" s="737" t="s">
        <v>9907</v>
      </c>
      <c r="G2962" s="636" t="s">
        <v>9908</v>
      </c>
      <c r="H2962" s="636" t="s">
        <v>2228</v>
      </c>
      <c r="I2962" s="636" t="s">
        <v>2228</v>
      </c>
      <c r="J2962" s="644"/>
      <c r="K2962" s="753">
        <v>2</v>
      </c>
      <c r="L2962" s="754">
        <v>2</v>
      </c>
      <c r="M2962" s="736">
        <v>11960.8</v>
      </c>
      <c r="N2962" s="744"/>
      <c r="O2962" s="739"/>
      <c r="P2962" s="739"/>
      <c r="Q2962" s="214"/>
    </row>
    <row r="2963" spans="1:17" ht="12" customHeight="1" x14ac:dyDescent="0.2">
      <c r="A2963" s="735" t="s">
        <v>7733</v>
      </c>
      <c r="B2963" s="735" t="s">
        <v>2170</v>
      </c>
      <c r="C2963" s="735" t="s">
        <v>451</v>
      </c>
      <c r="D2963" s="644" t="s">
        <v>9909</v>
      </c>
      <c r="E2963" s="736">
        <v>4000</v>
      </c>
      <c r="F2963" s="737" t="s">
        <v>9910</v>
      </c>
      <c r="G2963" s="636" t="s">
        <v>9911</v>
      </c>
      <c r="H2963" s="636" t="s">
        <v>7073</v>
      </c>
      <c r="I2963" s="636" t="s">
        <v>2543</v>
      </c>
      <c r="J2963" s="644" t="s">
        <v>642</v>
      </c>
      <c r="K2963" s="753">
        <v>4</v>
      </c>
      <c r="L2963" s="754">
        <v>10</v>
      </c>
      <c r="M2963" s="736">
        <v>41960.800000000003</v>
      </c>
      <c r="N2963" s="744"/>
      <c r="O2963" s="739"/>
      <c r="P2963" s="739"/>
      <c r="Q2963" s="214"/>
    </row>
    <row r="2964" spans="1:17" ht="12" customHeight="1" x14ac:dyDescent="0.2">
      <c r="A2964" s="735" t="s">
        <v>7733</v>
      </c>
      <c r="B2964" s="735" t="s">
        <v>2170</v>
      </c>
      <c r="C2964" s="735" t="s">
        <v>451</v>
      </c>
      <c r="D2964" s="644" t="s">
        <v>7746</v>
      </c>
      <c r="E2964" s="736">
        <v>2200</v>
      </c>
      <c r="F2964" s="737" t="s">
        <v>9912</v>
      </c>
      <c r="G2964" s="636" t="s">
        <v>9913</v>
      </c>
      <c r="H2964" s="636"/>
      <c r="I2964" s="636"/>
      <c r="J2964" s="644" t="s">
        <v>643</v>
      </c>
      <c r="K2964" s="753">
        <v>12</v>
      </c>
      <c r="L2964" s="754">
        <v>12</v>
      </c>
      <c r="M2964" s="736">
        <v>28360.799999999999</v>
      </c>
      <c r="N2964" s="744"/>
      <c r="O2964" s="739"/>
      <c r="P2964" s="739"/>
      <c r="Q2964" s="214"/>
    </row>
    <row r="2965" spans="1:17" ht="12" customHeight="1" x14ac:dyDescent="0.2">
      <c r="A2965" s="735" t="s">
        <v>7733</v>
      </c>
      <c r="B2965" s="735" t="s">
        <v>2170</v>
      </c>
      <c r="C2965" s="735" t="s">
        <v>451</v>
      </c>
      <c r="D2965" s="644" t="s">
        <v>9325</v>
      </c>
      <c r="E2965" s="736">
        <v>6000</v>
      </c>
      <c r="F2965" s="737" t="s">
        <v>9914</v>
      </c>
      <c r="G2965" s="636" t="s">
        <v>9915</v>
      </c>
      <c r="H2965" s="636"/>
      <c r="I2965" s="636"/>
      <c r="J2965" s="644" t="s">
        <v>642</v>
      </c>
      <c r="K2965" s="753">
        <v>4</v>
      </c>
      <c r="L2965" s="754">
        <v>12</v>
      </c>
      <c r="M2965" s="736">
        <v>73960.800000000003</v>
      </c>
      <c r="N2965" s="744"/>
      <c r="O2965" s="739"/>
      <c r="P2965" s="739"/>
      <c r="Q2965" s="214"/>
    </row>
    <row r="2966" spans="1:17" ht="12" customHeight="1" x14ac:dyDescent="0.2">
      <c r="A2966" s="735" t="s">
        <v>7733</v>
      </c>
      <c r="B2966" s="735" t="s">
        <v>2170</v>
      </c>
      <c r="C2966" s="735" t="s">
        <v>451</v>
      </c>
      <c r="D2966" s="644" t="s">
        <v>7817</v>
      </c>
      <c r="E2966" s="736">
        <v>1500</v>
      </c>
      <c r="F2966" s="737" t="s">
        <v>9916</v>
      </c>
      <c r="G2966" s="636" t="s">
        <v>9917</v>
      </c>
      <c r="H2966" s="636" t="s">
        <v>9918</v>
      </c>
      <c r="I2966" s="636" t="s">
        <v>7911</v>
      </c>
      <c r="J2966" s="644" t="s">
        <v>643</v>
      </c>
      <c r="K2966" s="753">
        <v>1</v>
      </c>
      <c r="L2966" s="754">
        <v>12</v>
      </c>
      <c r="M2966" s="736">
        <v>20220</v>
      </c>
      <c r="N2966" s="744"/>
      <c r="O2966" s="739"/>
      <c r="P2966" s="739"/>
      <c r="Q2966" s="214"/>
    </row>
    <row r="2967" spans="1:17" ht="12" customHeight="1" x14ac:dyDescent="0.2">
      <c r="A2967" s="735" t="s">
        <v>7733</v>
      </c>
      <c r="B2967" s="735" t="s">
        <v>2170</v>
      </c>
      <c r="C2967" s="735" t="s">
        <v>451</v>
      </c>
      <c r="D2967" s="644" t="s">
        <v>3290</v>
      </c>
      <c r="E2967" s="736">
        <v>1800</v>
      </c>
      <c r="F2967" s="737" t="s">
        <v>9919</v>
      </c>
      <c r="G2967" s="636" t="s">
        <v>9920</v>
      </c>
      <c r="H2967" s="636" t="s">
        <v>8143</v>
      </c>
      <c r="I2967" s="636" t="s">
        <v>8004</v>
      </c>
      <c r="J2967" s="644" t="s">
        <v>643</v>
      </c>
      <c r="K2967" s="753">
        <v>6</v>
      </c>
      <c r="L2967" s="754">
        <v>10</v>
      </c>
      <c r="M2967" s="736">
        <v>20544</v>
      </c>
      <c r="N2967" s="744"/>
      <c r="O2967" s="739"/>
      <c r="P2967" s="739"/>
      <c r="Q2967" s="214"/>
    </row>
    <row r="2968" spans="1:17" ht="12" customHeight="1" x14ac:dyDescent="0.2">
      <c r="A2968" s="735" t="s">
        <v>7733</v>
      </c>
      <c r="B2968" s="735" t="s">
        <v>2170</v>
      </c>
      <c r="C2968" s="735" t="s">
        <v>451</v>
      </c>
      <c r="D2968" s="644" t="s">
        <v>8298</v>
      </c>
      <c r="E2968" s="736">
        <v>1000</v>
      </c>
      <c r="F2968" s="737" t="s">
        <v>9921</v>
      </c>
      <c r="G2968" s="636" t="s">
        <v>9922</v>
      </c>
      <c r="H2968" s="636" t="s">
        <v>9923</v>
      </c>
      <c r="I2968" s="636" t="s">
        <v>3760</v>
      </c>
      <c r="J2968" s="644" t="s">
        <v>644</v>
      </c>
      <c r="K2968" s="753">
        <v>12</v>
      </c>
      <c r="L2968" s="754">
        <v>12</v>
      </c>
      <c r="M2968" s="736">
        <v>13680</v>
      </c>
      <c r="N2968" s="744"/>
      <c r="O2968" s="739"/>
      <c r="P2968" s="739"/>
      <c r="Q2968" s="214"/>
    </row>
    <row r="2969" spans="1:17" ht="12" customHeight="1" x14ac:dyDescent="0.2">
      <c r="A2969" s="735" t="s">
        <v>7733</v>
      </c>
      <c r="B2969" s="735" t="s">
        <v>2170</v>
      </c>
      <c r="C2969" s="735" t="s">
        <v>451</v>
      </c>
      <c r="D2969" s="644" t="s">
        <v>7901</v>
      </c>
      <c r="E2969" s="736">
        <v>2500</v>
      </c>
      <c r="F2969" s="737" t="s">
        <v>9924</v>
      </c>
      <c r="G2969" s="636" t="s">
        <v>9925</v>
      </c>
      <c r="H2969" s="636" t="s">
        <v>6571</v>
      </c>
      <c r="I2969" s="636" t="s">
        <v>2179</v>
      </c>
      <c r="J2969" s="644" t="s">
        <v>644</v>
      </c>
      <c r="K2969" s="753">
        <v>12</v>
      </c>
      <c r="L2969" s="754">
        <v>12</v>
      </c>
      <c r="M2969" s="736">
        <v>31960.799999999999</v>
      </c>
      <c r="N2969" s="744"/>
      <c r="O2969" s="739"/>
      <c r="P2969" s="739"/>
      <c r="Q2969" s="214"/>
    </row>
    <row r="2970" spans="1:17" ht="12" customHeight="1" x14ac:dyDescent="0.2">
      <c r="A2970" s="735" t="s">
        <v>7733</v>
      </c>
      <c r="B2970" s="735" t="s">
        <v>2170</v>
      </c>
      <c r="C2970" s="735" t="s">
        <v>451</v>
      </c>
      <c r="D2970" s="644" t="s">
        <v>7746</v>
      </c>
      <c r="E2970" s="736">
        <v>1700</v>
      </c>
      <c r="F2970" s="737" t="s">
        <v>9926</v>
      </c>
      <c r="G2970" s="636" t="s">
        <v>9927</v>
      </c>
      <c r="H2970" s="636" t="s">
        <v>9928</v>
      </c>
      <c r="I2970" s="636" t="s">
        <v>9928</v>
      </c>
      <c r="J2970" s="644" t="s">
        <v>643</v>
      </c>
      <c r="K2970" s="753">
        <v>12</v>
      </c>
      <c r="L2970" s="754">
        <v>12</v>
      </c>
      <c r="M2970" s="736">
        <v>22836</v>
      </c>
      <c r="N2970" s="744"/>
      <c r="O2970" s="739"/>
      <c r="P2970" s="739"/>
      <c r="Q2970" s="214"/>
    </row>
    <row r="2971" spans="1:17" ht="12" customHeight="1" x14ac:dyDescent="0.2">
      <c r="A2971" s="735" t="s">
        <v>7733</v>
      </c>
      <c r="B2971" s="735" t="s">
        <v>2170</v>
      </c>
      <c r="C2971" s="735" t="s">
        <v>451</v>
      </c>
      <c r="D2971" s="644" t="s">
        <v>7855</v>
      </c>
      <c r="E2971" s="736">
        <v>2200</v>
      </c>
      <c r="F2971" s="737" t="s">
        <v>9929</v>
      </c>
      <c r="G2971" s="636" t="s">
        <v>9930</v>
      </c>
      <c r="H2971" s="636" t="s">
        <v>7152</v>
      </c>
      <c r="I2971" s="636" t="s">
        <v>8036</v>
      </c>
      <c r="J2971" s="644" t="s">
        <v>644</v>
      </c>
      <c r="K2971" s="753">
        <v>12</v>
      </c>
      <c r="L2971" s="754">
        <v>12</v>
      </c>
      <c r="M2971" s="736">
        <v>28360.799999999999</v>
      </c>
      <c r="N2971" s="744"/>
      <c r="O2971" s="739"/>
      <c r="P2971" s="739"/>
      <c r="Q2971" s="214"/>
    </row>
    <row r="2972" spans="1:17" ht="12" customHeight="1" x14ac:dyDescent="0.2">
      <c r="A2972" s="735" t="s">
        <v>7733</v>
      </c>
      <c r="B2972" s="735" t="s">
        <v>2170</v>
      </c>
      <c r="C2972" s="735" t="s">
        <v>451</v>
      </c>
      <c r="D2972" s="644" t="s">
        <v>8430</v>
      </c>
      <c r="E2972" s="736">
        <v>4500</v>
      </c>
      <c r="F2972" s="737" t="s">
        <v>9931</v>
      </c>
      <c r="G2972" s="636" t="s">
        <v>9932</v>
      </c>
      <c r="H2972" s="636" t="s">
        <v>6571</v>
      </c>
      <c r="I2972" s="636" t="s">
        <v>2179</v>
      </c>
      <c r="J2972" s="644" t="s">
        <v>642</v>
      </c>
      <c r="K2972" s="753">
        <v>5</v>
      </c>
      <c r="L2972" s="754">
        <v>12</v>
      </c>
      <c r="M2972" s="736">
        <v>55960.800000000003</v>
      </c>
      <c r="N2972" s="744"/>
      <c r="O2972" s="739"/>
      <c r="P2972" s="739"/>
      <c r="Q2972" s="214"/>
    </row>
    <row r="2973" spans="1:17" ht="12" customHeight="1" x14ac:dyDescent="0.2">
      <c r="A2973" s="735" t="s">
        <v>7733</v>
      </c>
      <c r="B2973" s="735" t="s">
        <v>2170</v>
      </c>
      <c r="C2973" s="735" t="s">
        <v>451</v>
      </c>
      <c r="D2973" s="644" t="s">
        <v>2261</v>
      </c>
      <c r="E2973" s="736">
        <v>2500</v>
      </c>
      <c r="F2973" s="737" t="s">
        <v>9933</v>
      </c>
      <c r="G2973" s="636" t="s">
        <v>9934</v>
      </c>
      <c r="H2973" s="636" t="s">
        <v>9935</v>
      </c>
      <c r="I2973" s="636" t="s">
        <v>9935</v>
      </c>
      <c r="J2973" s="644" t="s">
        <v>644</v>
      </c>
      <c r="K2973" s="753">
        <v>5</v>
      </c>
      <c r="L2973" s="754">
        <v>12</v>
      </c>
      <c r="M2973" s="736">
        <v>31960.799999999999</v>
      </c>
      <c r="N2973" s="744"/>
      <c r="O2973" s="739"/>
      <c r="P2973" s="739"/>
      <c r="Q2973" s="214"/>
    </row>
    <row r="2974" spans="1:17" ht="12" customHeight="1" x14ac:dyDescent="0.2">
      <c r="A2974" s="735" t="s">
        <v>7733</v>
      </c>
      <c r="B2974" s="735" t="s">
        <v>2170</v>
      </c>
      <c r="C2974" s="735" t="s">
        <v>451</v>
      </c>
      <c r="D2974" s="644" t="s">
        <v>8023</v>
      </c>
      <c r="E2974" s="736">
        <v>2500</v>
      </c>
      <c r="F2974" s="737" t="s">
        <v>9936</v>
      </c>
      <c r="G2974" s="636" t="s">
        <v>9937</v>
      </c>
      <c r="H2974" s="636" t="s">
        <v>7295</v>
      </c>
      <c r="I2974" s="636" t="s">
        <v>9938</v>
      </c>
      <c r="J2974" s="644" t="s">
        <v>642</v>
      </c>
      <c r="K2974" s="753">
        <v>12</v>
      </c>
      <c r="L2974" s="754">
        <v>12</v>
      </c>
      <c r="M2974" s="736">
        <v>31960.799999999999</v>
      </c>
      <c r="N2974" s="744"/>
      <c r="O2974" s="739"/>
      <c r="P2974" s="739"/>
      <c r="Q2974" s="214"/>
    </row>
    <row r="2975" spans="1:17" ht="12" customHeight="1" x14ac:dyDescent="0.2">
      <c r="A2975" s="735" t="s">
        <v>7733</v>
      </c>
      <c r="B2975" s="735" t="s">
        <v>2170</v>
      </c>
      <c r="C2975" s="735" t="s">
        <v>451</v>
      </c>
      <c r="D2975" s="644" t="s">
        <v>7855</v>
      </c>
      <c r="E2975" s="736">
        <v>2200</v>
      </c>
      <c r="F2975" s="737" t="s">
        <v>9939</v>
      </c>
      <c r="G2975" s="636" t="s">
        <v>9940</v>
      </c>
      <c r="H2975" s="636" t="s">
        <v>8536</v>
      </c>
      <c r="I2975" s="636" t="s">
        <v>9743</v>
      </c>
      <c r="J2975" s="644" t="s">
        <v>644</v>
      </c>
      <c r="K2975" s="753">
        <v>12</v>
      </c>
      <c r="L2975" s="754">
        <v>12</v>
      </c>
      <c r="M2975" s="736">
        <v>28360.799999999999</v>
      </c>
      <c r="N2975" s="744"/>
      <c r="O2975" s="739"/>
      <c r="P2975" s="739"/>
      <c r="Q2975" s="214"/>
    </row>
    <row r="2976" spans="1:17" ht="12" customHeight="1" x14ac:dyDescent="0.2">
      <c r="A2976" s="735" t="s">
        <v>7733</v>
      </c>
      <c r="B2976" s="735" t="s">
        <v>2170</v>
      </c>
      <c r="C2976" s="735" t="s">
        <v>451</v>
      </c>
      <c r="D2976" s="644" t="s">
        <v>8177</v>
      </c>
      <c r="E2976" s="736">
        <v>7000</v>
      </c>
      <c r="F2976" s="737" t="s">
        <v>9941</v>
      </c>
      <c r="G2976" s="636" t="s">
        <v>9942</v>
      </c>
      <c r="H2976" s="636"/>
      <c r="I2976" s="636"/>
      <c r="J2976" s="644" t="s">
        <v>642</v>
      </c>
      <c r="K2976" s="753">
        <v>1</v>
      </c>
      <c r="L2976" s="754">
        <v>3</v>
      </c>
      <c r="M2976" s="736">
        <v>22960.799999999999</v>
      </c>
      <c r="N2976" s="744"/>
      <c r="O2976" s="739"/>
      <c r="P2976" s="739"/>
      <c r="Q2976" s="214"/>
    </row>
    <row r="2977" spans="1:17" ht="12" customHeight="1" x14ac:dyDescent="0.2">
      <c r="A2977" s="735" t="s">
        <v>7733</v>
      </c>
      <c r="B2977" s="735" t="s">
        <v>2170</v>
      </c>
      <c r="C2977" s="735" t="s">
        <v>451</v>
      </c>
      <c r="D2977" s="644" t="s">
        <v>9943</v>
      </c>
      <c r="E2977" s="736">
        <v>5000</v>
      </c>
      <c r="F2977" s="737" t="s">
        <v>9944</v>
      </c>
      <c r="G2977" s="636" t="s">
        <v>9945</v>
      </c>
      <c r="H2977" s="636" t="s">
        <v>9946</v>
      </c>
      <c r="I2977" s="636" t="s">
        <v>2179</v>
      </c>
      <c r="J2977" s="644" t="s">
        <v>642</v>
      </c>
      <c r="K2977" s="753">
        <v>5</v>
      </c>
      <c r="L2977" s="754">
        <v>12</v>
      </c>
      <c r="M2977" s="736">
        <v>61960.800000000003</v>
      </c>
      <c r="N2977" s="744"/>
      <c r="O2977" s="739"/>
      <c r="P2977" s="739"/>
      <c r="Q2977" s="214"/>
    </row>
    <row r="2978" spans="1:17" ht="12" customHeight="1" x14ac:dyDescent="0.2">
      <c r="A2978" s="735" t="s">
        <v>7733</v>
      </c>
      <c r="B2978" s="735" t="s">
        <v>2170</v>
      </c>
      <c r="C2978" s="735" t="s">
        <v>451</v>
      </c>
      <c r="D2978" s="644" t="s">
        <v>2190</v>
      </c>
      <c r="E2978" s="736">
        <v>1200</v>
      </c>
      <c r="F2978" s="737" t="s">
        <v>9947</v>
      </c>
      <c r="G2978" s="636" t="s">
        <v>9948</v>
      </c>
      <c r="H2978" s="636"/>
      <c r="I2978" s="636"/>
      <c r="J2978" s="644" t="s">
        <v>644</v>
      </c>
      <c r="K2978" s="753">
        <v>12</v>
      </c>
      <c r="L2978" s="754">
        <v>12</v>
      </c>
      <c r="M2978" s="736">
        <v>16296</v>
      </c>
      <c r="N2978" s="744"/>
      <c r="O2978" s="739"/>
      <c r="P2978" s="739"/>
      <c r="Q2978" s="214"/>
    </row>
    <row r="2979" spans="1:17" ht="12" customHeight="1" x14ac:dyDescent="0.2">
      <c r="A2979" s="735" t="s">
        <v>7733</v>
      </c>
      <c r="B2979" s="735" t="s">
        <v>2170</v>
      </c>
      <c r="C2979" s="735" t="s">
        <v>451</v>
      </c>
      <c r="D2979" s="644" t="s">
        <v>8041</v>
      </c>
      <c r="E2979" s="736">
        <v>2000</v>
      </c>
      <c r="F2979" s="737" t="s">
        <v>9949</v>
      </c>
      <c r="G2979" s="636" t="s">
        <v>9950</v>
      </c>
      <c r="H2979" s="636"/>
      <c r="I2979" s="636"/>
      <c r="J2979" s="644" t="s">
        <v>644</v>
      </c>
      <c r="K2979" s="753">
        <v>10</v>
      </c>
      <c r="L2979" s="754">
        <v>10</v>
      </c>
      <c r="M2979" s="736">
        <v>21960.799999999999</v>
      </c>
      <c r="N2979" s="744"/>
      <c r="O2979" s="739"/>
      <c r="P2979" s="739"/>
      <c r="Q2979" s="214"/>
    </row>
    <row r="2980" spans="1:17" ht="12" customHeight="1" x14ac:dyDescent="0.2">
      <c r="A2980" s="735" t="s">
        <v>7733</v>
      </c>
      <c r="B2980" s="735" t="s">
        <v>2170</v>
      </c>
      <c r="C2980" s="735" t="s">
        <v>451</v>
      </c>
      <c r="D2980" s="644" t="s">
        <v>8041</v>
      </c>
      <c r="E2980" s="736">
        <v>2000</v>
      </c>
      <c r="F2980" s="737" t="s">
        <v>9951</v>
      </c>
      <c r="G2980" s="636" t="s">
        <v>9952</v>
      </c>
      <c r="H2980" s="636"/>
      <c r="I2980" s="636"/>
      <c r="J2980" s="644" t="s">
        <v>643</v>
      </c>
      <c r="K2980" s="753">
        <v>9</v>
      </c>
      <c r="L2980" s="754">
        <v>9</v>
      </c>
      <c r="M2980" s="736">
        <v>19960.8</v>
      </c>
      <c r="N2980" s="744"/>
      <c r="O2980" s="739"/>
      <c r="P2980" s="739"/>
      <c r="Q2980" s="214"/>
    </row>
    <row r="2981" spans="1:17" ht="12" customHeight="1" x14ac:dyDescent="0.2">
      <c r="A2981" s="735" t="s">
        <v>7733</v>
      </c>
      <c r="B2981" s="735" t="s">
        <v>2170</v>
      </c>
      <c r="C2981" s="735" t="s">
        <v>451</v>
      </c>
      <c r="D2981" s="644" t="s">
        <v>7779</v>
      </c>
      <c r="E2981" s="736">
        <v>4000</v>
      </c>
      <c r="F2981" s="737" t="s">
        <v>9953</v>
      </c>
      <c r="G2981" s="636" t="s">
        <v>9954</v>
      </c>
      <c r="H2981" s="636" t="s">
        <v>2228</v>
      </c>
      <c r="I2981" s="636" t="s">
        <v>2228</v>
      </c>
      <c r="J2981" s="644"/>
      <c r="K2981" s="753">
        <v>5</v>
      </c>
      <c r="L2981" s="754">
        <v>5</v>
      </c>
      <c r="M2981" s="736">
        <v>21960.799999999999</v>
      </c>
      <c r="N2981" s="744"/>
      <c r="O2981" s="739"/>
      <c r="P2981" s="739"/>
      <c r="Q2981" s="214"/>
    </row>
    <row r="2982" spans="1:17" ht="12" customHeight="1" x14ac:dyDescent="0.2">
      <c r="A2982" s="735" t="s">
        <v>7733</v>
      </c>
      <c r="B2982" s="735" t="s">
        <v>2170</v>
      </c>
      <c r="C2982" s="735" t="s">
        <v>451</v>
      </c>
      <c r="D2982" s="644" t="s">
        <v>8268</v>
      </c>
      <c r="E2982" s="736">
        <v>2200</v>
      </c>
      <c r="F2982" s="737" t="s">
        <v>9955</v>
      </c>
      <c r="G2982" s="636" t="s">
        <v>9956</v>
      </c>
      <c r="H2982" s="636" t="s">
        <v>7782</v>
      </c>
      <c r="I2982" s="636" t="s">
        <v>9142</v>
      </c>
      <c r="J2982" s="644" t="s">
        <v>644</v>
      </c>
      <c r="K2982" s="753">
        <v>12</v>
      </c>
      <c r="L2982" s="754">
        <v>12</v>
      </c>
      <c r="M2982" s="736">
        <v>28360.799999999999</v>
      </c>
      <c r="N2982" s="744"/>
      <c r="O2982" s="739"/>
      <c r="P2982" s="739"/>
      <c r="Q2982" s="214"/>
    </row>
    <row r="2983" spans="1:17" ht="12" customHeight="1" x14ac:dyDescent="0.2">
      <c r="A2983" s="735" t="s">
        <v>7733</v>
      </c>
      <c r="B2983" s="735" t="s">
        <v>2170</v>
      </c>
      <c r="C2983" s="735" t="s">
        <v>451</v>
      </c>
      <c r="D2983" s="644" t="s">
        <v>8404</v>
      </c>
      <c r="E2983" s="736">
        <v>1000</v>
      </c>
      <c r="F2983" s="737" t="s">
        <v>9957</v>
      </c>
      <c r="G2983" s="636" t="s">
        <v>9958</v>
      </c>
      <c r="H2983" s="636"/>
      <c r="I2983" s="636"/>
      <c r="J2983" s="644" t="s">
        <v>644</v>
      </c>
      <c r="K2983" s="753">
        <v>12</v>
      </c>
      <c r="L2983" s="754">
        <v>12</v>
      </c>
      <c r="M2983" s="736">
        <v>13680</v>
      </c>
      <c r="N2983" s="744"/>
      <c r="O2983" s="739"/>
      <c r="P2983" s="739"/>
      <c r="Q2983" s="214"/>
    </row>
    <row r="2984" spans="1:17" ht="12" customHeight="1" x14ac:dyDescent="0.2">
      <c r="A2984" s="735" t="s">
        <v>7733</v>
      </c>
      <c r="B2984" s="735" t="s">
        <v>2170</v>
      </c>
      <c r="C2984" s="735" t="s">
        <v>451</v>
      </c>
      <c r="D2984" s="644" t="s">
        <v>2261</v>
      </c>
      <c r="E2984" s="736">
        <v>2500</v>
      </c>
      <c r="F2984" s="737" t="s">
        <v>9959</v>
      </c>
      <c r="G2984" s="636" t="s">
        <v>9960</v>
      </c>
      <c r="H2984" s="636" t="s">
        <v>3915</v>
      </c>
      <c r="I2984" s="636" t="s">
        <v>9816</v>
      </c>
      <c r="J2984" s="644" t="s">
        <v>643</v>
      </c>
      <c r="K2984" s="753">
        <v>5</v>
      </c>
      <c r="L2984" s="754">
        <v>12</v>
      </c>
      <c r="M2984" s="736">
        <v>31960.799999999999</v>
      </c>
      <c r="N2984" s="744"/>
      <c r="O2984" s="739"/>
      <c r="P2984" s="739"/>
      <c r="Q2984" s="214"/>
    </row>
    <row r="2985" spans="1:17" ht="12" customHeight="1" x14ac:dyDescent="0.2">
      <c r="A2985" s="735" t="s">
        <v>7733</v>
      </c>
      <c r="B2985" s="735" t="s">
        <v>2170</v>
      </c>
      <c r="C2985" s="735" t="s">
        <v>451</v>
      </c>
      <c r="D2985" s="644" t="s">
        <v>9961</v>
      </c>
      <c r="E2985" s="736">
        <v>5000</v>
      </c>
      <c r="F2985" s="737" t="s">
        <v>9962</v>
      </c>
      <c r="G2985" s="636" t="s">
        <v>9963</v>
      </c>
      <c r="H2985" s="636" t="s">
        <v>3754</v>
      </c>
      <c r="I2985" s="636" t="s">
        <v>2979</v>
      </c>
      <c r="J2985" s="644" t="s">
        <v>642</v>
      </c>
      <c r="K2985" s="753">
        <v>5</v>
      </c>
      <c r="L2985" s="754">
        <v>12</v>
      </c>
      <c r="M2985" s="736">
        <v>61960.800000000003</v>
      </c>
      <c r="N2985" s="744"/>
      <c r="O2985" s="739"/>
      <c r="P2985" s="739"/>
      <c r="Q2985" s="214"/>
    </row>
    <row r="2986" spans="1:17" ht="12" customHeight="1" x14ac:dyDescent="0.2">
      <c r="A2986" s="735" t="s">
        <v>7733</v>
      </c>
      <c r="B2986" s="735" t="s">
        <v>2170</v>
      </c>
      <c r="C2986" s="735" t="s">
        <v>451</v>
      </c>
      <c r="D2986" s="644" t="s">
        <v>2261</v>
      </c>
      <c r="E2986" s="736">
        <v>3000</v>
      </c>
      <c r="F2986" s="737" t="s">
        <v>9964</v>
      </c>
      <c r="G2986" s="636" t="s">
        <v>9965</v>
      </c>
      <c r="H2986" s="636" t="s">
        <v>9094</v>
      </c>
      <c r="I2986" s="636" t="s">
        <v>9966</v>
      </c>
      <c r="J2986" s="644" t="s">
        <v>644</v>
      </c>
      <c r="K2986" s="753">
        <v>12</v>
      </c>
      <c r="L2986" s="754">
        <v>12</v>
      </c>
      <c r="M2986" s="736">
        <v>37960.800000000003</v>
      </c>
      <c r="N2986" s="744"/>
      <c r="O2986" s="739"/>
      <c r="P2986" s="739"/>
      <c r="Q2986" s="214"/>
    </row>
    <row r="2987" spans="1:17" ht="12" customHeight="1" x14ac:dyDescent="0.2">
      <c r="A2987" s="735" t="s">
        <v>7733</v>
      </c>
      <c r="B2987" s="735" t="s">
        <v>2170</v>
      </c>
      <c r="C2987" s="735" t="s">
        <v>451</v>
      </c>
      <c r="D2987" s="644" t="s">
        <v>7977</v>
      </c>
      <c r="E2987" s="736">
        <v>4000</v>
      </c>
      <c r="F2987" s="737" t="s">
        <v>9967</v>
      </c>
      <c r="G2987" s="636" t="s">
        <v>9968</v>
      </c>
      <c r="H2987" s="636" t="s">
        <v>7782</v>
      </c>
      <c r="I2987" s="636" t="s">
        <v>3760</v>
      </c>
      <c r="J2987" s="644" t="s">
        <v>642</v>
      </c>
      <c r="K2987" s="753">
        <v>9</v>
      </c>
      <c r="L2987" s="754">
        <v>12</v>
      </c>
      <c r="M2987" s="736">
        <v>49960.800000000003</v>
      </c>
      <c r="N2987" s="744"/>
      <c r="O2987" s="739"/>
      <c r="P2987" s="739"/>
      <c r="Q2987" s="214"/>
    </row>
    <row r="2988" spans="1:17" ht="12" customHeight="1" x14ac:dyDescent="0.2">
      <c r="A2988" s="735" t="s">
        <v>7733</v>
      </c>
      <c r="B2988" s="735" t="s">
        <v>2170</v>
      </c>
      <c r="C2988" s="735" t="s">
        <v>451</v>
      </c>
      <c r="D2988" s="644" t="s">
        <v>8622</v>
      </c>
      <c r="E2988" s="736">
        <v>4000</v>
      </c>
      <c r="F2988" s="737" t="s">
        <v>9969</v>
      </c>
      <c r="G2988" s="636" t="s">
        <v>9970</v>
      </c>
      <c r="H2988" s="636" t="s">
        <v>6571</v>
      </c>
      <c r="I2988" s="636" t="s">
        <v>2766</v>
      </c>
      <c r="J2988" s="644" t="s">
        <v>642</v>
      </c>
      <c r="K2988" s="753">
        <v>5</v>
      </c>
      <c r="L2988" s="754">
        <v>12</v>
      </c>
      <c r="M2988" s="736">
        <v>49960.800000000003</v>
      </c>
      <c r="N2988" s="744"/>
      <c r="O2988" s="739"/>
      <c r="P2988" s="739"/>
      <c r="Q2988" s="214"/>
    </row>
    <row r="2989" spans="1:17" ht="12" customHeight="1" x14ac:dyDescent="0.2">
      <c r="A2989" s="735" t="s">
        <v>7733</v>
      </c>
      <c r="B2989" s="735" t="s">
        <v>2170</v>
      </c>
      <c r="C2989" s="735" t="s">
        <v>451</v>
      </c>
      <c r="D2989" s="644" t="s">
        <v>7965</v>
      </c>
      <c r="E2989" s="736">
        <v>4000</v>
      </c>
      <c r="F2989" s="737" t="s">
        <v>9971</v>
      </c>
      <c r="G2989" s="636" t="s">
        <v>9972</v>
      </c>
      <c r="H2989" s="636" t="s">
        <v>6571</v>
      </c>
      <c r="I2989" s="636" t="s">
        <v>2179</v>
      </c>
      <c r="J2989" s="644" t="s">
        <v>642</v>
      </c>
      <c r="K2989" s="753">
        <v>1</v>
      </c>
      <c r="L2989" s="754">
        <v>1</v>
      </c>
      <c r="M2989" s="736">
        <v>7960.8</v>
      </c>
      <c r="N2989" s="744"/>
      <c r="O2989" s="739"/>
      <c r="P2989" s="739"/>
      <c r="Q2989" s="214"/>
    </row>
    <row r="2990" spans="1:17" ht="12" customHeight="1" x14ac:dyDescent="0.2">
      <c r="A2990" s="735" t="s">
        <v>7733</v>
      </c>
      <c r="B2990" s="735" t="s">
        <v>2170</v>
      </c>
      <c r="C2990" s="735" t="s">
        <v>451</v>
      </c>
      <c r="D2990" s="644" t="s">
        <v>8794</v>
      </c>
      <c r="E2990" s="736">
        <v>3000</v>
      </c>
      <c r="F2990" s="737" t="s">
        <v>9973</v>
      </c>
      <c r="G2990" s="636" t="s">
        <v>9974</v>
      </c>
      <c r="H2990" s="636" t="s">
        <v>6571</v>
      </c>
      <c r="I2990" s="636" t="s">
        <v>8344</v>
      </c>
      <c r="J2990" s="644" t="s">
        <v>642</v>
      </c>
      <c r="K2990" s="753">
        <v>12</v>
      </c>
      <c r="L2990" s="754">
        <v>12</v>
      </c>
      <c r="M2990" s="736">
        <v>37960.800000000003</v>
      </c>
      <c r="N2990" s="744"/>
      <c r="O2990" s="739"/>
      <c r="P2990" s="739"/>
      <c r="Q2990" s="214"/>
    </row>
    <row r="2991" spans="1:17" ht="12" customHeight="1" x14ac:dyDescent="0.2">
      <c r="A2991" s="735" t="s">
        <v>7733</v>
      </c>
      <c r="B2991" s="735" t="s">
        <v>2170</v>
      </c>
      <c r="C2991" s="735" t="s">
        <v>451</v>
      </c>
      <c r="D2991" s="644" t="s">
        <v>7736</v>
      </c>
      <c r="E2991" s="736">
        <v>4000</v>
      </c>
      <c r="F2991" s="737" t="s">
        <v>9975</v>
      </c>
      <c r="G2991" s="636" t="s">
        <v>9976</v>
      </c>
      <c r="H2991" s="636" t="s">
        <v>6571</v>
      </c>
      <c r="I2991" s="636" t="s">
        <v>2179</v>
      </c>
      <c r="J2991" s="644" t="s">
        <v>642</v>
      </c>
      <c r="K2991" s="753">
        <v>8</v>
      </c>
      <c r="L2991" s="754">
        <v>12</v>
      </c>
      <c r="M2991" s="736">
        <v>49960.800000000003</v>
      </c>
      <c r="N2991" s="744"/>
      <c r="O2991" s="739"/>
      <c r="P2991" s="739"/>
      <c r="Q2991" s="214"/>
    </row>
    <row r="2992" spans="1:17" ht="12" customHeight="1" x14ac:dyDescent="0.2">
      <c r="A2992" s="735" t="s">
        <v>7733</v>
      </c>
      <c r="B2992" s="735" t="s">
        <v>2170</v>
      </c>
      <c r="C2992" s="735" t="s">
        <v>451</v>
      </c>
      <c r="D2992" s="644" t="s">
        <v>8268</v>
      </c>
      <c r="E2992" s="736">
        <v>2200</v>
      </c>
      <c r="F2992" s="737" t="s">
        <v>9977</v>
      </c>
      <c r="G2992" s="636" t="s">
        <v>9978</v>
      </c>
      <c r="H2992" s="636"/>
      <c r="I2992" s="636"/>
      <c r="J2992" s="644" t="s">
        <v>644</v>
      </c>
      <c r="K2992" s="753">
        <v>12</v>
      </c>
      <c r="L2992" s="754">
        <v>12</v>
      </c>
      <c r="M2992" s="736">
        <v>28360.799999999999</v>
      </c>
      <c r="N2992" s="744"/>
      <c r="O2992" s="739"/>
      <c r="P2992" s="739"/>
      <c r="Q2992" s="214"/>
    </row>
    <row r="2993" spans="1:17" ht="12" customHeight="1" x14ac:dyDescent="0.2">
      <c r="A2993" s="735" t="s">
        <v>7733</v>
      </c>
      <c r="B2993" s="735" t="s">
        <v>2170</v>
      </c>
      <c r="C2993" s="735" t="s">
        <v>451</v>
      </c>
      <c r="D2993" s="644" t="s">
        <v>8301</v>
      </c>
      <c r="E2993" s="736">
        <v>1600</v>
      </c>
      <c r="F2993" s="737" t="s">
        <v>9979</v>
      </c>
      <c r="G2993" s="636" t="s">
        <v>9980</v>
      </c>
      <c r="H2993" s="636" t="s">
        <v>3754</v>
      </c>
      <c r="I2993" s="636" t="s">
        <v>2979</v>
      </c>
      <c r="J2993" s="644" t="s">
        <v>643</v>
      </c>
      <c r="K2993" s="753">
        <v>12</v>
      </c>
      <c r="L2993" s="754">
        <v>12</v>
      </c>
      <c r="M2993" s="736">
        <v>21528</v>
      </c>
      <c r="N2993" s="744"/>
      <c r="O2993" s="739"/>
      <c r="P2993" s="739"/>
      <c r="Q2993" s="214"/>
    </row>
    <row r="2994" spans="1:17" ht="12" customHeight="1" x14ac:dyDescent="0.2">
      <c r="A2994" s="735" t="s">
        <v>7733</v>
      </c>
      <c r="B2994" s="735" t="s">
        <v>2170</v>
      </c>
      <c r="C2994" s="735" t="s">
        <v>451</v>
      </c>
      <c r="D2994" s="644" t="s">
        <v>7817</v>
      </c>
      <c r="E2994" s="736">
        <v>2500</v>
      </c>
      <c r="F2994" s="737" t="s">
        <v>9981</v>
      </c>
      <c r="G2994" s="636" t="s">
        <v>9982</v>
      </c>
      <c r="H2994" s="636" t="s">
        <v>8089</v>
      </c>
      <c r="I2994" s="636" t="s">
        <v>7874</v>
      </c>
      <c r="J2994" s="644" t="s">
        <v>643</v>
      </c>
      <c r="K2994" s="753">
        <v>12</v>
      </c>
      <c r="L2994" s="754">
        <v>12</v>
      </c>
      <c r="M2994" s="736">
        <v>31960.799999999999</v>
      </c>
      <c r="N2994" s="744"/>
      <c r="O2994" s="739"/>
      <c r="P2994" s="739"/>
      <c r="Q2994" s="214"/>
    </row>
    <row r="2995" spans="1:17" ht="12" customHeight="1" x14ac:dyDescent="0.2">
      <c r="A2995" s="735" t="s">
        <v>7733</v>
      </c>
      <c r="B2995" s="735" t="s">
        <v>2170</v>
      </c>
      <c r="C2995" s="735" t="s">
        <v>451</v>
      </c>
      <c r="D2995" s="644" t="s">
        <v>8889</v>
      </c>
      <c r="E2995" s="736">
        <v>6000</v>
      </c>
      <c r="F2995" s="737" t="s">
        <v>9983</v>
      </c>
      <c r="G2995" s="636" t="s">
        <v>9984</v>
      </c>
      <c r="H2995" s="636" t="s">
        <v>9985</v>
      </c>
      <c r="I2995" s="636" t="s">
        <v>9986</v>
      </c>
      <c r="J2995" s="644" t="s">
        <v>642</v>
      </c>
      <c r="K2995" s="753">
        <v>4</v>
      </c>
      <c r="L2995" s="754">
        <v>12</v>
      </c>
      <c r="M2995" s="736">
        <v>73960.800000000003</v>
      </c>
      <c r="N2995" s="744"/>
      <c r="O2995" s="739"/>
      <c r="P2995" s="739"/>
      <c r="Q2995" s="214"/>
    </row>
    <row r="2996" spans="1:17" ht="12" customHeight="1" x14ac:dyDescent="0.2">
      <c r="A2996" s="735" t="s">
        <v>7733</v>
      </c>
      <c r="B2996" s="735" t="s">
        <v>2170</v>
      </c>
      <c r="C2996" s="735" t="s">
        <v>451</v>
      </c>
      <c r="D2996" s="644" t="s">
        <v>9987</v>
      </c>
      <c r="E2996" s="736">
        <v>4000</v>
      </c>
      <c r="F2996" s="737" t="s">
        <v>9988</v>
      </c>
      <c r="G2996" s="636" t="s">
        <v>9989</v>
      </c>
      <c r="H2996" s="636" t="s">
        <v>7752</v>
      </c>
      <c r="I2996" s="636" t="s">
        <v>2179</v>
      </c>
      <c r="J2996" s="644" t="s">
        <v>642</v>
      </c>
      <c r="K2996" s="753">
        <v>12</v>
      </c>
      <c r="L2996" s="754">
        <v>12</v>
      </c>
      <c r="M2996" s="736">
        <v>49960.800000000003</v>
      </c>
      <c r="N2996" s="744"/>
      <c r="O2996" s="739"/>
      <c r="P2996" s="739"/>
      <c r="Q2996" s="214"/>
    </row>
    <row r="2997" spans="1:17" ht="12" customHeight="1" x14ac:dyDescent="0.2">
      <c r="A2997" s="735" t="s">
        <v>7733</v>
      </c>
      <c r="B2997" s="735" t="s">
        <v>2170</v>
      </c>
      <c r="C2997" s="735" t="s">
        <v>451</v>
      </c>
      <c r="D2997" s="644" t="s">
        <v>9990</v>
      </c>
      <c r="E2997" s="736">
        <v>2000</v>
      </c>
      <c r="F2997" s="737" t="s">
        <v>9991</v>
      </c>
      <c r="G2997" s="636" t="s">
        <v>9992</v>
      </c>
      <c r="H2997" s="636" t="s">
        <v>8135</v>
      </c>
      <c r="I2997" s="636" t="s">
        <v>8036</v>
      </c>
      <c r="J2997" s="644" t="s">
        <v>644</v>
      </c>
      <c r="K2997" s="753">
        <v>12</v>
      </c>
      <c r="L2997" s="754">
        <v>12</v>
      </c>
      <c r="M2997" s="736">
        <v>25960.799999999999</v>
      </c>
      <c r="N2997" s="744"/>
      <c r="O2997" s="739"/>
      <c r="P2997" s="739"/>
      <c r="Q2997" s="214"/>
    </row>
    <row r="2998" spans="1:17" ht="12" customHeight="1" x14ac:dyDescent="0.2">
      <c r="A2998" s="735" t="s">
        <v>7733</v>
      </c>
      <c r="B2998" s="735" t="s">
        <v>2170</v>
      </c>
      <c r="C2998" s="735" t="s">
        <v>451</v>
      </c>
      <c r="D2998" s="644" t="s">
        <v>8268</v>
      </c>
      <c r="E2998" s="736">
        <v>2500</v>
      </c>
      <c r="F2998" s="737" t="s">
        <v>9993</v>
      </c>
      <c r="G2998" s="636" t="s">
        <v>9994</v>
      </c>
      <c r="H2998" s="636" t="s">
        <v>8227</v>
      </c>
      <c r="I2998" s="636" t="s">
        <v>2766</v>
      </c>
      <c r="J2998" s="644" t="s">
        <v>643</v>
      </c>
      <c r="K2998" s="753">
        <v>12</v>
      </c>
      <c r="L2998" s="754">
        <v>12</v>
      </c>
      <c r="M2998" s="736">
        <v>31960.799999999999</v>
      </c>
      <c r="N2998" s="744"/>
      <c r="O2998" s="739"/>
      <c r="P2998" s="739"/>
      <c r="Q2998" s="214"/>
    </row>
    <row r="2999" spans="1:17" ht="12" customHeight="1" x14ac:dyDescent="0.2">
      <c r="A2999" s="735" t="s">
        <v>7733</v>
      </c>
      <c r="B2999" s="735" t="s">
        <v>2170</v>
      </c>
      <c r="C2999" s="735" t="s">
        <v>451</v>
      </c>
      <c r="D2999" s="644" t="s">
        <v>7971</v>
      </c>
      <c r="E2999" s="736">
        <v>3000</v>
      </c>
      <c r="F2999" s="737" t="s">
        <v>9995</v>
      </c>
      <c r="G2999" s="636" t="s">
        <v>9996</v>
      </c>
      <c r="H2999" s="636" t="s">
        <v>7752</v>
      </c>
      <c r="I2999" s="636" t="s">
        <v>2179</v>
      </c>
      <c r="J2999" s="644" t="s">
        <v>642</v>
      </c>
      <c r="K2999" s="753">
        <v>12</v>
      </c>
      <c r="L2999" s="754">
        <v>12</v>
      </c>
      <c r="M2999" s="736">
        <v>37960.800000000003</v>
      </c>
      <c r="N2999" s="744"/>
      <c r="O2999" s="739"/>
      <c r="P2999" s="739"/>
      <c r="Q2999" s="214"/>
    </row>
    <row r="3000" spans="1:17" ht="12" customHeight="1" x14ac:dyDescent="0.2">
      <c r="A3000" s="735" t="s">
        <v>7733</v>
      </c>
      <c r="B3000" s="735" t="s">
        <v>2170</v>
      </c>
      <c r="C3000" s="735" t="s">
        <v>451</v>
      </c>
      <c r="D3000" s="644" t="s">
        <v>8285</v>
      </c>
      <c r="E3000" s="736">
        <v>3500</v>
      </c>
      <c r="F3000" s="737" t="s">
        <v>9997</v>
      </c>
      <c r="G3000" s="636" t="s">
        <v>9998</v>
      </c>
      <c r="H3000" s="636" t="s">
        <v>8022</v>
      </c>
      <c r="I3000" s="636" t="s">
        <v>8462</v>
      </c>
      <c r="J3000" s="644" t="s">
        <v>644</v>
      </c>
      <c r="K3000" s="753">
        <v>5</v>
      </c>
      <c r="L3000" s="754">
        <v>12</v>
      </c>
      <c r="M3000" s="736">
        <v>43960.800000000003</v>
      </c>
      <c r="N3000" s="744"/>
      <c r="O3000" s="739"/>
      <c r="P3000" s="739"/>
      <c r="Q3000" s="214"/>
    </row>
    <row r="3001" spans="1:17" ht="12" customHeight="1" x14ac:dyDescent="0.2">
      <c r="A3001" s="735" t="s">
        <v>7733</v>
      </c>
      <c r="B3001" s="735" t="s">
        <v>2170</v>
      </c>
      <c r="C3001" s="735" t="s">
        <v>451</v>
      </c>
      <c r="D3001" s="644" t="s">
        <v>2261</v>
      </c>
      <c r="E3001" s="736">
        <v>3500</v>
      </c>
      <c r="F3001" s="737" t="s">
        <v>9999</v>
      </c>
      <c r="G3001" s="636" t="s">
        <v>10000</v>
      </c>
      <c r="H3001" s="636" t="s">
        <v>10001</v>
      </c>
      <c r="I3001" s="636" t="s">
        <v>2602</v>
      </c>
      <c r="J3001" s="644" t="s">
        <v>643</v>
      </c>
      <c r="K3001" s="753">
        <v>9</v>
      </c>
      <c r="L3001" s="754">
        <v>12</v>
      </c>
      <c r="M3001" s="736">
        <v>43960.800000000003</v>
      </c>
      <c r="N3001" s="744"/>
      <c r="O3001" s="739"/>
      <c r="P3001" s="739"/>
      <c r="Q3001" s="214"/>
    </row>
    <row r="3002" spans="1:17" ht="12" customHeight="1" x14ac:dyDescent="0.2">
      <c r="A3002" s="735" t="s">
        <v>7733</v>
      </c>
      <c r="B3002" s="735" t="s">
        <v>2170</v>
      </c>
      <c r="C3002" s="735" t="s">
        <v>451</v>
      </c>
      <c r="D3002" s="644" t="s">
        <v>8078</v>
      </c>
      <c r="E3002" s="736">
        <v>2500</v>
      </c>
      <c r="F3002" s="737" t="s">
        <v>10002</v>
      </c>
      <c r="G3002" s="636" t="s">
        <v>10003</v>
      </c>
      <c r="H3002" s="636" t="s">
        <v>9094</v>
      </c>
      <c r="I3002" s="636" t="s">
        <v>8559</v>
      </c>
      <c r="J3002" s="644" t="s">
        <v>643</v>
      </c>
      <c r="K3002" s="753">
        <v>12</v>
      </c>
      <c r="L3002" s="754">
        <v>12</v>
      </c>
      <c r="M3002" s="736">
        <v>31960.799999999999</v>
      </c>
      <c r="N3002" s="744"/>
      <c r="O3002" s="739"/>
      <c r="P3002" s="739"/>
      <c r="Q3002" s="214"/>
    </row>
    <row r="3003" spans="1:17" ht="12" customHeight="1" x14ac:dyDescent="0.2">
      <c r="A3003" s="735" t="s">
        <v>7733</v>
      </c>
      <c r="B3003" s="735" t="s">
        <v>2170</v>
      </c>
      <c r="C3003" s="735" t="s">
        <v>451</v>
      </c>
      <c r="D3003" s="644" t="s">
        <v>10004</v>
      </c>
      <c r="E3003" s="736">
        <v>6000</v>
      </c>
      <c r="F3003" s="737" t="s">
        <v>10005</v>
      </c>
      <c r="G3003" s="636" t="s">
        <v>10006</v>
      </c>
      <c r="H3003" s="636" t="s">
        <v>6571</v>
      </c>
      <c r="I3003" s="636" t="s">
        <v>2179</v>
      </c>
      <c r="J3003" s="644" t="s">
        <v>642</v>
      </c>
      <c r="K3003" s="753">
        <v>5</v>
      </c>
      <c r="L3003" s="754">
        <v>12</v>
      </c>
      <c r="M3003" s="736">
        <v>73960.800000000003</v>
      </c>
      <c r="N3003" s="744"/>
      <c r="O3003" s="739"/>
      <c r="P3003" s="739"/>
      <c r="Q3003" s="214"/>
    </row>
    <row r="3004" spans="1:17" ht="12" customHeight="1" x14ac:dyDescent="0.2">
      <c r="A3004" s="735" t="s">
        <v>7733</v>
      </c>
      <c r="B3004" s="735" t="s">
        <v>2170</v>
      </c>
      <c r="C3004" s="735" t="s">
        <v>451</v>
      </c>
      <c r="D3004" s="644" t="s">
        <v>7740</v>
      </c>
      <c r="E3004" s="736">
        <v>2200</v>
      </c>
      <c r="F3004" s="737" t="s">
        <v>10007</v>
      </c>
      <c r="G3004" s="636" t="s">
        <v>10008</v>
      </c>
      <c r="H3004" s="636" t="s">
        <v>7866</v>
      </c>
      <c r="I3004" s="636" t="s">
        <v>7867</v>
      </c>
      <c r="J3004" s="644" t="s">
        <v>643</v>
      </c>
      <c r="K3004" s="753">
        <v>12</v>
      </c>
      <c r="L3004" s="754">
        <v>12</v>
      </c>
      <c r="M3004" s="736">
        <v>28360.799999999999</v>
      </c>
      <c r="N3004" s="744"/>
      <c r="O3004" s="739"/>
      <c r="P3004" s="739"/>
      <c r="Q3004" s="214"/>
    </row>
    <row r="3005" spans="1:17" ht="12" customHeight="1" x14ac:dyDescent="0.2">
      <c r="A3005" s="735" t="s">
        <v>7733</v>
      </c>
      <c r="B3005" s="735" t="s">
        <v>2170</v>
      </c>
      <c r="C3005" s="735" t="s">
        <v>451</v>
      </c>
      <c r="D3005" s="644" t="s">
        <v>8298</v>
      </c>
      <c r="E3005" s="736">
        <v>1200</v>
      </c>
      <c r="F3005" s="737" t="s">
        <v>10009</v>
      </c>
      <c r="G3005" s="636" t="s">
        <v>10010</v>
      </c>
      <c r="H3005" s="636"/>
      <c r="I3005" s="636"/>
      <c r="J3005" s="644" t="s">
        <v>644</v>
      </c>
      <c r="K3005" s="753">
        <v>5</v>
      </c>
      <c r="L3005" s="754">
        <v>12</v>
      </c>
      <c r="M3005" s="736">
        <v>16296</v>
      </c>
      <c r="N3005" s="744"/>
      <c r="O3005" s="739"/>
      <c r="P3005" s="739"/>
      <c r="Q3005" s="214"/>
    </row>
    <row r="3006" spans="1:17" ht="12" customHeight="1" x14ac:dyDescent="0.2">
      <c r="A3006" s="735" t="s">
        <v>7733</v>
      </c>
      <c r="B3006" s="735" t="s">
        <v>2170</v>
      </c>
      <c r="C3006" s="735" t="s">
        <v>451</v>
      </c>
      <c r="D3006" s="644" t="s">
        <v>7901</v>
      </c>
      <c r="E3006" s="736">
        <v>2500</v>
      </c>
      <c r="F3006" s="737" t="s">
        <v>10011</v>
      </c>
      <c r="G3006" s="636" t="s">
        <v>10012</v>
      </c>
      <c r="H3006" s="636" t="s">
        <v>8813</v>
      </c>
      <c r="I3006" s="636" t="s">
        <v>3760</v>
      </c>
      <c r="J3006" s="644" t="s">
        <v>644</v>
      </c>
      <c r="K3006" s="753">
        <v>12</v>
      </c>
      <c r="L3006" s="754">
        <v>12</v>
      </c>
      <c r="M3006" s="736">
        <v>31960.799999999999</v>
      </c>
      <c r="N3006" s="744"/>
      <c r="O3006" s="739"/>
      <c r="P3006" s="739"/>
      <c r="Q3006" s="214"/>
    </row>
    <row r="3007" spans="1:17" ht="12" customHeight="1" x14ac:dyDescent="0.2">
      <c r="A3007" s="735" t="s">
        <v>7733</v>
      </c>
      <c r="B3007" s="735" t="s">
        <v>2170</v>
      </c>
      <c r="C3007" s="735" t="s">
        <v>451</v>
      </c>
      <c r="D3007" s="644" t="s">
        <v>5856</v>
      </c>
      <c r="E3007" s="736">
        <v>4000</v>
      </c>
      <c r="F3007" s="737" t="s">
        <v>10013</v>
      </c>
      <c r="G3007" s="636" t="s">
        <v>10014</v>
      </c>
      <c r="H3007" s="636" t="s">
        <v>6633</v>
      </c>
      <c r="I3007" s="636" t="s">
        <v>2536</v>
      </c>
      <c r="J3007" s="644" t="s">
        <v>642</v>
      </c>
      <c r="K3007" s="753">
        <v>7</v>
      </c>
      <c r="L3007" s="754">
        <v>12</v>
      </c>
      <c r="M3007" s="736">
        <v>49960.800000000003</v>
      </c>
      <c r="N3007" s="744"/>
      <c r="O3007" s="739"/>
      <c r="P3007" s="739"/>
      <c r="Q3007" s="214"/>
    </row>
    <row r="3008" spans="1:17" ht="12" customHeight="1" x14ac:dyDescent="0.2">
      <c r="A3008" s="735" t="s">
        <v>7733</v>
      </c>
      <c r="B3008" s="735" t="s">
        <v>2170</v>
      </c>
      <c r="C3008" s="735" t="s">
        <v>451</v>
      </c>
      <c r="D3008" s="644" t="s">
        <v>2179</v>
      </c>
      <c r="E3008" s="736">
        <v>3000</v>
      </c>
      <c r="F3008" s="737" t="s">
        <v>10015</v>
      </c>
      <c r="G3008" s="636" t="s">
        <v>10016</v>
      </c>
      <c r="H3008" s="636" t="s">
        <v>6571</v>
      </c>
      <c r="I3008" s="636" t="s">
        <v>2179</v>
      </c>
      <c r="J3008" s="644" t="s">
        <v>642</v>
      </c>
      <c r="K3008" s="753">
        <v>12</v>
      </c>
      <c r="L3008" s="754">
        <v>12</v>
      </c>
      <c r="M3008" s="736">
        <v>37960.800000000003</v>
      </c>
      <c r="N3008" s="744"/>
      <c r="O3008" s="739"/>
      <c r="P3008" s="739"/>
      <c r="Q3008" s="214"/>
    </row>
    <row r="3009" spans="1:17" ht="12" customHeight="1" x14ac:dyDescent="0.2">
      <c r="A3009" s="735" t="s">
        <v>7733</v>
      </c>
      <c r="B3009" s="735" t="s">
        <v>2170</v>
      </c>
      <c r="C3009" s="735" t="s">
        <v>451</v>
      </c>
      <c r="D3009" s="644" t="s">
        <v>8268</v>
      </c>
      <c r="E3009" s="736">
        <v>2200</v>
      </c>
      <c r="F3009" s="737" t="s">
        <v>10017</v>
      </c>
      <c r="G3009" s="636" t="s">
        <v>10018</v>
      </c>
      <c r="H3009" s="636" t="s">
        <v>8354</v>
      </c>
      <c r="I3009" s="636" t="s">
        <v>3057</v>
      </c>
      <c r="J3009" s="644" t="s">
        <v>642</v>
      </c>
      <c r="K3009" s="753">
        <v>11</v>
      </c>
      <c r="L3009" s="754">
        <v>11</v>
      </c>
      <c r="M3009" s="736">
        <v>26160.799999999999</v>
      </c>
      <c r="N3009" s="744"/>
      <c r="O3009" s="739"/>
      <c r="P3009" s="739"/>
      <c r="Q3009" s="214"/>
    </row>
    <row r="3010" spans="1:17" ht="12" customHeight="1" x14ac:dyDescent="0.2">
      <c r="A3010" s="735" t="s">
        <v>7733</v>
      </c>
      <c r="B3010" s="735" t="s">
        <v>2170</v>
      </c>
      <c r="C3010" s="735" t="s">
        <v>451</v>
      </c>
      <c r="D3010" s="644" t="s">
        <v>10019</v>
      </c>
      <c r="E3010" s="736">
        <v>3000</v>
      </c>
      <c r="F3010" s="737" t="s">
        <v>10020</v>
      </c>
      <c r="G3010" s="636" t="s">
        <v>10021</v>
      </c>
      <c r="H3010" s="636" t="s">
        <v>7752</v>
      </c>
      <c r="I3010" s="636" t="s">
        <v>2179</v>
      </c>
      <c r="J3010" s="644" t="s">
        <v>642</v>
      </c>
      <c r="K3010" s="753">
        <v>12</v>
      </c>
      <c r="L3010" s="754">
        <v>12</v>
      </c>
      <c r="M3010" s="736">
        <v>37960.800000000003</v>
      </c>
      <c r="N3010" s="744"/>
      <c r="O3010" s="739"/>
      <c r="P3010" s="739"/>
      <c r="Q3010" s="214"/>
    </row>
    <row r="3011" spans="1:17" ht="12" customHeight="1" x14ac:dyDescent="0.2">
      <c r="A3011" s="735" t="s">
        <v>7733</v>
      </c>
      <c r="B3011" s="735" t="s">
        <v>2170</v>
      </c>
      <c r="C3011" s="735" t="s">
        <v>451</v>
      </c>
      <c r="D3011" s="644" t="s">
        <v>9309</v>
      </c>
      <c r="E3011" s="736">
        <v>5000</v>
      </c>
      <c r="F3011" s="737" t="s">
        <v>10022</v>
      </c>
      <c r="G3011" s="636" t="s">
        <v>10023</v>
      </c>
      <c r="H3011" s="636" t="s">
        <v>2979</v>
      </c>
      <c r="I3011" s="636" t="s">
        <v>2979</v>
      </c>
      <c r="J3011" s="644" t="s">
        <v>642</v>
      </c>
      <c r="K3011" s="753">
        <v>2</v>
      </c>
      <c r="L3011" s="754">
        <v>4</v>
      </c>
      <c r="M3011" s="736">
        <v>21960.799999999999</v>
      </c>
      <c r="N3011" s="744"/>
      <c r="O3011" s="739"/>
      <c r="P3011" s="739"/>
      <c r="Q3011" s="214"/>
    </row>
    <row r="3012" spans="1:17" ht="12" customHeight="1" x14ac:dyDescent="0.2">
      <c r="A3012" s="735" t="s">
        <v>7733</v>
      </c>
      <c r="B3012" s="735" t="s">
        <v>2170</v>
      </c>
      <c r="C3012" s="735" t="s">
        <v>451</v>
      </c>
      <c r="D3012" s="644" t="s">
        <v>8417</v>
      </c>
      <c r="E3012" s="736">
        <v>1200</v>
      </c>
      <c r="F3012" s="737" t="s">
        <v>10024</v>
      </c>
      <c r="G3012" s="636" t="s">
        <v>10025</v>
      </c>
      <c r="H3012" s="636"/>
      <c r="I3012" s="636"/>
      <c r="J3012" s="644" t="s">
        <v>7991</v>
      </c>
      <c r="K3012" s="753">
        <v>1</v>
      </c>
      <c r="L3012" s="754">
        <v>3</v>
      </c>
      <c r="M3012" s="736">
        <v>7496</v>
      </c>
      <c r="N3012" s="744"/>
      <c r="O3012" s="739"/>
      <c r="P3012" s="739"/>
      <c r="Q3012" s="214"/>
    </row>
    <row r="3013" spans="1:17" ht="12" customHeight="1" x14ac:dyDescent="0.2">
      <c r="A3013" s="735" t="s">
        <v>7733</v>
      </c>
      <c r="B3013" s="735" t="s">
        <v>2170</v>
      </c>
      <c r="C3013" s="735" t="s">
        <v>451</v>
      </c>
      <c r="D3013" s="644" t="s">
        <v>2788</v>
      </c>
      <c r="E3013" s="736">
        <v>1600</v>
      </c>
      <c r="F3013" s="737" t="s">
        <v>10026</v>
      </c>
      <c r="G3013" s="636" t="s">
        <v>10027</v>
      </c>
      <c r="H3013" s="636" t="s">
        <v>9648</v>
      </c>
      <c r="I3013" s="636" t="s">
        <v>9648</v>
      </c>
      <c r="J3013" s="644" t="s">
        <v>643</v>
      </c>
      <c r="K3013" s="753">
        <v>12</v>
      </c>
      <c r="L3013" s="754">
        <v>12</v>
      </c>
      <c r="M3013" s="736">
        <v>21528</v>
      </c>
      <c r="N3013" s="744"/>
      <c r="O3013" s="739"/>
      <c r="P3013" s="739"/>
      <c r="Q3013" s="214"/>
    </row>
    <row r="3014" spans="1:17" ht="12" customHeight="1" x14ac:dyDescent="0.2">
      <c r="A3014" s="735" t="s">
        <v>7733</v>
      </c>
      <c r="B3014" s="735" t="s">
        <v>2170</v>
      </c>
      <c r="C3014" s="735" t="s">
        <v>451</v>
      </c>
      <c r="D3014" s="644" t="s">
        <v>10028</v>
      </c>
      <c r="E3014" s="736">
        <v>4500</v>
      </c>
      <c r="F3014" s="737" t="s">
        <v>10029</v>
      </c>
      <c r="G3014" s="636" t="s">
        <v>10030</v>
      </c>
      <c r="H3014" s="636" t="s">
        <v>6571</v>
      </c>
      <c r="I3014" s="636" t="s">
        <v>2179</v>
      </c>
      <c r="J3014" s="644" t="s">
        <v>642</v>
      </c>
      <c r="K3014" s="753">
        <v>1</v>
      </c>
      <c r="L3014" s="754">
        <v>3</v>
      </c>
      <c r="M3014" s="736">
        <v>15460.8</v>
      </c>
      <c r="N3014" s="744"/>
      <c r="O3014" s="739"/>
      <c r="P3014" s="739"/>
      <c r="Q3014" s="214"/>
    </row>
    <row r="3015" spans="1:17" ht="12" customHeight="1" x14ac:dyDescent="0.2">
      <c r="A3015" s="735" t="s">
        <v>7733</v>
      </c>
      <c r="B3015" s="735" t="s">
        <v>2170</v>
      </c>
      <c r="C3015" s="735" t="s">
        <v>451</v>
      </c>
      <c r="D3015" s="644" t="s">
        <v>10031</v>
      </c>
      <c r="E3015" s="736">
        <v>4000</v>
      </c>
      <c r="F3015" s="737" t="s">
        <v>10032</v>
      </c>
      <c r="G3015" s="636" t="s">
        <v>10033</v>
      </c>
      <c r="H3015" s="636" t="s">
        <v>2228</v>
      </c>
      <c r="I3015" s="636" t="s">
        <v>2228</v>
      </c>
      <c r="J3015" s="644"/>
      <c r="K3015" s="753">
        <v>2</v>
      </c>
      <c r="L3015" s="754">
        <v>2</v>
      </c>
      <c r="M3015" s="736">
        <v>9960.7999999999993</v>
      </c>
      <c r="N3015" s="744"/>
      <c r="O3015" s="739"/>
      <c r="P3015" s="739"/>
      <c r="Q3015" s="214"/>
    </row>
    <row r="3016" spans="1:17" ht="12" customHeight="1" x14ac:dyDescent="0.2">
      <c r="A3016" s="735" t="s">
        <v>7733</v>
      </c>
      <c r="B3016" s="735" t="s">
        <v>2170</v>
      </c>
      <c r="C3016" s="735" t="s">
        <v>451</v>
      </c>
      <c r="D3016" s="644" t="s">
        <v>7838</v>
      </c>
      <c r="E3016" s="736">
        <v>2500</v>
      </c>
      <c r="F3016" s="737" t="s">
        <v>10034</v>
      </c>
      <c r="G3016" s="636" t="s">
        <v>10035</v>
      </c>
      <c r="H3016" s="636" t="s">
        <v>9583</v>
      </c>
      <c r="I3016" s="636" t="s">
        <v>7835</v>
      </c>
      <c r="J3016" s="644" t="s">
        <v>643</v>
      </c>
      <c r="K3016" s="753">
        <v>9</v>
      </c>
      <c r="L3016" s="754">
        <v>9</v>
      </c>
      <c r="M3016" s="736">
        <v>24460.799999999999</v>
      </c>
      <c r="N3016" s="744"/>
      <c r="O3016" s="739"/>
      <c r="P3016" s="739"/>
      <c r="Q3016" s="214"/>
    </row>
    <row r="3017" spans="1:17" ht="12" customHeight="1" x14ac:dyDescent="0.2">
      <c r="A3017" s="735" t="s">
        <v>7733</v>
      </c>
      <c r="B3017" s="735" t="s">
        <v>2170</v>
      </c>
      <c r="C3017" s="735" t="s">
        <v>451</v>
      </c>
      <c r="D3017" s="644" t="s">
        <v>10036</v>
      </c>
      <c r="E3017" s="736">
        <v>4000</v>
      </c>
      <c r="F3017" s="737" t="s">
        <v>10037</v>
      </c>
      <c r="G3017" s="636" t="s">
        <v>10038</v>
      </c>
      <c r="H3017" s="636" t="s">
        <v>10039</v>
      </c>
      <c r="I3017" s="636" t="s">
        <v>2766</v>
      </c>
      <c r="J3017" s="644" t="s">
        <v>642</v>
      </c>
      <c r="K3017" s="753">
        <v>1</v>
      </c>
      <c r="L3017" s="754">
        <v>1</v>
      </c>
      <c r="M3017" s="736">
        <v>7960.8</v>
      </c>
      <c r="N3017" s="744"/>
      <c r="O3017" s="739"/>
      <c r="P3017" s="739"/>
      <c r="Q3017" s="214"/>
    </row>
    <row r="3018" spans="1:17" ht="12" customHeight="1" x14ac:dyDescent="0.2">
      <c r="A3018" s="735" t="s">
        <v>7733</v>
      </c>
      <c r="B3018" s="735" t="s">
        <v>2170</v>
      </c>
      <c r="C3018" s="735" t="s">
        <v>451</v>
      </c>
      <c r="D3018" s="644" t="s">
        <v>7838</v>
      </c>
      <c r="E3018" s="736">
        <v>2500</v>
      </c>
      <c r="F3018" s="737" t="s">
        <v>10040</v>
      </c>
      <c r="G3018" s="636" t="s">
        <v>10041</v>
      </c>
      <c r="H3018" s="636" t="s">
        <v>7782</v>
      </c>
      <c r="I3018" s="636" t="s">
        <v>3629</v>
      </c>
      <c r="J3018" s="644" t="s">
        <v>643</v>
      </c>
      <c r="K3018" s="753">
        <v>12</v>
      </c>
      <c r="L3018" s="754">
        <v>12</v>
      </c>
      <c r="M3018" s="736">
        <v>31960.799999999999</v>
      </c>
      <c r="N3018" s="744"/>
      <c r="O3018" s="739"/>
      <c r="P3018" s="739"/>
      <c r="Q3018" s="214"/>
    </row>
    <row r="3019" spans="1:17" ht="12" customHeight="1" x14ac:dyDescent="0.2">
      <c r="A3019" s="735" t="s">
        <v>7733</v>
      </c>
      <c r="B3019" s="735" t="s">
        <v>2170</v>
      </c>
      <c r="C3019" s="735" t="s">
        <v>451</v>
      </c>
      <c r="D3019" s="644" t="s">
        <v>2261</v>
      </c>
      <c r="E3019" s="736">
        <v>3500</v>
      </c>
      <c r="F3019" s="737" t="s">
        <v>10042</v>
      </c>
      <c r="G3019" s="636" t="s">
        <v>10043</v>
      </c>
      <c r="H3019" s="636" t="s">
        <v>7073</v>
      </c>
      <c r="I3019" s="636" t="s">
        <v>4559</v>
      </c>
      <c r="J3019" s="644" t="s">
        <v>642</v>
      </c>
      <c r="K3019" s="753">
        <v>12</v>
      </c>
      <c r="L3019" s="754">
        <v>12</v>
      </c>
      <c r="M3019" s="736">
        <v>43960.800000000003</v>
      </c>
      <c r="N3019" s="744"/>
      <c r="O3019" s="739"/>
      <c r="P3019" s="739"/>
      <c r="Q3019" s="214"/>
    </row>
    <row r="3020" spans="1:17" ht="12" customHeight="1" x14ac:dyDescent="0.2">
      <c r="A3020" s="735" t="s">
        <v>7733</v>
      </c>
      <c r="B3020" s="735" t="s">
        <v>2170</v>
      </c>
      <c r="C3020" s="735" t="s">
        <v>451</v>
      </c>
      <c r="D3020" s="644" t="s">
        <v>8959</v>
      </c>
      <c r="E3020" s="736">
        <v>8500</v>
      </c>
      <c r="F3020" s="737" t="s">
        <v>10044</v>
      </c>
      <c r="G3020" s="636" t="s">
        <v>10045</v>
      </c>
      <c r="H3020" s="636"/>
      <c r="I3020" s="636"/>
      <c r="J3020" s="644" t="s">
        <v>642</v>
      </c>
      <c r="K3020" s="753">
        <v>2</v>
      </c>
      <c r="L3020" s="754">
        <v>5</v>
      </c>
      <c r="M3020" s="736">
        <v>44460.800000000003</v>
      </c>
      <c r="N3020" s="744"/>
      <c r="O3020" s="739"/>
      <c r="P3020" s="739"/>
      <c r="Q3020" s="214"/>
    </row>
    <row r="3021" spans="1:17" ht="12" customHeight="1" x14ac:dyDescent="0.2">
      <c r="A3021" s="735" t="s">
        <v>7733</v>
      </c>
      <c r="B3021" s="735" t="s">
        <v>2170</v>
      </c>
      <c r="C3021" s="735" t="s">
        <v>451</v>
      </c>
      <c r="D3021" s="644" t="s">
        <v>8554</v>
      </c>
      <c r="E3021" s="736">
        <v>3000</v>
      </c>
      <c r="F3021" s="737" t="s">
        <v>10046</v>
      </c>
      <c r="G3021" s="636" t="s">
        <v>10047</v>
      </c>
      <c r="H3021" s="636" t="s">
        <v>6571</v>
      </c>
      <c r="I3021" s="636" t="s">
        <v>2179</v>
      </c>
      <c r="J3021" s="644" t="s">
        <v>642</v>
      </c>
      <c r="K3021" s="753">
        <v>12</v>
      </c>
      <c r="L3021" s="754">
        <v>12</v>
      </c>
      <c r="M3021" s="736">
        <v>37960.800000000003</v>
      </c>
      <c r="N3021" s="744"/>
      <c r="O3021" s="739"/>
      <c r="P3021" s="739"/>
      <c r="Q3021" s="214"/>
    </row>
    <row r="3022" spans="1:17" ht="12" customHeight="1" x14ac:dyDescent="0.2">
      <c r="A3022" s="735" t="s">
        <v>7733</v>
      </c>
      <c r="B3022" s="735" t="s">
        <v>2170</v>
      </c>
      <c r="C3022" s="735" t="s">
        <v>451</v>
      </c>
      <c r="D3022" s="644" t="s">
        <v>7769</v>
      </c>
      <c r="E3022" s="736">
        <v>3000</v>
      </c>
      <c r="F3022" s="737" t="s">
        <v>10048</v>
      </c>
      <c r="G3022" s="636" t="s">
        <v>10049</v>
      </c>
      <c r="H3022" s="636" t="s">
        <v>7816</v>
      </c>
      <c r="I3022" s="636" t="s">
        <v>8756</v>
      </c>
      <c r="J3022" s="644" t="s">
        <v>643</v>
      </c>
      <c r="K3022" s="753">
        <v>12</v>
      </c>
      <c r="L3022" s="754">
        <v>12</v>
      </c>
      <c r="M3022" s="736">
        <v>37960.800000000003</v>
      </c>
      <c r="N3022" s="744"/>
      <c r="O3022" s="739"/>
      <c r="P3022" s="739"/>
      <c r="Q3022" s="214"/>
    </row>
    <row r="3023" spans="1:17" ht="12" customHeight="1" x14ac:dyDescent="0.2">
      <c r="A3023" s="735" t="s">
        <v>7733</v>
      </c>
      <c r="B3023" s="735" t="s">
        <v>2170</v>
      </c>
      <c r="C3023" s="735" t="s">
        <v>451</v>
      </c>
      <c r="D3023" s="644" t="s">
        <v>7838</v>
      </c>
      <c r="E3023" s="736">
        <v>2500</v>
      </c>
      <c r="F3023" s="737" t="s">
        <v>10050</v>
      </c>
      <c r="G3023" s="636" t="s">
        <v>10051</v>
      </c>
      <c r="H3023" s="636" t="s">
        <v>8536</v>
      </c>
      <c r="I3023" s="636" t="s">
        <v>10052</v>
      </c>
      <c r="J3023" s="644" t="s">
        <v>643</v>
      </c>
      <c r="K3023" s="753">
        <v>1</v>
      </c>
      <c r="L3023" s="754">
        <v>1</v>
      </c>
      <c r="M3023" s="736">
        <v>4460.8</v>
      </c>
      <c r="N3023" s="744"/>
      <c r="O3023" s="739"/>
      <c r="P3023" s="739"/>
      <c r="Q3023" s="214"/>
    </row>
    <row r="3024" spans="1:17" ht="12" customHeight="1" x14ac:dyDescent="0.2">
      <c r="A3024" s="735" t="s">
        <v>7733</v>
      </c>
      <c r="B3024" s="735" t="s">
        <v>2170</v>
      </c>
      <c r="C3024" s="735" t="s">
        <v>451</v>
      </c>
      <c r="D3024" s="644" t="s">
        <v>8168</v>
      </c>
      <c r="E3024" s="736">
        <v>4500</v>
      </c>
      <c r="F3024" s="737" t="s">
        <v>10053</v>
      </c>
      <c r="G3024" s="636" t="s">
        <v>10054</v>
      </c>
      <c r="H3024" s="636" t="s">
        <v>8003</v>
      </c>
      <c r="I3024" s="636" t="s">
        <v>7835</v>
      </c>
      <c r="J3024" s="644" t="s">
        <v>642</v>
      </c>
      <c r="K3024" s="753">
        <v>4</v>
      </c>
      <c r="L3024" s="754">
        <v>10</v>
      </c>
      <c r="M3024" s="736">
        <v>46960.800000000003</v>
      </c>
      <c r="N3024" s="744"/>
      <c r="O3024" s="739"/>
      <c r="P3024" s="739"/>
      <c r="Q3024" s="214"/>
    </row>
    <row r="3025" spans="1:17" ht="12" customHeight="1" x14ac:dyDescent="0.2">
      <c r="A3025" s="735" t="s">
        <v>7733</v>
      </c>
      <c r="B3025" s="735" t="s">
        <v>2170</v>
      </c>
      <c r="C3025" s="735" t="s">
        <v>451</v>
      </c>
      <c r="D3025" s="644" t="s">
        <v>7746</v>
      </c>
      <c r="E3025" s="736">
        <v>2200</v>
      </c>
      <c r="F3025" s="737" t="s">
        <v>10055</v>
      </c>
      <c r="G3025" s="636" t="s">
        <v>10056</v>
      </c>
      <c r="H3025" s="636" t="s">
        <v>3915</v>
      </c>
      <c r="I3025" s="636" t="s">
        <v>6668</v>
      </c>
      <c r="J3025" s="644" t="s">
        <v>643</v>
      </c>
      <c r="K3025" s="753">
        <v>12</v>
      </c>
      <c r="L3025" s="754">
        <v>12</v>
      </c>
      <c r="M3025" s="736">
        <v>28360.799999999999</v>
      </c>
      <c r="N3025" s="744"/>
      <c r="O3025" s="739"/>
      <c r="P3025" s="739"/>
      <c r="Q3025" s="214"/>
    </row>
    <row r="3026" spans="1:17" ht="12" customHeight="1" x14ac:dyDescent="0.2">
      <c r="A3026" s="735" t="s">
        <v>7733</v>
      </c>
      <c r="B3026" s="735" t="s">
        <v>2170</v>
      </c>
      <c r="C3026" s="735" t="s">
        <v>451</v>
      </c>
      <c r="D3026" s="644" t="s">
        <v>8045</v>
      </c>
      <c r="E3026" s="736">
        <v>2200</v>
      </c>
      <c r="F3026" s="737" t="s">
        <v>10057</v>
      </c>
      <c r="G3026" s="636" t="s">
        <v>10058</v>
      </c>
      <c r="H3026" s="636" t="s">
        <v>3915</v>
      </c>
      <c r="I3026" s="636" t="s">
        <v>3760</v>
      </c>
      <c r="J3026" s="644" t="s">
        <v>644</v>
      </c>
      <c r="K3026" s="753">
        <v>12</v>
      </c>
      <c r="L3026" s="754">
        <v>12</v>
      </c>
      <c r="M3026" s="736">
        <v>28360.799999999999</v>
      </c>
      <c r="N3026" s="744"/>
      <c r="O3026" s="739"/>
      <c r="P3026" s="739"/>
      <c r="Q3026" s="214"/>
    </row>
    <row r="3027" spans="1:17" ht="12" customHeight="1" x14ac:dyDescent="0.2">
      <c r="A3027" s="735" t="s">
        <v>7733</v>
      </c>
      <c r="B3027" s="735" t="s">
        <v>2170</v>
      </c>
      <c r="C3027" s="735" t="s">
        <v>451</v>
      </c>
      <c r="D3027" s="644" t="s">
        <v>7901</v>
      </c>
      <c r="E3027" s="736">
        <v>2500</v>
      </c>
      <c r="F3027" s="737" t="s">
        <v>10059</v>
      </c>
      <c r="G3027" s="636" t="s">
        <v>10060</v>
      </c>
      <c r="H3027" s="636" t="s">
        <v>2745</v>
      </c>
      <c r="I3027" s="636" t="s">
        <v>9371</v>
      </c>
      <c r="J3027" s="644" t="s">
        <v>643</v>
      </c>
      <c r="K3027" s="753">
        <v>10</v>
      </c>
      <c r="L3027" s="754">
        <v>12</v>
      </c>
      <c r="M3027" s="736">
        <v>31960.799999999999</v>
      </c>
      <c r="N3027" s="744"/>
      <c r="O3027" s="739"/>
      <c r="P3027" s="739"/>
      <c r="Q3027" s="214"/>
    </row>
    <row r="3028" spans="1:17" ht="12" customHeight="1" x14ac:dyDescent="0.2">
      <c r="A3028" s="735" t="s">
        <v>7733</v>
      </c>
      <c r="B3028" s="735" t="s">
        <v>2170</v>
      </c>
      <c r="C3028" s="735" t="s">
        <v>451</v>
      </c>
      <c r="D3028" s="644" t="s">
        <v>8026</v>
      </c>
      <c r="E3028" s="736">
        <v>4000</v>
      </c>
      <c r="F3028" s="737" t="s">
        <v>10061</v>
      </c>
      <c r="G3028" s="636" t="s">
        <v>10062</v>
      </c>
      <c r="H3028" s="636" t="s">
        <v>8000</v>
      </c>
      <c r="I3028" s="636" t="s">
        <v>8246</v>
      </c>
      <c r="J3028" s="644" t="s">
        <v>642</v>
      </c>
      <c r="K3028" s="753">
        <v>12</v>
      </c>
      <c r="L3028" s="754">
        <v>12</v>
      </c>
      <c r="M3028" s="736">
        <v>49960.800000000003</v>
      </c>
      <c r="N3028" s="744"/>
      <c r="O3028" s="739"/>
      <c r="P3028" s="739"/>
      <c r="Q3028" s="214"/>
    </row>
    <row r="3029" spans="1:17" ht="12" customHeight="1" x14ac:dyDescent="0.2">
      <c r="A3029" s="735" t="s">
        <v>7733</v>
      </c>
      <c r="B3029" s="735" t="s">
        <v>2170</v>
      </c>
      <c r="C3029" s="735" t="s">
        <v>451</v>
      </c>
      <c r="D3029" s="644" t="s">
        <v>8029</v>
      </c>
      <c r="E3029" s="736">
        <v>4000</v>
      </c>
      <c r="F3029" s="737" t="s">
        <v>10063</v>
      </c>
      <c r="G3029" s="636" t="s">
        <v>10064</v>
      </c>
      <c r="H3029" s="636" t="s">
        <v>6571</v>
      </c>
      <c r="I3029" s="636" t="s">
        <v>2179</v>
      </c>
      <c r="J3029" s="644" t="s">
        <v>642</v>
      </c>
      <c r="K3029" s="753">
        <v>2</v>
      </c>
      <c r="L3029" s="754">
        <v>4</v>
      </c>
      <c r="M3029" s="736">
        <v>20960.8</v>
      </c>
      <c r="N3029" s="744"/>
      <c r="O3029" s="739"/>
      <c r="P3029" s="739"/>
      <c r="Q3029" s="214"/>
    </row>
    <row r="3030" spans="1:17" ht="12" customHeight="1" x14ac:dyDescent="0.2">
      <c r="A3030" s="735" t="s">
        <v>7733</v>
      </c>
      <c r="B3030" s="735" t="s">
        <v>2170</v>
      </c>
      <c r="C3030" s="735" t="s">
        <v>451</v>
      </c>
      <c r="D3030" s="644" t="s">
        <v>7817</v>
      </c>
      <c r="E3030" s="736">
        <v>2500</v>
      </c>
      <c r="F3030" s="737" t="s">
        <v>10065</v>
      </c>
      <c r="G3030" s="636" t="s">
        <v>10066</v>
      </c>
      <c r="H3030" s="636" t="s">
        <v>9497</v>
      </c>
      <c r="I3030" s="636" t="s">
        <v>3057</v>
      </c>
      <c r="J3030" s="644" t="s">
        <v>643</v>
      </c>
      <c r="K3030" s="753">
        <v>12</v>
      </c>
      <c r="L3030" s="754">
        <v>12</v>
      </c>
      <c r="M3030" s="736">
        <v>31960.799999999999</v>
      </c>
      <c r="N3030" s="744"/>
      <c r="O3030" s="739"/>
      <c r="P3030" s="739"/>
      <c r="Q3030" s="214"/>
    </row>
    <row r="3031" spans="1:17" ht="12" customHeight="1" x14ac:dyDescent="0.2">
      <c r="A3031" s="735" t="s">
        <v>7733</v>
      </c>
      <c r="B3031" s="735" t="s">
        <v>2170</v>
      </c>
      <c r="C3031" s="735" t="s">
        <v>451</v>
      </c>
      <c r="D3031" s="644" t="s">
        <v>5538</v>
      </c>
      <c r="E3031" s="736">
        <v>5000</v>
      </c>
      <c r="F3031" s="737" t="s">
        <v>10067</v>
      </c>
      <c r="G3031" s="636" t="s">
        <v>10068</v>
      </c>
      <c r="H3031" s="636"/>
      <c r="I3031" s="636"/>
      <c r="J3031" s="644" t="s">
        <v>642</v>
      </c>
      <c r="K3031" s="753">
        <v>5</v>
      </c>
      <c r="L3031" s="754">
        <v>12</v>
      </c>
      <c r="M3031" s="736">
        <v>61960.800000000003</v>
      </c>
      <c r="N3031" s="744"/>
      <c r="O3031" s="739"/>
      <c r="P3031" s="739"/>
      <c r="Q3031" s="214"/>
    </row>
    <row r="3032" spans="1:17" ht="12" customHeight="1" x14ac:dyDescent="0.2">
      <c r="A3032" s="735" t="s">
        <v>7733</v>
      </c>
      <c r="B3032" s="735" t="s">
        <v>2170</v>
      </c>
      <c r="C3032" s="735" t="s">
        <v>451</v>
      </c>
      <c r="D3032" s="644" t="s">
        <v>8268</v>
      </c>
      <c r="E3032" s="736">
        <v>2200</v>
      </c>
      <c r="F3032" s="737" t="s">
        <v>10069</v>
      </c>
      <c r="G3032" s="636" t="s">
        <v>10070</v>
      </c>
      <c r="H3032" s="636" t="s">
        <v>7916</v>
      </c>
      <c r="I3032" s="636" t="s">
        <v>7917</v>
      </c>
      <c r="J3032" s="644" t="s">
        <v>643</v>
      </c>
      <c r="K3032" s="753">
        <v>12</v>
      </c>
      <c r="L3032" s="754">
        <v>12</v>
      </c>
      <c r="M3032" s="736">
        <v>28360.799999999999</v>
      </c>
      <c r="N3032" s="744"/>
      <c r="O3032" s="739"/>
      <c r="P3032" s="739"/>
      <c r="Q3032" s="214"/>
    </row>
    <row r="3033" spans="1:17" ht="12" customHeight="1" x14ac:dyDescent="0.2">
      <c r="A3033" s="735" t="s">
        <v>7733</v>
      </c>
      <c r="B3033" s="735" t="s">
        <v>2170</v>
      </c>
      <c r="C3033" s="735" t="s">
        <v>451</v>
      </c>
      <c r="D3033" s="644" t="s">
        <v>7904</v>
      </c>
      <c r="E3033" s="736">
        <v>3000</v>
      </c>
      <c r="F3033" s="737" t="s">
        <v>10071</v>
      </c>
      <c r="G3033" s="636" t="s">
        <v>10072</v>
      </c>
      <c r="H3033" s="636" t="s">
        <v>7916</v>
      </c>
      <c r="I3033" s="636" t="s">
        <v>7917</v>
      </c>
      <c r="J3033" s="644" t="s">
        <v>643</v>
      </c>
      <c r="K3033" s="753">
        <v>12</v>
      </c>
      <c r="L3033" s="754">
        <v>12</v>
      </c>
      <c r="M3033" s="736">
        <v>37960.800000000003</v>
      </c>
      <c r="N3033" s="744"/>
      <c r="O3033" s="739"/>
      <c r="P3033" s="739"/>
      <c r="Q3033" s="214"/>
    </row>
    <row r="3034" spans="1:17" ht="12" customHeight="1" x14ac:dyDescent="0.2">
      <c r="A3034" s="735" t="s">
        <v>7733</v>
      </c>
      <c r="B3034" s="735" t="s">
        <v>2170</v>
      </c>
      <c r="C3034" s="735" t="s">
        <v>451</v>
      </c>
      <c r="D3034" s="644" t="s">
        <v>8078</v>
      </c>
      <c r="E3034" s="736">
        <v>2500</v>
      </c>
      <c r="F3034" s="737" t="s">
        <v>10073</v>
      </c>
      <c r="G3034" s="636" t="s">
        <v>10074</v>
      </c>
      <c r="H3034" s="636" t="s">
        <v>3522</v>
      </c>
      <c r="I3034" s="636" t="s">
        <v>2346</v>
      </c>
      <c r="J3034" s="644" t="s">
        <v>643</v>
      </c>
      <c r="K3034" s="753">
        <v>12</v>
      </c>
      <c r="L3034" s="754">
        <v>12</v>
      </c>
      <c r="M3034" s="736">
        <v>31960.799999999999</v>
      </c>
      <c r="N3034" s="744"/>
      <c r="O3034" s="739"/>
      <c r="P3034" s="739"/>
      <c r="Q3034" s="214"/>
    </row>
    <row r="3035" spans="1:17" ht="12" customHeight="1" x14ac:dyDescent="0.2">
      <c r="A3035" s="735" t="s">
        <v>7733</v>
      </c>
      <c r="B3035" s="735" t="s">
        <v>2170</v>
      </c>
      <c r="C3035" s="735" t="s">
        <v>451</v>
      </c>
      <c r="D3035" s="644" t="s">
        <v>7965</v>
      </c>
      <c r="E3035" s="736">
        <v>4000</v>
      </c>
      <c r="F3035" s="737" t="s">
        <v>10075</v>
      </c>
      <c r="G3035" s="636" t="s">
        <v>10076</v>
      </c>
      <c r="H3035" s="636" t="s">
        <v>6571</v>
      </c>
      <c r="I3035" s="636" t="s">
        <v>2179</v>
      </c>
      <c r="J3035" s="644" t="s">
        <v>642</v>
      </c>
      <c r="K3035" s="753">
        <v>1</v>
      </c>
      <c r="L3035" s="754">
        <v>2</v>
      </c>
      <c r="M3035" s="736">
        <v>9960.7999999999993</v>
      </c>
      <c r="N3035" s="744"/>
      <c r="O3035" s="739"/>
      <c r="P3035" s="739"/>
      <c r="Q3035" s="214"/>
    </row>
    <row r="3036" spans="1:17" ht="12" customHeight="1" x14ac:dyDescent="0.2">
      <c r="A3036" s="735" t="s">
        <v>7733</v>
      </c>
      <c r="B3036" s="735" t="s">
        <v>2170</v>
      </c>
      <c r="C3036" s="735" t="s">
        <v>451</v>
      </c>
      <c r="D3036" s="644" t="s">
        <v>2261</v>
      </c>
      <c r="E3036" s="736">
        <v>2000</v>
      </c>
      <c r="F3036" s="737" t="s">
        <v>10077</v>
      </c>
      <c r="G3036" s="636" t="s">
        <v>10078</v>
      </c>
      <c r="H3036" s="636"/>
      <c r="I3036" s="636"/>
      <c r="J3036" s="644" t="s">
        <v>643</v>
      </c>
      <c r="K3036" s="753">
        <v>1</v>
      </c>
      <c r="L3036" s="754">
        <v>1</v>
      </c>
      <c r="M3036" s="736">
        <v>3960.8</v>
      </c>
      <c r="N3036" s="744"/>
      <c r="O3036" s="739"/>
      <c r="P3036" s="739"/>
      <c r="Q3036" s="214"/>
    </row>
    <row r="3037" spans="1:17" ht="12" customHeight="1" x14ac:dyDescent="0.2">
      <c r="A3037" s="735" t="s">
        <v>7733</v>
      </c>
      <c r="B3037" s="735" t="s">
        <v>2170</v>
      </c>
      <c r="C3037" s="735" t="s">
        <v>451</v>
      </c>
      <c r="D3037" s="644" t="s">
        <v>8032</v>
      </c>
      <c r="E3037" s="736">
        <v>3200</v>
      </c>
      <c r="F3037" s="737" t="s">
        <v>10079</v>
      </c>
      <c r="G3037" s="636" t="s">
        <v>10080</v>
      </c>
      <c r="H3037" s="636" t="s">
        <v>10081</v>
      </c>
      <c r="I3037" s="636" t="s">
        <v>10082</v>
      </c>
      <c r="J3037" s="644" t="s">
        <v>643</v>
      </c>
      <c r="K3037" s="753">
        <v>5</v>
      </c>
      <c r="L3037" s="754">
        <v>12</v>
      </c>
      <c r="M3037" s="736">
        <v>40360.800000000003</v>
      </c>
      <c r="N3037" s="744"/>
      <c r="O3037" s="739"/>
      <c r="P3037" s="739"/>
      <c r="Q3037" s="214"/>
    </row>
    <row r="3038" spans="1:17" ht="12" customHeight="1" x14ac:dyDescent="0.2">
      <c r="A3038" s="735" t="s">
        <v>7733</v>
      </c>
      <c r="B3038" s="735" t="s">
        <v>2170</v>
      </c>
      <c r="C3038" s="735" t="s">
        <v>451</v>
      </c>
      <c r="D3038" s="644" t="s">
        <v>8966</v>
      </c>
      <c r="E3038" s="736">
        <v>2400</v>
      </c>
      <c r="F3038" s="737" t="s">
        <v>10083</v>
      </c>
      <c r="G3038" s="636" t="s">
        <v>10084</v>
      </c>
      <c r="H3038" s="636" t="s">
        <v>10085</v>
      </c>
      <c r="I3038" s="636" t="s">
        <v>10086</v>
      </c>
      <c r="J3038" s="644" t="s">
        <v>643</v>
      </c>
      <c r="K3038" s="753">
        <v>12</v>
      </c>
      <c r="L3038" s="754">
        <v>12</v>
      </c>
      <c r="M3038" s="736">
        <v>30760.799999999999</v>
      </c>
      <c r="N3038" s="744"/>
      <c r="O3038" s="739"/>
      <c r="P3038" s="739"/>
      <c r="Q3038" s="214"/>
    </row>
    <row r="3039" spans="1:17" ht="12" customHeight="1" x14ac:dyDescent="0.2">
      <c r="A3039" s="735" t="s">
        <v>7733</v>
      </c>
      <c r="B3039" s="735" t="s">
        <v>2170</v>
      </c>
      <c r="C3039" s="735" t="s">
        <v>451</v>
      </c>
      <c r="D3039" s="644" t="s">
        <v>10087</v>
      </c>
      <c r="E3039" s="736">
        <v>4500</v>
      </c>
      <c r="F3039" s="737" t="s">
        <v>10088</v>
      </c>
      <c r="G3039" s="636" t="s">
        <v>10089</v>
      </c>
      <c r="H3039" s="636" t="s">
        <v>8000</v>
      </c>
      <c r="I3039" s="636" t="s">
        <v>2478</v>
      </c>
      <c r="J3039" s="644" t="s">
        <v>642</v>
      </c>
      <c r="K3039" s="753">
        <v>5</v>
      </c>
      <c r="L3039" s="754">
        <v>12</v>
      </c>
      <c r="M3039" s="736">
        <v>55960.800000000003</v>
      </c>
      <c r="N3039" s="744"/>
      <c r="O3039" s="739"/>
      <c r="P3039" s="739"/>
      <c r="Q3039" s="214"/>
    </row>
    <row r="3040" spans="1:17" ht="12" customHeight="1" x14ac:dyDescent="0.2">
      <c r="A3040" s="735" t="s">
        <v>7733</v>
      </c>
      <c r="B3040" s="735" t="s">
        <v>2170</v>
      </c>
      <c r="C3040" s="735" t="s">
        <v>451</v>
      </c>
      <c r="D3040" s="644" t="s">
        <v>8617</v>
      </c>
      <c r="E3040" s="736">
        <v>1800</v>
      </c>
      <c r="F3040" s="737" t="s">
        <v>10090</v>
      </c>
      <c r="G3040" s="636" t="s">
        <v>10091</v>
      </c>
      <c r="H3040" s="636"/>
      <c r="I3040" s="636"/>
      <c r="J3040" s="644" t="s">
        <v>642</v>
      </c>
      <c r="K3040" s="753">
        <v>12</v>
      </c>
      <c r="L3040" s="754">
        <v>12</v>
      </c>
      <c r="M3040" s="736">
        <v>24144</v>
      </c>
      <c r="N3040" s="744"/>
      <c r="O3040" s="739"/>
      <c r="P3040" s="739"/>
      <c r="Q3040" s="214"/>
    </row>
    <row r="3041" spans="1:17" ht="12" customHeight="1" x14ac:dyDescent="0.2">
      <c r="A3041" s="735" t="s">
        <v>7733</v>
      </c>
      <c r="B3041" s="735" t="s">
        <v>2170</v>
      </c>
      <c r="C3041" s="735" t="s">
        <v>451</v>
      </c>
      <c r="D3041" s="644" t="s">
        <v>10092</v>
      </c>
      <c r="E3041" s="736">
        <v>4000</v>
      </c>
      <c r="F3041" s="737" t="s">
        <v>10093</v>
      </c>
      <c r="G3041" s="636" t="s">
        <v>10094</v>
      </c>
      <c r="H3041" s="636" t="s">
        <v>8003</v>
      </c>
      <c r="I3041" s="636" t="s">
        <v>7835</v>
      </c>
      <c r="J3041" s="644" t="s">
        <v>642</v>
      </c>
      <c r="K3041" s="753">
        <v>7</v>
      </c>
      <c r="L3041" s="754">
        <v>12</v>
      </c>
      <c r="M3041" s="736">
        <v>49960.800000000003</v>
      </c>
      <c r="N3041" s="744"/>
      <c r="O3041" s="739"/>
      <c r="P3041" s="739"/>
      <c r="Q3041" s="214"/>
    </row>
    <row r="3042" spans="1:17" ht="12" customHeight="1" x14ac:dyDescent="0.2">
      <c r="A3042" s="735" t="s">
        <v>7733</v>
      </c>
      <c r="B3042" s="735" t="s">
        <v>2170</v>
      </c>
      <c r="C3042" s="735" t="s">
        <v>451</v>
      </c>
      <c r="D3042" s="644" t="s">
        <v>8445</v>
      </c>
      <c r="E3042" s="736">
        <v>2500</v>
      </c>
      <c r="F3042" s="737" t="s">
        <v>10095</v>
      </c>
      <c r="G3042" s="636" t="s">
        <v>10096</v>
      </c>
      <c r="H3042" s="636" t="s">
        <v>2228</v>
      </c>
      <c r="I3042" s="636" t="s">
        <v>2228</v>
      </c>
      <c r="J3042" s="644"/>
      <c r="K3042" s="753">
        <v>5</v>
      </c>
      <c r="L3042" s="754">
        <v>5</v>
      </c>
      <c r="M3042" s="736">
        <v>14460.8</v>
      </c>
      <c r="N3042" s="744"/>
      <c r="O3042" s="739"/>
      <c r="P3042" s="739"/>
      <c r="Q3042" s="214"/>
    </row>
    <row r="3043" spans="1:17" ht="12" customHeight="1" x14ac:dyDescent="0.2">
      <c r="A3043" s="735" t="s">
        <v>7733</v>
      </c>
      <c r="B3043" s="735" t="s">
        <v>2170</v>
      </c>
      <c r="C3043" s="735" t="s">
        <v>451</v>
      </c>
      <c r="D3043" s="644" t="s">
        <v>7822</v>
      </c>
      <c r="E3043" s="736">
        <v>5000</v>
      </c>
      <c r="F3043" s="737" t="s">
        <v>10097</v>
      </c>
      <c r="G3043" s="636" t="s">
        <v>10098</v>
      </c>
      <c r="H3043" s="636" t="s">
        <v>7245</v>
      </c>
      <c r="I3043" s="636" t="s">
        <v>2712</v>
      </c>
      <c r="J3043" s="644" t="s">
        <v>642</v>
      </c>
      <c r="K3043" s="753">
        <v>4</v>
      </c>
      <c r="L3043" s="754">
        <v>9</v>
      </c>
      <c r="M3043" s="736">
        <v>46960.800000000003</v>
      </c>
      <c r="N3043" s="744"/>
      <c r="O3043" s="739"/>
      <c r="P3043" s="739"/>
      <c r="Q3043" s="214"/>
    </row>
    <row r="3044" spans="1:17" ht="12" customHeight="1" x14ac:dyDescent="0.2">
      <c r="A3044" s="735" t="s">
        <v>7733</v>
      </c>
      <c r="B3044" s="735" t="s">
        <v>2170</v>
      </c>
      <c r="C3044" s="735" t="s">
        <v>451</v>
      </c>
      <c r="D3044" s="644" t="s">
        <v>10099</v>
      </c>
      <c r="E3044" s="736">
        <v>1800</v>
      </c>
      <c r="F3044" s="737" t="s">
        <v>10100</v>
      </c>
      <c r="G3044" s="636" t="s">
        <v>10101</v>
      </c>
      <c r="H3044" s="636"/>
      <c r="I3044" s="636"/>
      <c r="J3044" s="644" t="s">
        <v>644</v>
      </c>
      <c r="K3044" s="753">
        <v>5</v>
      </c>
      <c r="L3044" s="754">
        <v>12</v>
      </c>
      <c r="M3044" s="736">
        <v>24144</v>
      </c>
      <c r="N3044" s="744"/>
      <c r="O3044" s="739"/>
      <c r="P3044" s="739"/>
      <c r="Q3044" s="214"/>
    </row>
    <row r="3045" spans="1:17" ht="12" customHeight="1" x14ac:dyDescent="0.2">
      <c r="A3045" s="735" t="s">
        <v>7733</v>
      </c>
      <c r="B3045" s="735" t="s">
        <v>2170</v>
      </c>
      <c r="C3045" s="735" t="s">
        <v>451</v>
      </c>
      <c r="D3045" s="644" t="s">
        <v>7858</v>
      </c>
      <c r="E3045" s="736">
        <v>3000</v>
      </c>
      <c r="F3045" s="737" t="s">
        <v>10102</v>
      </c>
      <c r="G3045" s="636" t="s">
        <v>10103</v>
      </c>
      <c r="H3045" s="636" t="s">
        <v>9855</v>
      </c>
      <c r="I3045" s="636" t="s">
        <v>9726</v>
      </c>
      <c r="J3045" s="644" t="s">
        <v>642</v>
      </c>
      <c r="K3045" s="753">
        <v>12</v>
      </c>
      <c r="L3045" s="754">
        <v>12</v>
      </c>
      <c r="M3045" s="736">
        <v>37960.800000000003</v>
      </c>
      <c r="N3045" s="744"/>
      <c r="O3045" s="739"/>
      <c r="P3045" s="739"/>
      <c r="Q3045" s="214"/>
    </row>
    <row r="3046" spans="1:17" ht="12" customHeight="1" x14ac:dyDescent="0.2">
      <c r="A3046" s="735" t="s">
        <v>7733</v>
      </c>
      <c r="B3046" s="735" t="s">
        <v>2170</v>
      </c>
      <c r="C3046" s="735" t="s">
        <v>451</v>
      </c>
      <c r="D3046" s="644" t="s">
        <v>2261</v>
      </c>
      <c r="E3046" s="736">
        <v>3000</v>
      </c>
      <c r="F3046" s="737" t="s">
        <v>10104</v>
      </c>
      <c r="G3046" s="636" t="s">
        <v>10105</v>
      </c>
      <c r="H3046" s="636"/>
      <c r="I3046" s="636"/>
      <c r="J3046" s="644" t="s">
        <v>644</v>
      </c>
      <c r="K3046" s="753">
        <v>5</v>
      </c>
      <c r="L3046" s="754">
        <v>12</v>
      </c>
      <c r="M3046" s="736">
        <v>37960.800000000003</v>
      </c>
      <c r="N3046" s="744"/>
      <c r="O3046" s="739"/>
      <c r="P3046" s="739"/>
      <c r="Q3046" s="214"/>
    </row>
    <row r="3047" spans="1:17" ht="12" customHeight="1" x14ac:dyDescent="0.2">
      <c r="A3047" s="735" t="s">
        <v>7733</v>
      </c>
      <c r="B3047" s="735" t="s">
        <v>2170</v>
      </c>
      <c r="C3047" s="735" t="s">
        <v>451</v>
      </c>
      <c r="D3047" s="644" t="s">
        <v>10106</v>
      </c>
      <c r="E3047" s="736">
        <v>3500</v>
      </c>
      <c r="F3047" s="737" t="s">
        <v>10107</v>
      </c>
      <c r="G3047" s="636" t="s">
        <v>10108</v>
      </c>
      <c r="H3047" s="636"/>
      <c r="I3047" s="636"/>
      <c r="J3047" s="644" t="s">
        <v>644</v>
      </c>
      <c r="K3047" s="753">
        <v>3</v>
      </c>
      <c r="L3047" s="754">
        <v>7</v>
      </c>
      <c r="M3047" s="736">
        <v>26460.799999999999</v>
      </c>
      <c r="N3047" s="744"/>
      <c r="O3047" s="739"/>
      <c r="P3047" s="739"/>
      <c r="Q3047" s="214"/>
    </row>
    <row r="3048" spans="1:17" ht="12" customHeight="1" x14ac:dyDescent="0.2">
      <c r="A3048" s="735" t="s">
        <v>7733</v>
      </c>
      <c r="B3048" s="735" t="s">
        <v>2170</v>
      </c>
      <c r="C3048" s="735" t="s">
        <v>451</v>
      </c>
      <c r="D3048" s="644" t="s">
        <v>8247</v>
      </c>
      <c r="E3048" s="736">
        <v>4000</v>
      </c>
      <c r="F3048" s="737" t="s">
        <v>10109</v>
      </c>
      <c r="G3048" s="636" t="s">
        <v>10110</v>
      </c>
      <c r="H3048" s="636" t="s">
        <v>10111</v>
      </c>
      <c r="I3048" s="636" t="s">
        <v>7835</v>
      </c>
      <c r="J3048" s="644" t="s">
        <v>642</v>
      </c>
      <c r="K3048" s="753">
        <v>6</v>
      </c>
      <c r="L3048" s="754">
        <v>12</v>
      </c>
      <c r="M3048" s="736">
        <v>49960.800000000003</v>
      </c>
      <c r="N3048" s="744"/>
      <c r="O3048" s="739"/>
      <c r="P3048" s="739"/>
      <c r="Q3048" s="214"/>
    </row>
    <row r="3049" spans="1:17" ht="12" customHeight="1" x14ac:dyDescent="0.2">
      <c r="A3049" s="735" t="s">
        <v>7733</v>
      </c>
      <c r="B3049" s="735" t="s">
        <v>2170</v>
      </c>
      <c r="C3049" s="735" t="s">
        <v>451</v>
      </c>
      <c r="D3049" s="644" t="s">
        <v>10112</v>
      </c>
      <c r="E3049" s="736">
        <v>2200</v>
      </c>
      <c r="F3049" s="737" t="s">
        <v>10113</v>
      </c>
      <c r="G3049" s="636" t="s">
        <v>10114</v>
      </c>
      <c r="H3049" s="636" t="s">
        <v>7782</v>
      </c>
      <c r="I3049" s="636" t="s">
        <v>2208</v>
      </c>
      <c r="J3049" s="644" t="s">
        <v>642</v>
      </c>
      <c r="K3049" s="753">
        <v>12</v>
      </c>
      <c r="L3049" s="754">
        <v>12</v>
      </c>
      <c r="M3049" s="736">
        <v>28360.799999999999</v>
      </c>
      <c r="N3049" s="744"/>
      <c r="O3049" s="739"/>
      <c r="P3049" s="739"/>
      <c r="Q3049" s="214"/>
    </row>
    <row r="3050" spans="1:17" ht="12" customHeight="1" x14ac:dyDescent="0.2">
      <c r="A3050" s="735" t="s">
        <v>7733</v>
      </c>
      <c r="B3050" s="735" t="s">
        <v>2170</v>
      </c>
      <c r="C3050" s="735" t="s">
        <v>451</v>
      </c>
      <c r="D3050" s="644" t="s">
        <v>2225</v>
      </c>
      <c r="E3050" s="736">
        <v>6000</v>
      </c>
      <c r="F3050" s="737" t="s">
        <v>10115</v>
      </c>
      <c r="G3050" s="636" t="s">
        <v>10116</v>
      </c>
      <c r="H3050" s="636" t="s">
        <v>6571</v>
      </c>
      <c r="I3050" s="636" t="s">
        <v>2179</v>
      </c>
      <c r="J3050" s="644" t="s">
        <v>642</v>
      </c>
      <c r="K3050" s="753">
        <v>7</v>
      </c>
      <c r="L3050" s="754">
        <v>12</v>
      </c>
      <c r="M3050" s="736">
        <v>73960.800000000003</v>
      </c>
      <c r="N3050" s="744"/>
      <c r="O3050" s="739"/>
      <c r="P3050" s="739"/>
      <c r="Q3050" s="214"/>
    </row>
    <row r="3051" spans="1:17" ht="12" customHeight="1" x14ac:dyDescent="0.2">
      <c r="A3051" s="735" t="s">
        <v>7733</v>
      </c>
      <c r="B3051" s="735" t="s">
        <v>2170</v>
      </c>
      <c r="C3051" s="735" t="s">
        <v>451</v>
      </c>
      <c r="D3051" s="644" t="s">
        <v>10117</v>
      </c>
      <c r="E3051" s="736">
        <v>3500</v>
      </c>
      <c r="F3051" s="737" t="s">
        <v>10118</v>
      </c>
      <c r="G3051" s="636" t="s">
        <v>10119</v>
      </c>
      <c r="H3051" s="636" t="s">
        <v>8000</v>
      </c>
      <c r="I3051" s="636" t="s">
        <v>8246</v>
      </c>
      <c r="J3051" s="644" t="s">
        <v>642</v>
      </c>
      <c r="K3051" s="753">
        <v>6</v>
      </c>
      <c r="L3051" s="754">
        <v>12</v>
      </c>
      <c r="M3051" s="736">
        <v>43960.800000000003</v>
      </c>
      <c r="N3051" s="744"/>
      <c r="O3051" s="739"/>
      <c r="P3051" s="739"/>
      <c r="Q3051" s="214"/>
    </row>
    <row r="3052" spans="1:17" ht="12" customHeight="1" x14ac:dyDescent="0.2">
      <c r="A3052" s="735" t="s">
        <v>7733</v>
      </c>
      <c r="B3052" s="735" t="s">
        <v>2170</v>
      </c>
      <c r="C3052" s="735" t="s">
        <v>451</v>
      </c>
      <c r="D3052" s="644" t="s">
        <v>7104</v>
      </c>
      <c r="E3052" s="736">
        <v>3000</v>
      </c>
      <c r="F3052" s="737" t="s">
        <v>10120</v>
      </c>
      <c r="G3052" s="636" t="s">
        <v>10121</v>
      </c>
      <c r="H3052" s="636" t="s">
        <v>7745</v>
      </c>
      <c r="I3052" s="636" t="s">
        <v>8036</v>
      </c>
      <c r="J3052" s="644" t="s">
        <v>644</v>
      </c>
      <c r="K3052" s="753">
        <v>7</v>
      </c>
      <c r="L3052" s="754">
        <v>12</v>
      </c>
      <c r="M3052" s="736">
        <v>37960.800000000003</v>
      </c>
      <c r="N3052" s="744"/>
      <c r="O3052" s="739"/>
      <c r="P3052" s="739"/>
      <c r="Q3052" s="214"/>
    </row>
    <row r="3053" spans="1:17" ht="12" customHeight="1" x14ac:dyDescent="0.2">
      <c r="A3053" s="735" t="s">
        <v>7733</v>
      </c>
      <c r="B3053" s="735" t="s">
        <v>2170</v>
      </c>
      <c r="C3053" s="735" t="s">
        <v>451</v>
      </c>
      <c r="D3053" s="644" t="s">
        <v>10122</v>
      </c>
      <c r="E3053" s="736">
        <v>5000</v>
      </c>
      <c r="F3053" s="737" t="s">
        <v>10123</v>
      </c>
      <c r="G3053" s="636" t="s">
        <v>10124</v>
      </c>
      <c r="H3053" s="636" t="s">
        <v>7245</v>
      </c>
      <c r="I3053" s="636" t="s">
        <v>3760</v>
      </c>
      <c r="J3053" s="644" t="s">
        <v>642</v>
      </c>
      <c r="K3053" s="753">
        <v>5</v>
      </c>
      <c r="L3053" s="754">
        <v>12</v>
      </c>
      <c r="M3053" s="736">
        <v>61960.800000000003</v>
      </c>
      <c r="N3053" s="744"/>
      <c r="O3053" s="739"/>
      <c r="P3053" s="739"/>
      <c r="Q3053" s="214"/>
    </row>
    <row r="3054" spans="1:17" ht="12" customHeight="1" x14ac:dyDescent="0.2">
      <c r="A3054" s="735" t="s">
        <v>7733</v>
      </c>
      <c r="B3054" s="735" t="s">
        <v>2170</v>
      </c>
      <c r="C3054" s="735" t="s">
        <v>451</v>
      </c>
      <c r="D3054" s="644" t="s">
        <v>7769</v>
      </c>
      <c r="E3054" s="736">
        <v>3000</v>
      </c>
      <c r="F3054" s="737" t="s">
        <v>10125</v>
      </c>
      <c r="G3054" s="636" t="s">
        <v>10126</v>
      </c>
      <c r="H3054" s="636" t="s">
        <v>7782</v>
      </c>
      <c r="I3054" s="636" t="s">
        <v>7782</v>
      </c>
      <c r="J3054" s="644" t="s">
        <v>643</v>
      </c>
      <c r="K3054" s="753">
        <v>11</v>
      </c>
      <c r="L3054" s="754">
        <v>12</v>
      </c>
      <c r="M3054" s="736">
        <v>37960.800000000003</v>
      </c>
      <c r="N3054" s="744"/>
      <c r="O3054" s="739"/>
      <c r="P3054" s="739"/>
      <c r="Q3054" s="214"/>
    </row>
    <row r="3055" spans="1:17" ht="12" customHeight="1" x14ac:dyDescent="0.2">
      <c r="A3055" s="735" t="s">
        <v>7733</v>
      </c>
      <c r="B3055" s="735" t="s">
        <v>2170</v>
      </c>
      <c r="C3055" s="735" t="s">
        <v>451</v>
      </c>
      <c r="D3055" s="644" t="s">
        <v>7779</v>
      </c>
      <c r="E3055" s="736">
        <v>4000</v>
      </c>
      <c r="F3055" s="737" t="s">
        <v>10127</v>
      </c>
      <c r="G3055" s="636" t="s">
        <v>10128</v>
      </c>
      <c r="H3055" s="636" t="s">
        <v>7152</v>
      </c>
      <c r="I3055" s="636" t="s">
        <v>2317</v>
      </c>
      <c r="J3055" s="644" t="s">
        <v>642</v>
      </c>
      <c r="K3055" s="753">
        <v>12</v>
      </c>
      <c r="L3055" s="754">
        <v>12</v>
      </c>
      <c r="M3055" s="736">
        <v>49960.800000000003</v>
      </c>
      <c r="N3055" s="744"/>
      <c r="O3055" s="739"/>
      <c r="P3055" s="739"/>
      <c r="Q3055" s="214"/>
    </row>
    <row r="3056" spans="1:17" ht="12" customHeight="1" x14ac:dyDescent="0.2">
      <c r="A3056" s="735" t="s">
        <v>7733</v>
      </c>
      <c r="B3056" s="735" t="s">
        <v>2170</v>
      </c>
      <c r="C3056" s="735" t="s">
        <v>451</v>
      </c>
      <c r="D3056" s="644" t="s">
        <v>7985</v>
      </c>
      <c r="E3056" s="736">
        <v>3000</v>
      </c>
      <c r="F3056" s="737" t="s">
        <v>10129</v>
      </c>
      <c r="G3056" s="636" t="s">
        <v>10130</v>
      </c>
      <c r="H3056" s="636" t="s">
        <v>8014</v>
      </c>
      <c r="I3056" s="636" t="s">
        <v>3760</v>
      </c>
      <c r="J3056" s="644" t="s">
        <v>643</v>
      </c>
      <c r="K3056" s="753">
        <v>12</v>
      </c>
      <c r="L3056" s="754">
        <v>12</v>
      </c>
      <c r="M3056" s="736">
        <v>37960.800000000003</v>
      </c>
      <c r="N3056" s="744"/>
      <c r="O3056" s="739"/>
      <c r="P3056" s="739"/>
      <c r="Q3056" s="214"/>
    </row>
    <row r="3057" spans="1:17" ht="12" customHeight="1" x14ac:dyDescent="0.2">
      <c r="A3057" s="735" t="s">
        <v>7733</v>
      </c>
      <c r="B3057" s="735" t="s">
        <v>2170</v>
      </c>
      <c r="C3057" s="735" t="s">
        <v>451</v>
      </c>
      <c r="D3057" s="644" t="s">
        <v>2179</v>
      </c>
      <c r="E3057" s="736">
        <v>5000</v>
      </c>
      <c r="F3057" s="737" t="s">
        <v>10131</v>
      </c>
      <c r="G3057" s="636" t="s">
        <v>10132</v>
      </c>
      <c r="H3057" s="636" t="s">
        <v>6571</v>
      </c>
      <c r="I3057" s="636" t="s">
        <v>2179</v>
      </c>
      <c r="J3057" s="644" t="s">
        <v>642</v>
      </c>
      <c r="K3057" s="753">
        <v>5</v>
      </c>
      <c r="L3057" s="754">
        <v>12</v>
      </c>
      <c r="M3057" s="736">
        <v>61960.800000000003</v>
      </c>
      <c r="N3057" s="744"/>
      <c r="O3057" s="739"/>
      <c r="P3057" s="739"/>
      <c r="Q3057" s="214"/>
    </row>
    <row r="3058" spans="1:17" ht="12" customHeight="1" x14ac:dyDescent="0.2">
      <c r="A3058" s="735" t="s">
        <v>7733</v>
      </c>
      <c r="B3058" s="735" t="s">
        <v>2170</v>
      </c>
      <c r="C3058" s="735" t="s">
        <v>451</v>
      </c>
      <c r="D3058" s="644" t="s">
        <v>8268</v>
      </c>
      <c r="E3058" s="736">
        <v>2500</v>
      </c>
      <c r="F3058" s="737" t="s">
        <v>10133</v>
      </c>
      <c r="G3058" s="636" t="s">
        <v>10134</v>
      </c>
      <c r="H3058" s="636"/>
      <c r="I3058" s="636"/>
      <c r="J3058" s="644" t="s">
        <v>643</v>
      </c>
      <c r="K3058" s="753">
        <v>12</v>
      </c>
      <c r="L3058" s="754">
        <v>12</v>
      </c>
      <c r="M3058" s="736">
        <v>31960.799999999999</v>
      </c>
      <c r="N3058" s="744"/>
      <c r="O3058" s="739"/>
      <c r="P3058" s="739"/>
      <c r="Q3058" s="214"/>
    </row>
    <row r="3059" spans="1:17" ht="12" customHeight="1" x14ac:dyDescent="0.2">
      <c r="A3059" s="735" t="s">
        <v>7733</v>
      </c>
      <c r="B3059" s="735" t="s">
        <v>2170</v>
      </c>
      <c r="C3059" s="735" t="s">
        <v>451</v>
      </c>
      <c r="D3059" s="644" t="s">
        <v>8367</v>
      </c>
      <c r="E3059" s="736">
        <v>2300</v>
      </c>
      <c r="F3059" s="737" t="s">
        <v>10135</v>
      </c>
      <c r="G3059" s="636" t="s">
        <v>10136</v>
      </c>
      <c r="H3059" s="636" t="s">
        <v>6571</v>
      </c>
      <c r="I3059" s="636" t="s">
        <v>2179</v>
      </c>
      <c r="J3059" s="644" t="s">
        <v>643</v>
      </c>
      <c r="K3059" s="753">
        <v>5</v>
      </c>
      <c r="L3059" s="754">
        <v>12</v>
      </c>
      <c r="M3059" s="736">
        <v>29560.799999999999</v>
      </c>
      <c r="N3059" s="744"/>
      <c r="O3059" s="739"/>
      <c r="P3059" s="739"/>
      <c r="Q3059" s="214"/>
    </row>
    <row r="3060" spans="1:17" ht="12" customHeight="1" x14ac:dyDescent="0.2">
      <c r="A3060" s="735" t="s">
        <v>7733</v>
      </c>
      <c r="B3060" s="735" t="s">
        <v>2170</v>
      </c>
      <c r="C3060" s="735" t="s">
        <v>451</v>
      </c>
      <c r="D3060" s="644" t="s">
        <v>10137</v>
      </c>
      <c r="E3060" s="736">
        <v>1600</v>
      </c>
      <c r="F3060" s="737" t="s">
        <v>10138</v>
      </c>
      <c r="G3060" s="636" t="s">
        <v>10139</v>
      </c>
      <c r="H3060" s="636" t="s">
        <v>2228</v>
      </c>
      <c r="I3060" s="636" t="s">
        <v>2228</v>
      </c>
      <c r="J3060" s="644"/>
      <c r="K3060" s="753">
        <v>4</v>
      </c>
      <c r="L3060" s="754">
        <v>4</v>
      </c>
      <c r="M3060" s="736">
        <v>20728</v>
      </c>
      <c r="N3060" s="744"/>
      <c r="O3060" s="739"/>
      <c r="P3060" s="739"/>
      <c r="Q3060" s="214"/>
    </row>
    <row r="3061" spans="1:17" ht="12" customHeight="1" x14ac:dyDescent="0.2">
      <c r="A3061" s="735" t="s">
        <v>7733</v>
      </c>
      <c r="B3061" s="735" t="s">
        <v>2170</v>
      </c>
      <c r="C3061" s="735" t="s">
        <v>451</v>
      </c>
      <c r="D3061" s="644" t="s">
        <v>2179</v>
      </c>
      <c r="E3061" s="736">
        <v>6000</v>
      </c>
      <c r="F3061" s="737" t="s">
        <v>10140</v>
      </c>
      <c r="G3061" s="636" t="s">
        <v>10141</v>
      </c>
      <c r="H3061" s="636" t="s">
        <v>6571</v>
      </c>
      <c r="I3061" s="636" t="s">
        <v>2179</v>
      </c>
      <c r="J3061" s="644" t="s">
        <v>642</v>
      </c>
      <c r="K3061" s="753">
        <v>3</v>
      </c>
      <c r="L3061" s="754">
        <v>8</v>
      </c>
      <c r="M3061" s="736">
        <v>49960.800000000003</v>
      </c>
      <c r="N3061" s="744"/>
      <c r="O3061" s="739"/>
      <c r="P3061" s="739"/>
      <c r="Q3061" s="214"/>
    </row>
    <row r="3062" spans="1:17" ht="12" customHeight="1" x14ac:dyDescent="0.2">
      <c r="A3062" s="735" t="s">
        <v>7733</v>
      </c>
      <c r="B3062" s="735" t="s">
        <v>2170</v>
      </c>
      <c r="C3062" s="735" t="s">
        <v>451</v>
      </c>
      <c r="D3062" s="644" t="s">
        <v>10142</v>
      </c>
      <c r="E3062" s="736">
        <v>3500</v>
      </c>
      <c r="F3062" s="737" t="s">
        <v>10143</v>
      </c>
      <c r="G3062" s="636" t="s">
        <v>10144</v>
      </c>
      <c r="H3062" s="636"/>
      <c r="I3062" s="636"/>
      <c r="J3062" s="644" t="s">
        <v>642</v>
      </c>
      <c r="K3062" s="753">
        <v>5</v>
      </c>
      <c r="L3062" s="754">
        <v>12</v>
      </c>
      <c r="M3062" s="736">
        <v>43960.800000000003</v>
      </c>
      <c r="N3062" s="744"/>
      <c r="O3062" s="739"/>
      <c r="P3062" s="739"/>
      <c r="Q3062" s="214"/>
    </row>
    <row r="3063" spans="1:17" ht="12" customHeight="1" x14ac:dyDescent="0.2">
      <c r="A3063" s="735" t="s">
        <v>7733</v>
      </c>
      <c r="B3063" s="735" t="s">
        <v>2170</v>
      </c>
      <c r="C3063" s="735" t="s">
        <v>451</v>
      </c>
      <c r="D3063" s="644" t="s">
        <v>8155</v>
      </c>
      <c r="E3063" s="736">
        <v>6500</v>
      </c>
      <c r="F3063" s="737" t="s">
        <v>10145</v>
      </c>
      <c r="G3063" s="636" t="s">
        <v>10146</v>
      </c>
      <c r="H3063" s="636" t="s">
        <v>7260</v>
      </c>
      <c r="I3063" s="636" t="s">
        <v>10147</v>
      </c>
      <c r="J3063" s="644" t="s">
        <v>642</v>
      </c>
      <c r="K3063" s="753">
        <v>5</v>
      </c>
      <c r="L3063" s="754">
        <v>12</v>
      </c>
      <c r="M3063" s="736">
        <v>79960.800000000003</v>
      </c>
      <c r="N3063" s="744"/>
      <c r="O3063" s="739"/>
      <c r="P3063" s="739"/>
      <c r="Q3063" s="214"/>
    </row>
    <row r="3064" spans="1:17" ht="12" customHeight="1" x14ac:dyDescent="0.2">
      <c r="A3064" s="735" t="s">
        <v>7733</v>
      </c>
      <c r="B3064" s="735" t="s">
        <v>2170</v>
      </c>
      <c r="C3064" s="735" t="s">
        <v>451</v>
      </c>
      <c r="D3064" s="644" t="s">
        <v>2788</v>
      </c>
      <c r="E3064" s="736">
        <v>1600</v>
      </c>
      <c r="F3064" s="737" t="s">
        <v>10148</v>
      </c>
      <c r="G3064" s="636" t="s">
        <v>10149</v>
      </c>
      <c r="H3064" s="636" t="s">
        <v>7152</v>
      </c>
      <c r="I3064" s="636" t="s">
        <v>8036</v>
      </c>
      <c r="J3064" s="644" t="s">
        <v>643</v>
      </c>
      <c r="K3064" s="753">
        <v>12</v>
      </c>
      <c r="L3064" s="754">
        <v>12</v>
      </c>
      <c r="M3064" s="736">
        <v>31528</v>
      </c>
      <c r="N3064" s="744"/>
      <c r="O3064" s="739"/>
      <c r="P3064" s="739"/>
      <c r="Q3064" s="214"/>
    </row>
    <row r="3065" spans="1:17" ht="12" customHeight="1" x14ac:dyDescent="0.2">
      <c r="A3065" s="735" t="s">
        <v>7733</v>
      </c>
      <c r="B3065" s="735" t="s">
        <v>2170</v>
      </c>
      <c r="C3065" s="735" t="s">
        <v>451</v>
      </c>
      <c r="D3065" s="644" t="s">
        <v>7858</v>
      </c>
      <c r="E3065" s="736">
        <v>3000</v>
      </c>
      <c r="F3065" s="737" t="s">
        <v>10150</v>
      </c>
      <c r="G3065" s="636" t="s">
        <v>10151</v>
      </c>
      <c r="H3065" s="636" t="s">
        <v>7152</v>
      </c>
      <c r="I3065" s="636" t="s">
        <v>2317</v>
      </c>
      <c r="J3065" s="644" t="s">
        <v>643</v>
      </c>
      <c r="K3065" s="753">
        <v>12</v>
      </c>
      <c r="L3065" s="754">
        <v>12</v>
      </c>
      <c r="M3065" s="736">
        <v>47960.800000000003</v>
      </c>
      <c r="N3065" s="744"/>
      <c r="O3065" s="739"/>
      <c r="P3065" s="739"/>
      <c r="Q3065" s="214"/>
    </row>
    <row r="3066" spans="1:17" ht="12" customHeight="1" x14ac:dyDescent="0.2">
      <c r="A3066" s="735" t="s">
        <v>7733</v>
      </c>
      <c r="B3066" s="735" t="s">
        <v>2170</v>
      </c>
      <c r="C3066" s="735" t="s">
        <v>451</v>
      </c>
      <c r="D3066" s="644" t="s">
        <v>10152</v>
      </c>
      <c r="E3066" s="736">
        <v>4000</v>
      </c>
      <c r="F3066" s="737" t="s">
        <v>10153</v>
      </c>
      <c r="G3066" s="636" t="s">
        <v>10154</v>
      </c>
      <c r="H3066" s="636" t="s">
        <v>7772</v>
      </c>
      <c r="I3066" s="636" t="s">
        <v>8075</v>
      </c>
      <c r="J3066" s="644" t="s">
        <v>642</v>
      </c>
      <c r="K3066" s="753">
        <v>9</v>
      </c>
      <c r="L3066" s="754">
        <v>12</v>
      </c>
      <c r="M3066" s="736">
        <v>49960.800000000003</v>
      </c>
      <c r="N3066" s="744"/>
      <c r="O3066" s="739"/>
      <c r="P3066" s="739"/>
      <c r="Q3066" s="214"/>
    </row>
    <row r="3067" spans="1:17" ht="12" customHeight="1" x14ac:dyDescent="0.2">
      <c r="A3067" s="735" t="s">
        <v>7733</v>
      </c>
      <c r="B3067" s="735" t="s">
        <v>2170</v>
      </c>
      <c r="C3067" s="735" t="s">
        <v>451</v>
      </c>
      <c r="D3067" s="644" t="s">
        <v>10155</v>
      </c>
      <c r="E3067" s="736">
        <v>3500</v>
      </c>
      <c r="F3067" s="737" t="s">
        <v>10156</v>
      </c>
      <c r="G3067" s="636" t="s">
        <v>10157</v>
      </c>
      <c r="H3067" s="636"/>
      <c r="I3067" s="636"/>
      <c r="J3067" s="644" t="s">
        <v>642</v>
      </c>
      <c r="K3067" s="753">
        <v>11</v>
      </c>
      <c r="L3067" s="754">
        <v>11</v>
      </c>
      <c r="M3067" s="736">
        <v>40460.800000000003</v>
      </c>
      <c r="N3067" s="744"/>
      <c r="O3067" s="739"/>
      <c r="P3067" s="739"/>
      <c r="Q3067" s="214"/>
    </row>
    <row r="3068" spans="1:17" ht="12" customHeight="1" x14ac:dyDescent="0.2">
      <c r="A3068" s="735" t="s">
        <v>7733</v>
      </c>
      <c r="B3068" s="735" t="s">
        <v>2170</v>
      </c>
      <c r="C3068" s="735" t="s">
        <v>451</v>
      </c>
      <c r="D3068" s="644" t="s">
        <v>8045</v>
      </c>
      <c r="E3068" s="736">
        <v>1700</v>
      </c>
      <c r="F3068" s="737" t="s">
        <v>10158</v>
      </c>
      <c r="G3068" s="636" t="s">
        <v>10159</v>
      </c>
      <c r="H3068" s="636" t="s">
        <v>7850</v>
      </c>
      <c r="I3068" s="636" t="s">
        <v>643</v>
      </c>
      <c r="J3068" s="644" t="s">
        <v>644</v>
      </c>
      <c r="K3068" s="753">
        <v>12</v>
      </c>
      <c r="L3068" s="754">
        <v>12</v>
      </c>
      <c r="M3068" s="736">
        <v>22836</v>
      </c>
      <c r="N3068" s="744"/>
      <c r="O3068" s="739"/>
      <c r="P3068" s="739"/>
      <c r="Q3068" s="214"/>
    </row>
    <row r="3069" spans="1:17" ht="12" customHeight="1" x14ac:dyDescent="0.2">
      <c r="A3069" s="735" t="s">
        <v>7733</v>
      </c>
      <c r="B3069" s="735" t="s">
        <v>2170</v>
      </c>
      <c r="C3069" s="735" t="s">
        <v>451</v>
      </c>
      <c r="D3069" s="644" t="s">
        <v>8889</v>
      </c>
      <c r="E3069" s="736">
        <v>6000</v>
      </c>
      <c r="F3069" s="737" t="s">
        <v>10160</v>
      </c>
      <c r="G3069" s="636" t="s">
        <v>10161</v>
      </c>
      <c r="H3069" s="636" t="s">
        <v>6571</v>
      </c>
      <c r="I3069" s="636" t="s">
        <v>2179</v>
      </c>
      <c r="J3069" s="644" t="s">
        <v>642</v>
      </c>
      <c r="K3069" s="753">
        <v>5</v>
      </c>
      <c r="L3069" s="754">
        <v>12</v>
      </c>
      <c r="M3069" s="736">
        <v>73960.800000000003</v>
      </c>
      <c r="N3069" s="744"/>
      <c r="O3069" s="739"/>
      <c r="P3069" s="739"/>
      <c r="Q3069" s="214"/>
    </row>
    <row r="3070" spans="1:17" ht="12" customHeight="1" x14ac:dyDescent="0.2">
      <c r="A3070" s="735" t="s">
        <v>7733</v>
      </c>
      <c r="B3070" s="735" t="s">
        <v>2170</v>
      </c>
      <c r="C3070" s="735" t="s">
        <v>451</v>
      </c>
      <c r="D3070" s="644" t="s">
        <v>7968</v>
      </c>
      <c r="E3070" s="736">
        <v>4000</v>
      </c>
      <c r="F3070" s="737" t="s">
        <v>10162</v>
      </c>
      <c r="G3070" s="636" t="s">
        <v>10163</v>
      </c>
      <c r="H3070" s="636"/>
      <c r="I3070" s="636" t="s">
        <v>7835</v>
      </c>
      <c r="J3070" s="644" t="s">
        <v>642</v>
      </c>
      <c r="K3070" s="753">
        <v>9</v>
      </c>
      <c r="L3070" s="754">
        <v>12</v>
      </c>
      <c r="M3070" s="736">
        <v>49960.800000000003</v>
      </c>
      <c r="N3070" s="744"/>
      <c r="O3070" s="739"/>
      <c r="P3070" s="739"/>
      <c r="Q3070" s="214"/>
    </row>
    <row r="3071" spans="1:17" ht="12" customHeight="1" x14ac:dyDescent="0.2">
      <c r="A3071" s="735" t="s">
        <v>7733</v>
      </c>
      <c r="B3071" s="735" t="s">
        <v>2170</v>
      </c>
      <c r="C3071" s="735" t="s">
        <v>451</v>
      </c>
      <c r="D3071" s="644" t="s">
        <v>8554</v>
      </c>
      <c r="E3071" s="736">
        <v>3000</v>
      </c>
      <c r="F3071" s="737" t="s">
        <v>10164</v>
      </c>
      <c r="G3071" s="636" t="s">
        <v>10165</v>
      </c>
      <c r="H3071" s="636" t="s">
        <v>7834</v>
      </c>
      <c r="I3071" s="636" t="s">
        <v>7835</v>
      </c>
      <c r="J3071" s="644" t="s">
        <v>642</v>
      </c>
      <c r="K3071" s="753">
        <v>12</v>
      </c>
      <c r="L3071" s="754">
        <v>12</v>
      </c>
      <c r="M3071" s="736">
        <v>37960.800000000003</v>
      </c>
      <c r="N3071" s="744"/>
      <c r="O3071" s="739"/>
      <c r="P3071" s="739"/>
      <c r="Q3071" s="214"/>
    </row>
    <row r="3072" spans="1:17" ht="12" customHeight="1" x14ac:dyDescent="0.2">
      <c r="A3072" s="735" t="s">
        <v>7733</v>
      </c>
      <c r="B3072" s="735" t="s">
        <v>2170</v>
      </c>
      <c r="C3072" s="735" t="s">
        <v>451</v>
      </c>
      <c r="D3072" s="644" t="s">
        <v>10166</v>
      </c>
      <c r="E3072" s="736">
        <v>3900</v>
      </c>
      <c r="F3072" s="737" t="s">
        <v>10167</v>
      </c>
      <c r="G3072" s="636" t="s">
        <v>10168</v>
      </c>
      <c r="H3072" s="636" t="s">
        <v>7816</v>
      </c>
      <c r="I3072" s="636" t="s">
        <v>3328</v>
      </c>
      <c r="J3072" s="644" t="s">
        <v>643</v>
      </c>
      <c r="K3072" s="753">
        <v>5</v>
      </c>
      <c r="L3072" s="754">
        <v>12</v>
      </c>
      <c r="M3072" s="736">
        <v>48760.800000000003</v>
      </c>
      <c r="N3072" s="744"/>
      <c r="O3072" s="739"/>
      <c r="P3072" s="739"/>
      <c r="Q3072" s="214"/>
    </row>
    <row r="3073" spans="1:17" ht="12" customHeight="1" x14ac:dyDescent="0.2">
      <c r="A3073" s="735" t="s">
        <v>7733</v>
      </c>
      <c r="B3073" s="735" t="s">
        <v>2170</v>
      </c>
      <c r="C3073" s="735" t="s">
        <v>451</v>
      </c>
      <c r="D3073" s="644" t="s">
        <v>8889</v>
      </c>
      <c r="E3073" s="736">
        <v>6000</v>
      </c>
      <c r="F3073" s="737" t="s">
        <v>10169</v>
      </c>
      <c r="G3073" s="636" t="s">
        <v>10170</v>
      </c>
      <c r="H3073" s="636" t="s">
        <v>7834</v>
      </c>
      <c r="I3073" s="636" t="s">
        <v>7835</v>
      </c>
      <c r="J3073" s="644" t="s">
        <v>642</v>
      </c>
      <c r="K3073" s="753">
        <v>3</v>
      </c>
      <c r="L3073" s="754">
        <v>9</v>
      </c>
      <c r="M3073" s="736">
        <v>55960.800000000003</v>
      </c>
      <c r="N3073" s="744"/>
      <c r="O3073" s="739"/>
      <c r="P3073" s="739"/>
      <c r="Q3073" s="214"/>
    </row>
    <row r="3074" spans="1:17" ht="12" customHeight="1" x14ac:dyDescent="0.2">
      <c r="A3074" s="735" t="s">
        <v>7733</v>
      </c>
      <c r="B3074" s="735" t="s">
        <v>2170</v>
      </c>
      <c r="C3074" s="735" t="s">
        <v>451</v>
      </c>
      <c r="D3074" s="644" t="s">
        <v>10171</v>
      </c>
      <c r="E3074" s="736">
        <v>4000</v>
      </c>
      <c r="F3074" s="737" t="s">
        <v>10172</v>
      </c>
      <c r="G3074" s="636" t="s">
        <v>10173</v>
      </c>
      <c r="H3074" s="636" t="s">
        <v>2690</v>
      </c>
      <c r="I3074" s="636" t="s">
        <v>10174</v>
      </c>
      <c r="J3074" s="644" t="s">
        <v>642</v>
      </c>
      <c r="K3074" s="753">
        <v>7</v>
      </c>
      <c r="L3074" s="754">
        <v>12</v>
      </c>
      <c r="M3074" s="736">
        <v>49960.800000000003</v>
      </c>
      <c r="N3074" s="744"/>
      <c r="O3074" s="739"/>
      <c r="P3074" s="739"/>
      <c r="Q3074" s="214"/>
    </row>
    <row r="3075" spans="1:17" ht="12" customHeight="1" x14ac:dyDescent="0.2">
      <c r="A3075" s="735" t="s">
        <v>7733</v>
      </c>
      <c r="B3075" s="735" t="s">
        <v>2170</v>
      </c>
      <c r="C3075" s="735" t="s">
        <v>451</v>
      </c>
      <c r="D3075" s="644" t="s">
        <v>8417</v>
      </c>
      <c r="E3075" s="736">
        <v>1400</v>
      </c>
      <c r="F3075" s="737" t="s">
        <v>10175</v>
      </c>
      <c r="G3075" s="636" t="s">
        <v>10176</v>
      </c>
      <c r="H3075" s="636">
        <v>0</v>
      </c>
      <c r="I3075" s="636"/>
      <c r="J3075" s="644"/>
      <c r="K3075" s="753">
        <v>1</v>
      </c>
      <c r="L3075" s="754">
        <v>2</v>
      </c>
      <c r="M3075" s="736">
        <v>5912</v>
      </c>
      <c r="N3075" s="744"/>
      <c r="O3075" s="739"/>
      <c r="P3075" s="739"/>
      <c r="Q3075" s="214"/>
    </row>
    <row r="3076" spans="1:17" ht="12" customHeight="1" x14ac:dyDescent="0.2">
      <c r="A3076" s="735" t="s">
        <v>7733</v>
      </c>
      <c r="B3076" s="735" t="s">
        <v>2170</v>
      </c>
      <c r="C3076" s="735" t="s">
        <v>451</v>
      </c>
      <c r="D3076" s="644" t="s">
        <v>8367</v>
      </c>
      <c r="E3076" s="736">
        <v>2300</v>
      </c>
      <c r="F3076" s="737" t="s">
        <v>10177</v>
      </c>
      <c r="G3076" s="636" t="s">
        <v>10178</v>
      </c>
      <c r="H3076" s="636">
        <v>0</v>
      </c>
      <c r="I3076" s="636"/>
      <c r="J3076" s="644"/>
      <c r="K3076" s="753">
        <v>1</v>
      </c>
      <c r="L3076" s="754">
        <v>3</v>
      </c>
      <c r="M3076" s="736">
        <v>8860.7999999999993</v>
      </c>
      <c r="N3076" s="744"/>
      <c r="O3076" s="739"/>
      <c r="P3076" s="739"/>
      <c r="Q3076" s="214"/>
    </row>
    <row r="3077" spans="1:17" ht="12" customHeight="1" x14ac:dyDescent="0.2">
      <c r="A3077" s="735" t="s">
        <v>7733</v>
      </c>
      <c r="B3077" s="735" t="s">
        <v>2170</v>
      </c>
      <c r="C3077" s="735" t="s">
        <v>451</v>
      </c>
      <c r="D3077" s="644" t="s">
        <v>5832</v>
      </c>
      <c r="E3077" s="736">
        <v>3500</v>
      </c>
      <c r="F3077" s="737" t="s">
        <v>10179</v>
      </c>
      <c r="G3077" s="636" t="s">
        <v>10180</v>
      </c>
      <c r="H3077" s="636">
        <v>0</v>
      </c>
      <c r="I3077" s="636"/>
      <c r="J3077" s="644"/>
      <c r="K3077" s="753">
        <v>1</v>
      </c>
      <c r="L3077" s="754">
        <v>1</v>
      </c>
      <c r="M3077" s="736">
        <v>7460.8</v>
      </c>
      <c r="N3077" s="744"/>
      <c r="O3077" s="739"/>
      <c r="P3077" s="739"/>
      <c r="Q3077" s="214"/>
    </row>
    <row r="3078" spans="1:17" ht="12" customHeight="1" x14ac:dyDescent="0.2">
      <c r="A3078" s="735" t="s">
        <v>7733</v>
      </c>
      <c r="B3078" s="735" t="s">
        <v>2170</v>
      </c>
      <c r="C3078" s="735" t="s">
        <v>451</v>
      </c>
      <c r="D3078" s="644" t="s">
        <v>7783</v>
      </c>
      <c r="E3078" s="736">
        <v>4000</v>
      </c>
      <c r="F3078" s="737" t="s">
        <v>10181</v>
      </c>
      <c r="G3078" s="636" t="s">
        <v>10182</v>
      </c>
      <c r="H3078" s="636">
        <v>0</v>
      </c>
      <c r="I3078" s="636"/>
      <c r="J3078" s="644"/>
      <c r="K3078" s="753">
        <v>1</v>
      </c>
      <c r="L3078" s="754">
        <v>1</v>
      </c>
      <c r="M3078" s="736">
        <v>5960.8</v>
      </c>
      <c r="N3078" s="744"/>
      <c r="O3078" s="739"/>
      <c r="P3078" s="739"/>
      <c r="Q3078" s="214"/>
    </row>
    <row r="3079" spans="1:17" ht="12" customHeight="1" x14ac:dyDescent="0.2">
      <c r="A3079" s="735" t="s">
        <v>7733</v>
      </c>
      <c r="B3079" s="735" t="s">
        <v>2170</v>
      </c>
      <c r="C3079" s="735" t="s">
        <v>451</v>
      </c>
      <c r="D3079" s="644" t="s">
        <v>6271</v>
      </c>
      <c r="E3079" s="736">
        <v>9000</v>
      </c>
      <c r="F3079" s="737" t="s">
        <v>10183</v>
      </c>
      <c r="G3079" s="636" t="s">
        <v>10184</v>
      </c>
      <c r="H3079" s="636">
        <v>0</v>
      </c>
      <c r="I3079" s="636"/>
      <c r="J3079" s="644"/>
      <c r="K3079" s="753">
        <v>1</v>
      </c>
      <c r="L3079" s="754">
        <v>1</v>
      </c>
      <c r="M3079" s="736">
        <v>10960.8</v>
      </c>
      <c r="N3079" s="744"/>
      <c r="O3079" s="739"/>
      <c r="P3079" s="739"/>
      <c r="Q3079" s="214"/>
    </row>
    <row r="3080" spans="1:17" ht="12" customHeight="1" x14ac:dyDescent="0.2">
      <c r="A3080" s="735" t="s">
        <v>7733</v>
      </c>
      <c r="B3080" s="735" t="s">
        <v>2170</v>
      </c>
      <c r="C3080" s="735" t="s">
        <v>451</v>
      </c>
      <c r="D3080" s="644" t="s">
        <v>8177</v>
      </c>
      <c r="E3080" s="736">
        <v>7000</v>
      </c>
      <c r="F3080" s="737" t="s">
        <v>10185</v>
      </c>
      <c r="G3080" s="636" t="s">
        <v>10186</v>
      </c>
      <c r="H3080" s="636">
        <v>0</v>
      </c>
      <c r="I3080" s="636"/>
      <c r="J3080" s="644"/>
      <c r="K3080" s="753">
        <v>1</v>
      </c>
      <c r="L3080" s="754">
        <v>6</v>
      </c>
      <c r="M3080" s="736">
        <v>43960.800000000003</v>
      </c>
      <c r="N3080" s="744"/>
      <c r="O3080" s="739"/>
      <c r="P3080" s="739"/>
      <c r="Q3080" s="214"/>
    </row>
    <row r="3081" spans="1:17" ht="12" customHeight="1" x14ac:dyDescent="0.2">
      <c r="A3081" s="735" t="s">
        <v>7733</v>
      </c>
      <c r="B3081" s="735" t="s">
        <v>2170</v>
      </c>
      <c r="C3081" s="735" t="s">
        <v>451</v>
      </c>
      <c r="D3081" s="644" t="s">
        <v>10187</v>
      </c>
      <c r="E3081" s="736">
        <v>1800</v>
      </c>
      <c r="F3081" s="737" t="s">
        <v>10188</v>
      </c>
      <c r="G3081" s="636" t="s">
        <v>10189</v>
      </c>
      <c r="H3081" s="636">
        <v>0</v>
      </c>
      <c r="I3081" s="636"/>
      <c r="J3081" s="644"/>
      <c r="K3081" s="753">
        <v>1</v>
      </c>
      <c r="L3081" s="754">
        <v>3</v>
      </c>
      <c r="M3081" s="736">
        <v>10944</v>
      </c>
      <c r="N3081" s="744"/>
      <c r="O3081" s="739"/>
      <c r="P3081" s="739"/>
      <c r="Q3081" s="214"/>
    </row>
    <row r="3082" spans="1:17" ht="12" customHeight="1" x14ac:dyDescent="0.2">
      <c r="A3082" s="735" t="s">
        <v>7733</v>
      </c>
      <c r="B3082" s="735" t="s">
        <v>2170</v>
      </c>
      <c r="C3082" s="735" t="s">
        <v>451</v>
      </c>
      <c r="D3082" s="644" t="s">
        <v>9372</v>
      </c>
      <c r="E3082" s="736">
        <v>6000</v>
      </c>
      <c r="F3082" s="737" t="s">
        <v>10190</v>
      </c>
      <c r="G3082" s="636" t="s">
        <v>10191</v>
      </c>
      <c r="H3082" s="636">
        <v>0</v>
      </c>
      <c r="I3082" s="636"/>
      <c r="J3082" s="644"/>
      <c r="K3082" s="753">
        <v>1</v>
      </c>
      <c r="L3082" s="754">
        <v>2</v>
      </c>
      <c r="M3082" s="736">
        <v>13960.8</v>
      </c>
      <c r="N3082" s="744"/>
      <c r="O3082" s="739"/>
      <c r="P3082" s="739"/>
      <c r="Q3082" s="214"/>
    </row>
    <row r="3083" spans="1:17" ht="12" customHeight="1" x14ac:dyDescent="0.2">
      <c r="A3083" s="735" t="s">
        <v>7733</v>
      </c>
      <c r="B3083" s="735" t="s">
        <v>2170</v>
      </c>
      <c r="C3083" s="735" t="s">
        <v>451</v>
      </c>
      <c r="D3083" s="644" t="s">
        <v>7746</v>
      </c>
      <c r="E3083" s="736">
        <v>2200</v>
      </c>
      <c r="F3083" s="737" t="s">
        <v>10192</v>
      </c>
      <c r="G3083" s="636" t="s">
        <v>10193</v>
      </c>
      <c r="H3083" s="636" t="s">
        <v>10194</v>
      </c>
      <c r="I3083" s="636" t="s">
        <v>2253</v>
      </c>
      <c r="J3083" s="644" t="s">
        <v>643</v>
      </c>
      <c r="K3083" s="753">
        <v>1</v>
      </c>
      <c r="L3083" s="754">
        <v>7</v>
      </c>
      <c r="M3083" s="736">
        <v>37360.800000000003</v>
      </c>
      <c r="N3083" s="744"/>
      <c r="O3083" s="739"/>
      <c r="P3083" s="739"/>
      <c r="Q3083" s="214"/>
    </row>
    <row r="3084" spans="1:17" ht="12" customHeight="1" x14ac:dyDescent="0.2">
      <c r="A3084" s="735" t="s">
        <v>7733</v>
      </c>
      <c r="B3084" s="735" t="s">
        <v>2170</v>
      </c>
      <c r="C3084" s="735" t="s">
        <v>451</v>
      </c>
      <c r="D3084" s="644" t="s">
        <v>10195</v>
      </c>
      <c r="E3084" s="736">
        <v>2300</v>
      </c>
      <c r="F3084" s="737" t="s">
        <v>10196</v>
      </c>
      <c r="G3084" s="636" t="s">
        <v>10197</v>
      </c>
      <c r="H3084" s="636">
        <v>0</v>
      </c>
      <c r="I3084" s="636"/>
      <c r="J3084" s="644" t="s">
        <v>643</v>
      </c>
      <c r="K3084" s="753">
        <v>1</v>
      </c>
      <c r="L3084" s="754">
        <v>1</v>
      </c>
      <c r="M3084" s="736">
        <v>6260.8</v>
      </c>
      <c r="N3084" s="744"/>
      <c r="O3084" s="739"/>
      <c r="P3084" s="739"/>
      <c r="Q3084" s="214"/>
    </row>
    <row r="3085" spans="1:17" ht="12" customHeight="1" x14ac:dyDescent="0.2">
      <c r="A3085" s="735" t="s">
        <v>7733</v>
      </c>
      <c r="B3085" s="735" t="s">
        <v>2170</v>
      </c>
      <c r="C3085" s="735" t="s">
        <v>451</v>
      </c>
      <c r="D3085" s="644" t="s">
        <v>5538</v>
      </c>
      <c r="E3085" s="736">
        <v>5000</v>
      </c>
      <c r="F3085" s="737" t="s">
        <v>10198</v>
      </c>
      <c r="G3085" s="636" t="s">
        <v>10199</v>
      </c>
      <c r="H3085" s="636">
        <v>0</v>
      </c>
      <c r="I3085" s="636"/>
      <c r="J3085" s="644"/>
      <c r="K3085" s="753">
        <v>1</v>
      </c>
      <c r="L3085" s="754">
        <v>3</v>
      </c>
      <c r="M3085" s="736">
        <v>16960.8</v>
      </c>
      <c r="N3085" s="744"/>
      <c r="O3085" s="739"/>
      <c r="P3085" s="739"/>
      <c r="Q3085" s="214"/>
    </row>
    <row r="3086" spans="1:17" ht="12" customHeight="1" x14ac:dyDescent="0.2">
      <c r="A3086" s="735" t="s">
        <v>7733</v>
      </c>
      <c r="B3086" s="735" t="s">
        <v>2170</v>
      </c>
      <c r="C3086" s="735" t="s">
        <v>451</v>
      </c>
      <c r="D3086" s="644" t="s">
        <v>7871</v>
      </c>
      <c r="E3086" s="736">
        <v>4000</v>
      </c>
      <c r="F3086" s="737" t="s">
        <v>10200</v>
      </c>
      <c r="G3086" s="636" t="s">
        <v>10201</v>
      </c>
      <c r="H3086" s="636" t="s">
        <v>7782</v>
      </c>
      <c r="I3086" s="636"/>
      <c r="J3086" s="644" t="s">
        <v>642</v>
      </c>
      <c r="K3086" s="753">
        <v>1</v>
      </c>
      <c r="L3086" s="754">
        <v>1</v>
      </c>
      <c r="M3086" s="736">
        <v>5960.8</v>
      </c>
      <c r="N3086" s="744"/>
      <c r="O3086" s="739"/>
      <c r="P3086" s="739"/>
      <c r="Q3086" s="214"/>
    </row>
    <row r="3087" spans="1:17" ht="12" customHeight="1" x14ac:dyDescent="0.2">
      <c r="A3087" s="735" t="s">
        <v>7733</v>
      </c>
      <c r="B3087" s="735" t="s">
        <v>2170</v>
      </c>
      <c r="C3087" s="735" t="s">
        <v>451</v>
      </c>
      <c r="D3087" s="644" t="s">
        <v>7871</v>
      </c>
      <c r="E3087" s="736">
        <v>4000</v>
      </c>
      <c r="F3087" s="737" t="s">
        <v>10202</v>
      </c>
      <c r="G3087" s="636" t="s">
        <v>10203</v>
      </c>
      <c r="H3087" s="636" t="s">
        <v>7782</v>
      </c>
      <c r="I3087" s="636"/>
      <c r="J3087" s="644" t="s">
        <v>642</v>
      </c>
      <c r="K3087" s="753">
        <v>1</v>
      </c>
      <c r="L3087" s="754">
        <v>2</v>
      </c>
      <c r="M3087" s="736">
        <v>10960.8</v>
      </c>
      <c r="N3087" s="744"/>
      <c r="O3087" s="739"/>
      <c r="P3087" s="739"/>
      <c r="Q3087" s="214"/>
    </row>
    <row r="3088" spans="1:17" ht="12" customHeight="1" x14ac:dyDescent="0.2">
      <c r="A3088" s="735" t="s">
        <v>7733</v>
      </c>
      <c r="B3088" s="735" t="s">
        <v>2170</v>
      </c>
      <c r="C3088" s="735" t="s">
        <v>451</v>
      </c>
      <c r="D3088" s="644" t="s">
        <v>10204</v>
      </c>
      <c r="E3088" s="736">
        <v>1600</v>
      </c>
      <c r="F3088" s="737" t="s">
        <v>10205</v>
      </c>
      <c r="G3088" s="636" t="s">
        <v>10206</v>
      </c>
      <c r="H3088" s="636">
        <v>0</v>
      </c>
      <c r="I3088" s="636"/>
      <c r="J3088" s="644"/>
      <c r="K3088" s="753">
        <v>3</v>
      </c>
      <c r="L3088" s="754">
        <v>5</v>
      </c>
      <c r="M3088" s="736">
        <v>10328</v>
      </c>
      <c r="N3088" s="744"/>
      <c r="O3088" s="739"/>
      <c r="P3088" s="739"/>
      <c r="Q3088" s="214"/>
    </row>
    <row r="3089" spans="1:17" ht="12" customHeight="1" x14ac:dyDescent="0.2">
      <c r="A3089" s="735" t="s">
        <v>7733</v>
      </c>
      <c r="B3089" s="735" t="s">
        <v>2170</v>
      </c>
      <c r="C3089" s="735" t="s">
        <v>451</v>
      </c>
      <c r="D3089" s="644" t="s">
        <v>8214</v>
      </c>
      <c r="E3089" s="736">
        <v>5500</v>
      </c>
      <c r="F3089" s="737" t="s">
        <v>10207</v>
      </c>
      <c r="G3089" s="636" t="s">
        <v>10208</v>
      </c>
      <c r="H3089" s="636">
        <v>0</v>
      </c>
      <c r="I3089" s="636"/>
      <c r="J3089" s="644"/>
      <c r="K3089" s="753">
        <v>1</v>
      </c>
      <c r="L3089" s="754">
        <v>1</v>
      </c>
      <c r="M3089" s="736">
        <v>7460.8</v>
      </c>
      <c r="N3089" s="744"/>
      <c r="O3089" s="739"/>
      <c r="P3089" s="739"/>
      <c r="Q3089" s="214"/>
    </row>
    <row r="3090" spans="1:17" ht="12" customHeight="1" x14ac:dyDescent="0.2">
      <c r="A3090" s="735" t="s">
        <v>7733</v>
      </c>
      <c r="B3090" s="735" t="s">
        <v>2170</v>
      </c>
      <c r="C3090" s="735" t="s">
        <v>451</v>
      </c>
      <c r="D3090" s="644" t="s">
        <v>6668</v>
      </c>
      <c r="E3090" s="736">
        <v>4000</v>
      </c>
      <c r="F3090" s="737" t="s">
        <v>10209</v>
      </c>
      <c r="G3090" s="636" t="s">
        <v>10210</v>
      </c>
      <c r="H3090" s="636">
        <v>0</v>
      </c>
      <c r="I3090" s="636"/>
      <c r="J3090" s="644"/>
      <c r="K3090" s="753">
        <v>1</v>
      </c>
      <c r="L3090" s="754">
        <v>1</v>
      </c>
      <c r="M3090" s="736">
        <v>5960.8</v>
      </c>
      <c r="N3090" s="744"/>
      <c r="O3090" s="739"/>
      <c r="P3090" s="739"/>
      <c r="Q3090" s="214"/>
    </row>
    <row r="3091" spans="1:17" ht="12" customHeight="1" x14ac:dyDescent="0.2">
      <c r="A3091" s="735" t="s">
        <v>7733</v>
      </c>
      <c r="B3091" s="735" t="s">
        <v>2170</v>
      </c>
      <c r="C3091" s="735" t="s">
        <v>451</v>
      </c>
      <c r="D3091" s="644" t="s">
        <v>7755</v>
      </c>
      <c r="E3091" s="736">
        <v>2500</v>
      </c>
      <c r="F3091" s="737" t="s">
        <v>10211</v>
      </c>
      <c r="G3091" s="636" t="s">
        <v>10212</v>
      </c>
      <c r="H3091" s="636" t="s">
        <v>7900</v>
      </c>
      <c r="I3091" s="636"/>
      <c r="J3091" s="644" t="s">
        <v>643</v>
      </c>
      <c r="K3091" s="753">
        <v>1</v>
      </c>
      <c r="L3091" s="754">
        <v>1</v>
      </c>
      <c r="M3091" s="736">
        <v>7460.8</v>
      </c>
      <c r="N3091" s="744"/>
      <c r="O3091" s="739"/>
      <c r="P3091" s="739"/>
      <c r="Q3091" s="214"/>
    </row>
    <row r="3092" spans="1:17" ht="12" customHeight="1" x14ac:dyDescent="0.2">
      <c r="A3092" s="735" t="s">
        <v>7733</v>
      </c>
      <c r="B3092" s="735" t="s">
        <v>2170</v>
      </c>
      <c r="C3092" s="735" t="s">
        <v>451</v>
      </c>
      <c r="D3092" s="644" t="s">
        <v>9372</v>
      </c>
      <c r="E3092" s="736">
        <v>6000</v>
      </c>
      <c r="F3092" s="737" t="s">
        <v>10213</v>
      </c>
      <c r="G3092" s="636" t="s">
        <v>10214</v>
      </c>
      <c r="H3092" s="636" t="s">
        <v>6571</v>
      </c>
      <c r="I3092" s="636"/>
      <c r="J3092" s="644"/>
      <c r="K3092" s="753">
        <v>1</v>
      </c>
      <c r="L3092" s="754">
        <v>3</v>
      </c>
      <c r="M3092" s="736">
        <v>19960.8</v>
      </c>
      <c r="N3092" s="744"/>
      <c r="O3092" s="739"/>
      <c r="P3092" s="739"/>
      <c r="Q3092" s="214"/>
    </row>
    <row r="3093" spans="1:17" ht="12" customHeight="1" x14ac:dyDescent="0.2">
      <c r="A3093" s="735" t="s">
        <v>7733</v>
      </c>
      <c r="B3093" s="735" t="s">
        <v>2170</v>
      </c>
      <c r="C3093" s="735" t="s">
        <v>451</v>
      </c>
      <c r="D3093" s="644" t="s">
        <v>8360</v>
      </c>
      <c r="E3093" s="736">
        <v>3500</v>
      </c>
      <c r="F3093" s="737" t="s">
        <v>10215</v>
      </c>
      <c r="G3093" s="636" t="s">
        <v>10216</v>
      </c>
      <c r="H3093" s="636">
        <v>0</v>
      </c>
      <c r="I3093" s="636"/>
      <c r="J3093" s="644"/>
      <c r="K3093" s="753">
        <v>4</v>
      </c>
      <c r="L3093" s="754">
        <v>6</v>
      </c>
      <c r="M3093" s="736">
        <v>25960.799999999999</v>
      </c>
      <c r="N3093" s="744"/>
      <c r="O3093" s="739"/>
      <c r="P3093" s="739"/>
      <c r="Q3093" s="214"/>
    </row>
    <row r="3094" spans="1:17" ht="12" customHeight="1" x14ac:dyDescent="0.2">
      <c r="A3094" s="735" t="s">
        <v>7733</v>
      </c>
      <c r="B3094" s="735" t="s">
        <v>2170</v>
      </c>
      <c r="C3094" s="735" t="s">
        <v>451</v>
      </c>
      <c r="D3094" s="644" t="s">
        <v>10217</v>
      </c>
      <c r="E3094" s="736">
        <v>2000</v>
      </c>
      <c r="F3094" s="737" t="s">
        <v>10218</v>
      </c>
      <c r="G3094" s="636" t="s">
        <v>10219</v>
      </c>
      <c r="H3094" s="636" t="s">
        <v>3915</v>
      </c>
      <c r="I3094" s="636"/>
      <c r="J3094" s="644" t="s">
        <v>7991</v>
      </c>
      <c r="K3094" s="753">
        <v>1</v>
      </c>
      <c r="L3094" s="754">
        <v>1</v>
      </c>
      <c r="M3094" s="736">
        <v>5960.8</v>
      </c>
      <c r="N3094" s="744"/>
      <c r="O3094" s="739"/>
      <c r="P3094" s="739"/>
      <c r="Q3094" s="214"/>
    </row>
    <row r="3095" spans="1:17" ht="12" customHeight="1" x14ac:dyDescent="0.2">
      <c r="A3095" s="735" t="s">
        <v>7733</v>
      </c>
      <c r="B3095" s="735" t="s">
        <v>2170</v>
      </c>
      <c r="C3095" s="735" t="s">
        <v>451</v>
      </c>
      <c r="D3095" s="644" t="s">
        <v>8445</v>
      </c>
      <c r="E3095" s="736">
        <v>2500</v>
      </c>
      <c r="F3095" s="737" t="s">
        <v>10220</v>
      </c>
      <c r="G3095" s="636" t="s">
        <v>10221</v>
      </c>
      <c r="H3095" s="636" t="s">
        <v>6571</v>
      </c>
      <c r="I3095" s="636"/>
      <c r="J3095" s="644"/>
      <c r="K3095" s="753">
        <v>1</v>
      </c>
      <c r="L3095" s="754">
        <v>1</v>
      </c>
      <c r="M3095" s="736">
        <v>4460.8</v>
      </c>
      <c r="N3095" s="744"/>
      <c r="O3095" s="739"/>
      <c r="P3095" s="739"/>
      <c r="Q3095" s="214"/>
    </row>
    <row r="3096" spans="1:17" ht="12" customHeight="1" x14ac:dyDescent="0.2">
      <c r="A3096" s="735" t="s">
        <v>7733</v>
      </c>
      <c r="B3096" s="735" t="s">
        <v>2170</v>
      </c>
      <c r="C3096" s="735" t="s">
        <v>451</v>
      </c>
      <c r="D3096" s="644" t="s">
        <v>8007</v>
      </c>
      <c r="E3096" s="736">
        <v>4000</v>
      </c>
      <c r="F3096" s="737" t="s">
        <v>10222</v>
      </c>
      <c r="G3096" s="636" t="s">
        <v>10223</v>
      </c>
      <c r="H3096" s="636">
        <v>0</v>
      </c>
      <c r="I3096" s="636"/>
      <c r="J3096" s="644"/>
      <c r="K3096" s="753">
        <v>1</v>
      </c>
      <c r="L3096" s="754">
        <v>2</v>
      </c>
      <c r="M3096" s="736">
        <v>9960.7999999999993</v>
      </c>
      <c r="N3096" s="744"/>
      <c r="O3096" s="739"/>
      <c r="P3096" s="739"/>
      <c r="Q3096" s="214"/>
    </row>
    <row r="3097" spans="1:17" ht="12" customHeight="1" x14ac:dyDescent="0.2">
      <c r="A3097" s="735" t="s">
        <v>7733</v>
      </c>
      <c r="B3097" s="735" t="s">
        <v>2170</v>
      </c>
      <c r="C3097" s="735" t="s">
        <v>451</v>
      </c>
      <c r="D3097" s="644" t="s">
        <v>7871</v>
      </c>
      <c r="E3097" s="736">
        <v>4000</v>
      </c>
      <c r="F3097" s="737" t="s">
        <v>10224</v>
      </c>
      <c r="G3097" s="636" t="s">
        <v>10225</v>
      </c>
      <c r="H3097" s="636">
        <v>0</v>
      </c>
      <c r="I3097" s="636"/>
      <c r="J3097" s="644"/>
      <c r="K3097" s="753">
        <v>1</v>
      </c>
      <c r="L3097" s="754">
        <v>2</v>
      </c>
      <c r="M3097" s="736">
        <v>9960.7999999999993</v>
      </c>
      <c r="N3097" s="744"/>
      <c r="O3097" s="739"/>
      <c r="P3097" s="739"/>
      <c r="Q3097" s="214"/>
    </row>
    <row r="3098" spans="1:17" ht="12" customHeight="1" x14ac:dyDescent="0.2">
      <c r="A3098" s="735" t="s">
        <v>7733</v>
      </c>
      <c r="B3098" s="735" t="s">
        <v>2170</v>
      </c>
      <c r="C3098" s="735" t="s">
        <v>451</v>
      </c>
      <c r="D3098" s="644" t="s">
        <v>10217</v>
      </c>
      <c r="E3098" s="736">
        <v>2000</v>
      </c>
      <c r="F3098" s="737" t="s">
        <v>10226</v>
      </c>
      <c r="G3098" s="636" t="s">
        <v>10227</v>
      </c>
      <c r="H3098" s="636">
        <v>0</v>
      </c>
      <c r="I3098" s="636"/>
      <c r="J3098" s="644"/>
      <c r="K3098" s="753">
        <v>1</v>
      </c>
      <c r="L3098" s="754">
        <v>1</v>
      </c>
      <c r="M3098" s="736">
        <v>7960.8</v>
      </c>
      <c r="N3098" s="744"/>
      <c r="O3098" s="739"/>
      <c r="P3098" s="739"/>
      <c r="Q3098" s="214"/>
    </row>
    <row r="3099" spans="1:17" ht="12" customHeight="1" x14ac:dyDescent="0.2">
      <c r="A3099" s="735" t="s">
        <v>7733</v>
      </c>
      <c r="B3099" s="735" t="s">
        <v>2170</v>
      </c>
      <c r="C3099" s="735" t="s">
        <v>451</v>
      </c>
      <c r="D3099" s="644" t="s">
        <v>7858</v>
      </c>
      <c r="E3099" s="736">
        <v>3000</v>
      </c>
      <c r="F3099" s="737" t="s">
        <v>10228</v>
      </c>
      <c r="G3099" s="636" t="s">
        <v>10229</v>
      </c>
      <c r="H3099" s="636">
        <v>0</v>
      </c>
      <c r="I3099" s="636"/>
      <c r="J3099" s="644"/>
      <c r="K3099" s="753">
        <v>1</v>
      </c>
      <c r="L3099" s="754">
        <v>2</v>
      </c>
      <c r="M3099" s="736">
        <v>10960.8</v>
      </c>
      <c r="N3099" s="744"/>
      <c r="O3099" s="739"/>
      <c r="P3099" s="739"/>
      <c r="Q3099" s="214"/>
    </row>
    <row r="3100" spans="1:17" ht="12" customHeight="1" x14ac:dyDescent="0.2">
      <c r="A3100" s="735" t="s">
        <v>7733</v>
      </c>
      <c r="B3100" s="735" t="s">
        <v>2170</v>
      </c>
      <c r="C3100" s="735" t="s">
        <v>451</v>
      </c>
      <c r="D3100" s="644" t="s">
        <v>8417</v>
      </c>
      <c r="E3100" s="736">
        <v>1400</v>
      </c>
      <c r="F3100" s="737" t="s">
        <v>10230</v>
      </c>
      <c r="G3100" s="636" t="s">
        <v>10231</v>
      </c>
      <c r="H3100" s="636">
        <v>0</v>
      </c>
      <c r="I3100" s="636"/>
      <c r="J3100" s="644"/>
      <c r="K3100" s="753">
        <v>2</v>
      </c>
      <c r="L3100" s="754">
        <v>4</v>
      </c>
      <c r="M3100" s="736">
        <v>10712</v>
      </c>
      <c r="N3100" s="744"/>
      <c r="O3100" s="739"/>
      <c r="P3100" s="739"/>
      <c r="Q3100" s="214"/>
    </row>
    <row r="3101" spans="1:17" ht="12" customHeight="1" x14ac:dyDescent="0.2">
      <c r="A3101" s="735" t="s">
        <v>7733</v>
      </c>
      <c r="B3101" s="735" t="s">
        <v>2170</v>
      </c>
      <c r="C3101" s="735" t="s">
        <v>451</v>
      </c>
      <c r="D3101" s="755" t="s">
        <v>7769</v>
      </c>
      <c r="E3101" s="736">
        <v>3000</v>
      </c>
      <c r="F3101" s="737" t="s">
        <v>7770</v>
      </c>
      <c r="G3101" s="636" t="s">
        <v>7771</v>
      </c>
      <c r="H3101" s="636" t="s">
        <v>7772</v>
      </c>
      <c r="I3101" s="636"/>
      <c r="J3101" s="644"/>
      <c r="K3101" s="753"/>
      <c r="L3101" s="754"/>
      <c r="M3101" s="756"/>
      <c r="N3101" s="757">
        <v>6</v>
      </c>
      <c r="O3101" s="754">
        <v>6</v>
      </c>
      <c r="P3101" s="736">
        <v>19644.900000000001</v>
      </c>
      <c r="Q3101" s="214"/>
    </row>
    <row r="3102" spans="1:17" ht="12" customHeight="1" x14ac:dyDescent="0.2">
      <c r="A3102" s="735" t="s">
        <v>7733</v>
      </c>
      <c r="B3102" s="735" t="s">
        <v>2170</v>
      </c>
      <c r="C3102" s="735" t="s">
        <v>451</v>
      </c>
      <c r="D3102" s="755" t="s">
        <v>7746</v>
      </c>
      <c r="E3102" s="736">
        <v>1700</v>
      </c>
      <c r="F3102" s="737" t="s">
        <v>7841</v>
      </c>
      <c r="G3102" s="636" t="s">
        <v>7842</v>
      </c>
      <c r="H3102" s="636">
        <v>0</v>
      </c>
      <c r="I3102" s="636">
        <v>0</v>
      </c>
      <c r="J3102" s="644"/>
      <c r="K3102" s="753"/>
      <c r="L3102" s="754"/>
      <c r="M3102" s="756"/>
      <c r="N3102" s="757">
        <v>6</v>
      </c>
      <c r="O3102" s="754">
        <v>6</v>
      </c>
      <c r="P3102" s="736">
        <v>11718</v>
      </c>
      <c r="Q3102" s="214"/>
    </row>
    <row r="3103" spans="1:17" ht="12" customHeight="1" x14ac:dyDescent="0.2">
      <c r="A3103" s="735" t="s">
        <v>7733</v>
      </c>
      <c r="B3103" s="735" t="s">
        <v>2170</v>
      </c>
      <c r="C3103" s="735" t="s">
        <v>451</v>
      </c>
      <c r="D3103" s="755" t="s">
        <v>5809</v>
      </c>
      <c r="E3103" s="736">
        <v>4300</v>
      </c>
      <c r="F3103" s="737" t="s">
        <v>7892</v>
      </c>
      <c r="G3103" s="636" t="s">
        <v>7893</v>
      </c>
      <c r="H3103" s="636" t="s">
        <v>6778</v>
      </c>
      <c r="I3103" s="636"/>
      <c r="J3103" s="644"/>
      <c r="K3103" s="753"/>
      <c r="L3103" s="754"/>
      <c r="M3103" s="756"/>
      <c r="N3103" s="757">
        <v>6</v>
      </c>
      <c r="O3103" s="754">
        <v>6</v>
      </c>
      <c r="P3103" s="736">
        <v>27444.9</v>
      </c>
      <c r="Q3103" s="214"/>
    </row>
    <row r="3104" spans="1:17" ht="12" customHeight="1" x14ac:dyDescent="0.2">
      <c r="A3104" s="735" t="s">
        <v>7733</v>
      </c>
      <c r="B3104" s="735" t="s">
        <v>2170</v>
      </c>
      <c r="C3104" s="735" t="s">
        <v>451</v>
      </c>
      <c r="D3104" s="755" t="s">
        <v>7904</v>
      </c>
      <c r="E3104" s="736">
        <v>1300</v>
      </c>
      <c r="F3104" s="737" t="s">
        <v>7905</v>
      </c>
      <c r="G3104" s="636" t="s">
        <v>7906</v>
      </c>
      <c r="H3104" s="636" t="s">
        <v>7858</v>
      </c>
      <c r="I3104" s="636" t="s">
        <v>7859</v>
      </c>
      <c r="J3104" s="644"/>
      <c r="K3104" s="753"/>
      <c r="L3104" s="754"/>
      <c r="M3104" s="756"/>
      <c r="N3104" s="757">
        <v>6</v>
      </c>
      <c r="O3104" s="754">
        <v>6</v>
      </c>
      <c r="P3104" s="736">
        <v>9102</v>
      </c>
      <c r="Q3104" s="214"/>
    </row>
    <row r="3105" spans="1:17" ht="12" customHeight="1" x14ac:dyDescent="0.2">
      <c r="A3105" s="735" t="s">
        <v>7733</v>
      </c>
      <c r="B3105" s="735" t="s">
        <v>2170</v>
      </c>
      <c r="C3105" s="735" t="s">
        <v>451</v>
      </c>
      <c r="D3105" s="755" t="s">
        <v>8894</v>
      </c>
      <c r="E3105" s="736">
        <v>11000</v>
      </c>
      <c r="F3105" s="737" t="s">
        <v>10232</v>
      </c>
      <c r="G3105" s="636" t="s">
        <v>10233</v>
      </c>
      <c r="H3105" s="636">
        <v>0</v>
      </c>
      <c r="I3105" s="636">
        <v>0</v>
      </c>
      <c r="J3105" s="644"/>
      <c r="K3105" s="753"/>
      <c r="L3105" s="754"/>
      <c r="M3105" s="756"/>
      <c r="N3105" s="757">
        <v>6</v>
      </c>
      <c r="O3105" s="754">
        <v>6</v>
      </c>
      <c r="P3105" s="736">
        <v>67644.899999999994</v>
      </c>
      <c r="Q3105" s="214"/>
    </row>
    <row r="3106" spans="1:17" ht="12" customHeight="1" x14ac:dyDescent="0.2">
      <c r="A3106" s="735" t="s">
        <v>7733</v>
      </c>
      <c r="B3106" s="735" t="s">
        <v>2170</v>
      </c>
      <c r="C3106" s="735" t="s">
        <v>451</v>
      </c>
      <c r="D3106" s="755" t="s">
        <v>2179</v>
      </c>
      <c r="E3106" s="736">
        <v>6000</v>
      </c>
      <c r="F3106" s="737" t="s">
        <v>7941</v>
      </c>
      <c r="G3106" s="636" t="s">
        <v>7942</v>
      </c>
      <c r="H3106" s="636" t="s">
        <v>6571</v>
      </c>
      <c r="I3106" s="636" t="s">
        <v>2179</v>
      </c>
      <c r="J3106" s="644"/>
      <c r="K3106" s="753"/>
      <c r="L3106" s="754"/>
      <c r="M3106" s="756"/>
      <c r="N3106" s="757">
        <v>6</v>
      </c>
      <c r="O3106" s="754">
        <v>6</v>
      </c>
      <c r="P3106" s="736">
        <v>37644.9</v>
      </c>
      <c r="Q3106" s="214"/>
    </row>
    <row r="3107" spans="1:17" ht="12" customHeight="1" x14ac:dyDescent="0.2">
      <c r="A3107" s="735" t="s">
        <v>7733</v>
      </c>
      <c r="B3107" s="735" t="s">
        <v>2170</v>
      </c>
      <c r="C3107" s="735" t="s">
        <v>451</v>
      </c>
      <c r="D3107" s="755" t="s">
        <v>7746</v>
      </c>
      <c r="E3107" s="736">
        <v>2200</v>
      </c>
      <c r="F3107" s="737" t="s">
        <v>10192</v>
      </c>
      <c r="G3107" s="636" t="s">
        <v>10193</v>
      </c>
      <c r="H3107" s="636" t="s">
        <v>10194</v>
      </c>
      <c r="I3107" s="636"/>
      <c r="J3107" s="644"/>
      <c r="K3107" s="753"/>
      <c r="L3107" s="754"/>
      <c r="M3107" s="756"/>
      <c r="N3107" s="757">
        <v>6</v>
      </c>
      <c r="O3107" s="754">
        <v>6</v>
      </c>
      <c r="P3107" s="736">
        <v>14844.9</v>
      </c>
      <c r="Q3107" s="214"/>
    </row>
    <row r="3108" spans="1:17" ht="12" customHeight="1" x14ac:dyDescent="0.2">
      <c r="A3108" s="735" t="s">
        <v>7733</v>
      </c>
      <c r="B3108" s="735" t="s">
        <v>2170</v>
      </c>
      <c r="C3108" s="735" t="s">
        <v>451</v>
      </c>
      <c r="D3108" s="755" t="s">
        <v>8273</v>
      </c>
      <c r="E3108" s="736">
        <v>6000</v>
      </c>
      <c r="F3108" s="737" t="s">
        <v>8274</v>
      </c>
      <c r="G3108" s="636" t="s">
        <v>8275</v>
      </c>
      <c r="H3108" s="636" t="s">
        <v>7752</v>
      </c>
      <c r="I3108" s="636" t="s">
        <v>2179</v>
      </c>
      <c r="J3108" s="644"/>
      <c r="K3108" s="753"/>
      <c r="L3108" s="754"/>
      <c r="M3108" s="756"/>
      <c r="N3108" s="757">
        <v>6</v>
      </c>
      <c r="O3108" s="754">
        <v>6</v>
      </c>
      <c r="P3108" s="736">
        <v>37644.9</v>
      </c>
      <c r="Q3108" s="214"/>
    </row>
    <row r="3109" spans="1:17" ht="12" customHeight="1" x14ac:dyDescent="0.2">
      <c r="A3109" s="735" t="s">
        <v>7733</v>
      </c>
      <c r="B3109" s="735" t="s">
        <v>2170</v>
      </c>
      <c r="C3109" s="735" t="s">
        <v>451</v>
      </c>
      <c r="D3109" s="755" t="s">
        <v>7746</v>
      </c>
      <c r="E3109" s="736">
        <v>2400</v>
      </c>
      <c r="F3109" s="737" t="s">
        <v>8345</v>
      </c>
      <c r="G3109" s="636" t="s">
        <v>8346</v>
      </c>
      <c r="H3109" s="636">
        <v>0</v>
      </c>
      <c r="I3109" s="636">
        <v>0</v>
      </c>
      <c r="J3109" s="644"/>
      <c r="K3109" s="753"/>
      <c r="L3109" s="754"/>
      <c r="M3109" s="756"/>
      <c r="N3109" s="757">
        <v>6</v>
      </c>
      <c r="O3109" s="754">
        <v>6</v>
      </c>
      <c r="P3109" s="736">
        <v>16044.9</v>
      </c>
      <c r="Q3109" s="214"/>
    </row>
    <row r="3110" spans="1:17" ht="12" customHeight="1" x14ac:dyDescent="0.2">
      <c r="A3110" s="735" t="s">
        <v>7733</v>
      </c>
      <c r="B3110" s="735" t="s">
        <v>2170</v>
      </c>
      <c r="C3110" s="735" t="s">
        <v>451</v>
      </c>
      <c r="D3110" s="755" t="s">
        <v>8351</v>
      </c>
      <c r="E3110" s="736">
        <v>2200</v>
      </c>
      <c r="F3110" s="737" t="s">
        <v>8352</v>
      </c>
      <c r="G3110" s="636" t="s">
        <v>8353</v>
      </c>
      <c r="H3110" s="636" t="s">
        <v>8354</v>
      </c>
      <c r="I3110" s="636" t="s">
        <v>3057</v>
      </c>
      <c r="J3110" s="644"/>
      <c r="K3110" s="753"/>
      <c r="L3110" s="754"/>
      <c r="M3110" s="756"/>
      <c r="N3110" s="757">
        <v>6</v>
      </c>
      <c r="O3110" s="754">
        <v>6</v>
      </c>
      <c r="P3110" s="736">
        <v>14844.9</v>
      </c>
      <c r="Q3110" s="214"/>
    </row>
    <row r="3111" spans="1:17" ht="12" customHeight="1" x14ac:dyDescent="0.2">
      <c r="A3111" s="735" t="s">
        <v>7733</v>
      </c>
      <c r="B3111" s="735" t="s">
        <v>2170</v>
      </c>
      <c r="C3111" s="735" t="s">
        <v>451</v>
      </c>
      <c r="D3111" s="755" t="s">
        <v>2190</v>
      </c>
      <c r="E3111" s="736">
        <v>1100</v>
      </c>
      <c r="F3111" s="737" t="s">
        <v>8376</v>
      </c>
      <c r="G3111" s="636" t="s">
        <v>8377</v>
      </c>
      <c r="H3111" s="636" t="s">
        <v>8378</v>
      </c>
      <c r="I3111" s="636" t="s">
        <v>8379</v>
      </c>
      <c r="J3111" s="644"/>
      <c r="K3111" s="753"/>
      <c r="L3111" s="754"/>
      <c r="M3111" s="756"/>
      <c r="N3111" s="757">
        <v>6</v>
      </c>
      <c r="O3111" s="754">
        <v>6</v>
      </c>
      <c r="P3111" s="736">
        <v>7794</v>
      </c>
      <c r="Q3111" s="214"/>
    </row>
    <row r="3112" spans="1:17" ht="12" customHeight="1" x14ac:dyDescent="0.2">
      <c r="A3112" s="735" t="s">
        <v>7733</v>
      </c>
      <c r="B3112" s="735" t="s">
        <v>2170</v>
      </c>
      <c r="C3112" s="735" t="s">
        <v>451</v>
      </c>
      <c r="D3112" s="755" t="s">
        <v>8273</v>
      </c>
      <c r="E3112" s="736">
        <v>7000</v>
      </c>
      <c r="F3112" s="737" t="s">
        <v>8423</v>
      </c>
      <c r="G3112" s="636" t="s">
        <v>8424</v>
      </c>
      <c r="H3112" s="636">
        <v>0</v>
      </c>
      <c r="I3112" s="636">
        <v>0</v>
      </c>
      <c r="J3112" s="644"/>
      <c r="K3112" s="753"/>
      <c r="L3112" s="754"/>
      <c r="M3112" s="756"/>
      <c r="N3112" s="757">
        <v>6</v>
      </c>
      <c r="O3112" s="754">
        <v>6</v>
      </c>
      <c r="P3112" s="736">
        <v>43644.9</v>
      </c>
      <c r="Q3112" s="214"/>
    </row>
    <row r="3113" spans="1:17" ht="12" customHeight="1" x14ac:dyDescent="0.2">
      <c r="A3113" s="735" t="s">
        <v>7733</v>
      </c>
      <c r="B3113" s="735" t="s">
        <v>2170</v>
      </c>
      <c r="C3113" s="735" t="s">
        <v>451</v>
      </c>
      <c r="D3113" s="755" t="s">
        <v>8061</v>
      </c>
      <c r="E3113" s="736">
        <v>2800</v>
      </c>
      <c r="F3113" s="737" t="s">
        <v>8507</v>
      </c>
      <c r="G3113" s="636" t="s">
        <v>8508</v>
      </c>
      <c r="H3113" s="636" t="s">
        <v>7752</v>
      </c>
      <c r="I3113" s="636" t="s">
        <v>2179</v>
      </c>
      <c r="J3113" s="644"/>
      <c r="K3113" s="753"/>
      <c r="L3113" s="754"/>
      <c r="M3113" s="756"/>
      <c r="N3113" s="757">
        <v>6</v>
      </c>
      <c r="O3113" s="754">
        <v>6</v>
      </c>
      <c r="P3113" s="736">
        <v>18444.900000000001</v>
      </c>
      <c r="Q3113" s="214"/>
    </row>
    <row r="3114" spans="1:17" ht="12" customHeight="1" x14ac:dyDescent="0.2">
      <c r="A3114" s="735" t="s">
        <v>7733</v>
      </c>
      <c r="B3114" s="735" t="s">
        <v>2170</v>
      </c>
      <c r="C3114" s="735" t="s">
        <v>451</v>
      </c>
      <c r="D3114" s="755" t="s">
        <v>6565</v>
      </c>
      <c r="E3114" s="736">
        <v>4000</v>
      </c>
      <c r="F3114" s="737" t="s">
        <v>8548</v>
      </c>
      <c r="G3114" s="636" t="s">
        <v>8549</v>
      </c>
      <c r="H3114" s="636" t="s">
        <v>10234</v>
      </c>
      <c r="I3114" s="636"/>
      <c r="J3114" s="644"/>
      <c r="K3114" s="753"/>
      <c r="L3114" s="754"/>
      <c r="M3114" s="756"/>
      <c r="N3114" s="757">
        <v>6</v>
      </c>
      <c r="O3114" s="754">
        <v>6</v>
      </c>
      <c r="P3114" s="736">
        <v>25644.9</v>
      </c>
      <c r="Q3114" s="214"/>
    </row>
    <row r="3115" spans="1:17" ht="12" customHeight="1" x14ac:dyDescent="0.2">
      <c r="A3115" s="735" t="s">
        <v>7733</v>
      </c>
      <c r="B3115" s="735" t="s">
        <v>2170</v>
      </c>
      <c r="C3115" s="735" t="s">
        <v>451</v>
      </c>
      <c r="D3115" s="755" t="s">
        <v>8595</v>
      </c>
      <c r="E3115" s="736">
        <v>10000</v>
      </c>
      <c r="F3115" s="737" t="s">
        <v>8596</v>
      </c>
      <c r="G3115" s="636" t="s">
        <v>8597</v>
      </c>
      <c r="H3115" s="636">
        <v>0</v>
      </c>
      <c r="I3115" s="636">
        <v>0</v>
      </c>
      <c r="J3115" s="644"/>
      <c r="K3115" s="753"/>
      <c r="L3115" s="754"/>
      <c r="M3115" s="756"/>
      <c r="N3115" s="757">
        <v>6</v>
      </c>
      <c r="O3115" s="754">
        <v>6</v>
      </c>
      <c r="P3115" s="736">
        <v>61644.9</v>
      </c>
      <c r="Q3115" s="214"/>
    </row>
    <row r="3116" spans="1:17" ht="12" customHeight="1" x14ac:dyDescent="0.2">
      <c r="A3116" s="735" t="s">
        <v>7733</v>
      </c>
      <c r="B3116" s="735" t="s">
        <v>2170</v>
      </c>
      <c r="C3116" s="735" t="s">
        <v>451</v>
      </c>
      <c r="D3116" s="755" t="s">
        <v>8273</v>
      </c>
      <c r="E3116" s="736">
        <v>6000</v>
      </c>
      <c r="F3116" s="737" t="s">
        <v>8627</v>
      </c>
      <c r="G3116" s="636" t="s">
        <v>8628</v>
      </c>
      <c r="H3116" s="636" t="s">
        <v>7073</v>
      </c>
      <c r="I3116" s="636" t="s">
        <v>2543</v>
      </c>
      <c r="J3116" s="644"/>
      <c r="K3116" s="753"/>
      <c r="L3116" s="754"/>
      <c r="M3116" s="756"/>
      <c r="N3116" s="757">
        <v>6</v>
      </c>
      <c r="O3116" s="754">
        <v>6</v>
      </c>
      <c r="P3116" s="736">
        <v>37644.9</v>
      </c>
      <c r="Q3116" s="214"/>
    </row>
    <row r="3117" spans="1:17" ht="12" customHeight="1" x14ac:dyDescent="0.2">
      <c r="A3117" s="735" t="s">
        <v>7733</v>
      </c>
      <c r="B3117" s="735" t="s">
        <v>2170</v>
      </c>
      <c r="C3117" s="735" t="s">
        <v>451</v>
      </c>
      <c r="D3117" s="755" t="s">
        <v>7817</v>
      </c>
      <c r="E3117" s="736">
        <v>1950</v>
      </c>
      <c r="F3117" s="737" t="s">
        <v>8715</v>
      </c>
      <c r="G3117" s="636" t="s">
        <v>8716</v>
      </c>
      <c r="H3117" s="636" t="s">
        <v>8089</v>
      </c>
      <c r="I3117" s="636" t="s">
        <v>8717</v>
      </c>
      <c r="J3117" s="644"/>
      <c r="K3117" s="753"/>
      <c r="L3117" s="754"/>
      <c r="M3117" s="756"/>
      <c r="N3117" s="757">
        <v>6</v>
      </c>
      <c r="O3117" s="754">
        <v>6</v>
      </c>
      <c r="P3117" s="736">
        <v>13344.9</v>
      </c>
      <c r="Q3117" s="214"/>
    </row>
    <row r="3118" spans="1:17" ht="12" customHeight="1" x14ac:dyDescent="0.2">
      <c r="A3118" s="735" t="s">
        <v>7733</v>
      </c>
      <c r="B3118" s="735" t="s">
        <v>2170</v>
      </c>
      <c r="C3118" s="735" t="s">
        <v>451</v>
      </c>
      <c r="D3118" s="755" t="s">
        <v>7783</v>
      </c>
      <c r="E3118" s="736">
        <v>4000</v>
      </c>
      <c r="F3118" s="737" t="s">
        <v>8754</v>
      </c>
      <c r="G3118" s="636" t="s">
        <v>8755</v>
      </c>
      <c r="H3118" s="636" t="s">
        <v>7073</v>
      </c>
      <c r="I3118" s="636"/>
      <c r="J3118" s="644"/>
      <c r="K3118" s="753"/>
      <c r="L3118" s="754"/>
      <c r="M3118" s="756"/>
      <c r="N3118" s="757">
        <v>6</v>
      </c>
      <c r="O3118" s="754">
        <v>6</v>
      </c>
      <c r="P3118" s="736">
        <v>25644.9</v>
      </c>
      <c r="Q3118" s="214"/>
    </row>
    <row r="3119" spans="1:17" ht="12" customHeight="1" x14ac:dyDescent="0.2">
      <c r="A3119" s="735" t="s">
        <v>7733</v>
      </c>
      <c r="B3119" s="735" t="s">
        <v>2170</v>
      </c>
      <c r="C3119" s="735" t="s">
        <v>451</v>
      </c>
      <c r="D3119" s="755" t="s">
        <v>8114</v>
      </c>
      <c r="E3119" s="736">
        <v>2800</v>
      </c>
      <c r="F3119" s="737" t="s">
        <v>8762</v>
      </c>
      <c r="G3119" s="636" t="s">
        <v>8763</v>
      </c>
      <c r="H3119" s="636" t="s">
        <v>8135</v>
      </c>
      <c r="I3119" s="636" t="s">
        <v>6668</v>
      </c>
      <c r="J3119" s="644"/>
      <c r="K3119" s="753"/>
      <c r="L3119" s="754"/>
      <c r="M3119" s="756"/>
      <c r="N3119" s="757">
        <v>6</v>
      </c>
      <c r="O3119" s="754">
        <v>6</v>
      </c>
      <c r="P3119" s="736">
        <v>18444.900000000001</v>
      </c>
      <c r="Q3119" s="214"/>
    </row>
    <row r="3120" spans="1:17" ht="12" customHeight="1" x14ac:dyDescent="0.2">
      <c r="A3120" s="735" t="s">
        <v>7733</v>
      </c>
      <c r="B3120" s="735" t="s">
        <v>2170</v>
      </c>
      <c r="C3120" s="735" t="s">
        <v>451</v>
      </c>
      <c r="D3120" s="755" t="s">
        <v>8827</v>
      </c>
      <c r="E3120" s="736">
        <v>5000</v>
      </c>
      <c r="F3120" s="737" t="s">
        <v>8828</v>
      </c>
      <c r="G3120" s="636" t="s">
        <v>8829</v>
      </c>
      <c r="H3120" s="636">
        <v>0</v>
      </c>
      <c r="I3120" s="636">
        <v>0</v>
      </c>
      <c r="J3120" s="644"/>
      <c r="K3120" s="753"/>
      <c r="L3120" s="754"/>
      <c r="M3120" s="756"/>
      <c r="N3120" s="757">
        <v>6</v>
      </c>
      <c r="O3120" s="754">
        <v>6</v>
      </c>
      <c r="P3120" s="736">
        <v>31644.9</v>
      </c>
      <c r="Q3120" s="214"/>
    </row>
    <row r="3121" spans="1:17" ht="12" customHeight="1" x14ac:dyDescent="0.2">
      <c r="A3121" s="735" t="s">
        <v>7733</v>
      </c>
      <c r="B3121" s="735" t="s">
        <v>2170</v>
      </c>
      <c r="C3121" s="735" t="s">
        <v>451</v>
      </c>
      <c r="D3121" s="755" t="s">
        <v>2208</v>
      </c>
      <c r="E3121" s="736">
        <v>2350</v>
      </c>
      <c r="F3121" s="737" t="s">
        <v>8914</v>
      </c>
      <c r="G3121" s="636" t="s">
        <v>8915</v>
      </c>
      <c r="H3121" s="636" t="s">
        <v>7782</v>
      </c>
      <c r="I3121" s="636" t="s">
        <v>2208</v>
      </c>
      <c r="J3121" s="644"/>
      <c r="K3121" s="753"/>
      <c r="L3121" s="754"/>
      <c r="M3121" s="756"/>
      <c r="N3121" s="757">
        <v>6</v>
      </c>
      <c r="O3121" s="754">
        <v>6</v>
      </c>
      <c r="P3121" s="736">
        <v>15744.9</v>
      </c>
      <c r="Q3121" s="214"/>
    </row>
    <row r="3122" spans="1:17" ht="12" customHeight="1" x14ac:dyDescent="0.2">
      <c r="A3122" s="735" t="s">
        <v>7733</v>
      </c>
      <c r="B3122" s="735" t="s">
        <v>2170</v>
      </c>
      <c r="C3122" s="735" t="s">
        <v>451</v>
      </c>
      <c r="D3122" s="755" t="s">
        <v>7746</v>
      </c>
      <c r="E3122" s="736">
        <v>1700</v>
      </c>
      <c r="F3122" s="737" t="s">
        <v>8993</v>
      </c>
      <c r="G3122" s="636" t="s">
        <v>8994</v>
      </c>
      <c r="H3122" s="636">
        <v>0</v>
      </c>
      <c r="I3122" s="636">
        <v>0</v>
      </c>
      <c r="J3122" s="644"/>
      <c r="K3122" s="753"/>
      <c r="L3122" s="754"/>
      <c r="M3122" s="756"/>
      <c r="N3122" s="757">
        <v>6</v>
      </c>
      <c r="O3122" s="754">
        <v>6</v>
      </c>
      <c r="P3122" s="736">
        <v>11718</v>
      </c>
      <c r="Q3122" s="214"/>
    </row>
    <row r="3123" spans="1:17" ht="12" customHeight="1" x14ac:dyDescent="0.2">
      <c r="A3123" s="735" t="s">
        <v>7733</v>
      </c>
      <c r="B3123" s="735" t="s">
        <v>2170</v>
      </c>
      <c r="C3123" s="735" t="s">
        <v>451</v>
      </c>
      <c r="D3123" s="755" t="s">
        <v>9005</v>
      </c>
      <c r="E3123" s="736">
        <v>3500</v>
      </c>
      <c r="F3123" s="737" t="s">
        <v>9006</v>
      </c>
      <c r="G3123" s="636" t="s">
        <v>9007</v>
      </c>
      <c r="H3123" s="636" t="s">
        <v>10235</v>
      </c>
      <c r="I3123" s="636"/>
      <c r="J3123" s="644"/>
      <c r="K3123" s="753"/>
      <c r="L3123" s="754"/>
      <c r="M3123" s="756"/>
      <c r="N3123" s="757">
        <v>6</v>
      </c>
      <c r="O3123" s="754">
        <v>6</v>
      </c>
      <c r="P3123" s="736">
        <v>22644.9</v>
      </c>
      <c r="Q3123" s="214"/>
    </row>
    <row r="3124" spans="1:17" ht="12" customHeight="1" x14ac:dyDescent="0.2">
      <c r="A3124" s="735" t="s">
        <v>7733</v>
      </c>
      <c r="B3124" s="735" t="s">
        <v>2170</v>
      </c>
      <c r="C3124" s="735" t="s">
        <v>451</v>
      </c>
      <c r="D3124" s="755" t="s">
        <v>9014</v>
      </c>
      <c r="E3124" s="736">
        <v>3950</v>
      </c>
      <c r="F3124" s="737" t="s">
        <v>9015</v>
      </c>
      <c r="G3124" s="636" t="s">
        <v>9016</v>
      </c>
      <c r="H3124" s="636" t="s">
        <v>9017</v>
      </c>
      <c r="I3124" s="636" t="s">
        <v>7858</v>
      </c>
      <c r="J3124" s="644"/>
      <c r="K3124" s="753"/>
      <c r="L3124" s="754"/>
      <c r="M3124" s="756"/>
      <c r="N3124" s="757">
        <v>6</v>
      </c>
      <c r="O3124" s="754">
        <v>6</v>
      </c>
      <c r="P3124" s="736">
        <v>25344.9</v>
      </c>
      <c r="Q3124" s="214"/>
    </row>
    <row r="3125" spans="1:17" ht="12" customHeight="1" x14ac:dyDescent="0.2">
      <c r="A3125" s="735" t="s">
        <v>7733</v>
      </c>
      <c r="B3125" s="735" t="s">
        <v>2170</v>
      </c>
      <c r="C3125" s="735" t="s">
        <v>451</v>
      </c>
      <c r="D3125" s="755" t="s">
        <v>2208</v>
      </c>
      <c r="E3125" s="736">
        <v>2800</v>
      </c>
      <c r="F3125" s="737" t="s">
        <v>9065</v>
      </c>
      <c r="G3125" s="636" t="s">
        <v>9066</v>
      </c>
      <c r="H3125" s="636" t="s">
        <v>7782</v>
      </c>
      <c r="I3125" s="636" t="s">
        <v>2179</v>
      </c>
      <c r="J3125" s="644"/>
      <c r="K3125" s="753"/>
      <c r="L3125" s="754"/>
      <c r="M3125" s="756"/>
      <c r="N3125" s="757">
        <v>6</v>
      </c>
      <c r="O3125" s="754">
        <v>6</v>
      </c>
      <c r="P3125" s="736">
        <v>18444.900000000001</v>
      </c>
      <c r="Q3125" s="214"/>
    </row>
    <row r="3126" spans="1:17" ht="12" customHeight="1" x14ac:dyDescent="0.2">
      <c r="A3126" s="735" t="s">
        <v>7733</v>
      </c>
      <c r="B3126" s="735" t="s">
        <v>2170</v>
      </c>
      <c r="C3126" s="735" t="s">
        <v>451</v>
      </c>
      <c r="D3126" s="755" t="s">
        <v>8894</v>
      </c>
      <c r="E3126" s="736">
        <v>10000</v>
      </c>
      <c r="F3126" s="737" t="s">
        <v>9086</v>
      </c>
      <c r="G3126" s="636" t="s">
        <v>9087</v>
      </c>
      <c r="H3126" s="636" t="s">
        <v>7752</v>
      </c>
      <c r="I3126" s="636" t="s">
        <v>2179</v>
      </c>
      <c r="J3126" s="644"/>
      <c r="K3126" s="753"/>
      <c r="L3126" s="754"/>
      <c r="M3126" s="756"/>
      <c r="N3126" s="757">
        <v>6</v>
      </c>
      <c r="O3126" s="754">
        <v>6</v>
      </c>
      <c r="P3126" s="736">
        <v>61644.9</v>
      </c>
      <c r="Q3126" s="214"/>
    </row>
    <row r="3127" spans="1:17" ht="12" customHeight="1" x14ac:dyDescent="0.2">
      <c r="A3127" s="735" t="s">
        <v>7733</v>
      </c>
      <c r="B3127" s="735" t="s">
        <v>2170</v>
      </c>
      <c r="C3127" s="735" t="s">
        <v>451</v>
      </c>
      <c r="D3127" s="755" t="s">
        <v>9124</v>
      </c>
      <c r="E3127" s="736">
        <v>2200</v>
      </c>
      <c r="F3127" s="737" t="s">
        <v>9125</v>
      </c>
      <c r="G3127" s="636" t="s">
        <v>9126</v>
      </c>
      <c r="H3127" s="636" t="s">
        <v>8354</v>
      </c>
      <c r="I3127" s="636" t="s">
        <v>3057</v>
      </c>
      <c r="J3127" s="644"/>
      <c r="K3127" s="753"/>
      <c r="L3127" s="754"/>
      <c r="M3127" s="756"/>
      <c r="N3127" s="757">
        <v>6</v>
      </c>
      <c r="O3127" s="754">
        <v>6</v>
      </c>
      <c r="P3127" s="736">
        <v>14844.9</v>
      </c>
      <c r="Q3127" s="214"/>
    </row>
    <row r="3128" spans="1:17" ht="12" customHeight="1" x14ac:dyDescent="0.2">
      <c r="A3128" s="735" t="s">
        <v>7733</v>
      </c>
      <c r="B3128" s="735" t="s">
        <v>2170</v>
      </c>
      <c r="C3128" s="735" t="s">
        <v>451</v>
      </c>
      <c r="D3128" s="755" t="s">
        <v>7746</v>
      </c>
      <c r="E3128" s="736">
        <v>1700</v>
      </c>
      <c r="F3128" s="737" t="s">
        <v>9133</v>
      </c>
      <c r="G3128" s="636" t="s">
        <v>9134</v>
      </c>
      <c r="H3128" s="636" t="s">
        <v>10194</v>
      </c>
      <c r="I3128" s="636"/>
      <c r="J3128" s="644"/>
      <c r="K3128" s="753"/>
      <c r="L3128" s="754"/>
      <c r="M3128" s="756"/>
      <c r="N3128" s="757">
        <v>6</v>
      </c>
      <c r="O3128" s="754">
        <v>6</v>
      </c>
      <c r="P3128" s="736">
        <v>11718</v>
      </c>
      <c r="Q3128" s="214"/>
    </row>
    <row r="3129" spans="1:17" ht="12" customHeight="1" x14ac:dyDescent="0.2">
      <c r="A3129" s="735" t="s">
        <v>7733</v>
      </c>
      <c r="B3129" s="735" t="s">
        <v>2170</v>
      </c>
      <c r="C3129" s="735" t="s">
        <v>451</v>
      </c>
      <c r="D3129" s="755" t="s">
        <v>8078</v>
      </c>
      <c r="E3129" s="736">
        <v>2500</v>
      </c>
      <c r="F3129" s="737" t="s">
        <v>9140</v>
      </c>
      <c r="G3129" s="636" t="s">
        <v>9141</v>
      </c>
      <c r="H3129" s="636" t="s">
        <v>6778</v>
      </c>
      <c r="I3129" s="636" t="s">
        <v>9142</v>
      </c>
      <c r="J3129" s="644"/>
      <c r="K3129" s="753"/>
      <c r="L3129" s="754"/>
      <c r="M3129" s="756"/>
      <c r="N3129" s="757">
        <v>6</v>
      </c>
      <c r="O3129" s="754">
        <v>6</v>
      </c>
      <c r="P3129" s="736">
        <v>16644.900000000001</v>
      </c>
      <c r="Q3129" s="214"/>
    </row>
    <row r="3130" spans="1:17" ht="12" customHeight="1" x14ac:dyDescent="0.2">
      <c r="A3130" s="735" t="s">
        <v>7733</v>
      </c>
      <c r="B3130" s="735" t="s">
        <v>2170</v>
      </c>
      <c r="C3130" s="735" t="s">
        <v>451</v>
      </c>
      <c r="D3130" s="755" t="s">
        <v>2190</v>
      </c>
      <c r="E3130" s="736">
        <v>1500</v>
      </c>
      <c r="F3130" s="737" t="s">
        <v>9195</v>
      </c>
      <c r="G3130" s="636" t="s">
        <v>9196</v>
      </c>
      <c r="H3130" s="636" t="s">
        <v>9197</v>
      </c>
      <c r="I3130" s="636" t="s">
        <v>9198</v>
      </c>
      <c r="J3130" s="644"/>
      <c r="K3130" s="753"/>
      <c r="L3130" s="754"/>
      <c r="M3130" s="756"/>
      <c r="N3130" s="757">
        <v>6</v>
      </c>
      <c r="O3130" s="754">
        <v>6</v>
      </c>
      <c r="P3130" s="736">
        <v>10410</v>
      </c>
      <c r="Q3130" s="214"/>
    </row>
    <row r="3131" spans="1:17" ht="12" customHeight="1" x14ac:dyDescent="0.2">
      <c r="A3131" s="735" t="s">
        <v>7733</v>
      </c>
      <c r="B3131" s="735" t="s">
        <v>2170</v>
      </c>
      <c r="C3131" s="735" t="s">
        <v>451</v>
      </c>
      <c r="D3131" s="755" t="s">
        <v>8298</v>
      </c>
      <c r="E3131" s="736">
        <v>1000</v>
      </c>
      <c r="F3131" s="737" t="s">
        <v>9209</v>
      </c>
      <c r="G3131" s="636" t="s">
        <v>9210</v>
      </c>
      <c r="H3131" s="636">
        <v>0</v>
      </c>
      <c r="I3131" s="636">
        <v>0</v>
      </c>
      <c r="J3131" s="644"/>
      <c r="K3131" s="753"/>
      <c r="L3131" s="754"/>
      <c r="M3131" s="756"/>
      <c r="N3131" s="757">
        <v>6</v>
      </c>
      <c r="O3131" s="754">
        <v>6</v>
      </c>
      <c r="P3131" s="736">
        <v>7140</v>
      </c>
      <c r="Q3131" s="214"/>
    </row>
    <row r="3132" spans="1:17" ht="12" customHeight="1" x14ac:dyDescent="0.2">
      <c r="A3132" s="735" t="s">
        <v>7733</v>
      </c>
      <c r="B3132" s="735" t="s">
        <v>2170</v>
      </c>
      <c r="C3132" s="735" t="s">
        <v>451</v>
      </c>
      <c r="D3132" s="755" t="s">
        <v>9272</v>
      </c>
      <c r="E3132" s="736">
        <v>7500</v>
      </c>
      <c r="F3132" s="737" t="s">
        <v>9273</v>
      </c>
      <c r="G3132" s="636" t="s">
        <v>9274</v>
      </c>
      <c r="H3132" s="636" t="s">
        <v>7152</v>
      </c>
      <c r="I3132" s="636" t="s">
        <v>2317</v>
      </c>
      <c r="J3132" s="644"/>
      <c r="K3132" s="753"/>
      <c r="L3132" s="754"/>
      <c r="M3132" s="756"/>
      <c r="N3132" s="757">
        <v>6</v>
      </c>
      <c r="O3132" s="754">
        <v>6</v>
      </c>
      <c r="P3132" s="736">
        <v>46644.9</v>
      </c>
      <c r="Q3132" s="214"/>
    </row>
    <row r="3133" spans="1:17" ht="12" customHeight="1" x14ac:dyDescent="0.2">
      <c r="A3133" s="735" t="s">
        <v>7733</v>
      </c>
      <c r="B3133" s="735" t="s">
        <v>2170</v>
      </c>
      <c r="C3133" s="735" t="s">
        <v>451</v>
      </c>
      <c r="D3133" s="755" t="s">
        <v>9275</v>
      </c>
      <c r="E3133" s="736">
        <v>10000</v>
      </c>
      <c r="F3133" s="737" t="s">
        <v>9276</v>
      </c>
      <c r="G3133" s="636" t="s">
        <v>9277</v>
      </c>
      <c r="H3133" s="636" t="s">
        <v>7821</v>
      </c>
      <c r="I3133" s="636" t="s">
        <v>7821</v>
      </c>
      <c r="J3133" s="644"/>
      <c r="K3133" s="753"/>
      <c r="L3133" s="754"/>
      <c r="M3133" s="756"/>
      <c r="N3133" s="757">
        <v>6</v>
      </c>
      <c r="O3133" s="754">
        <v>6</v>
      </c>
      <c r="P3133" s="736">
        <v>61644.9</v>
      </c>
      <c r="Q3133" s="214"/>
    </row>
    <row r="3134" spans="1:17" ht="12" customHeight="1" x14ac:dyDescent="0.2">
      <c r="A3134" s="735" t="s">
        <v>7733</v>
      </c>
      <c r="B3134" s="735" t="s">
        <v>2170</v>
      </c>
      <c r="C3134" s="735" t="s">
        <v>451</v>
      </c>
      <c r="D3134" s="755" t="s">
        <v>2788</v>
      </c>
      <c r="E3134" s="736">
        <v>1100</v>
      </c>
      <c r="F3134" s="737" t="s">
        <v>9291</v>
      </c>
      <c r="G3134" s="636" t="s">
        <v>9292</v>
      </c>
      <c r="H3134" s="636" t="s">
        <v>8395</v>
      </c>
      <c r="I3134" s="636"/>
      <c r="J3134" s="644"/>
      <c r="K3134" s="753"/>
      <c r="L3134" s="754"/>
      <c r="M3134" s="756"/>
      <c r="N3134" s="757">
        <v>6</v>
      </c>
      <c r="O3134" s="754">
        <v>6</v>
      </c>
      <c r="P3134" s="736">
        <v>7794</v>
      </c>
      <c r="Q3134" s="214"/>
    </row>
    <row r="3135" spans="1:17" ht="12" customHeight="1" x14ac:dyDescent="0.2">
      <c r="A3135" s="735" t="s">
        <v>7733</v>
      </c>
      <c r="B3135" s="735" t="s">
        <v>2170</v>
      </c>
      <c r="C3135" s="735" t="s">
        <v>451</v>
      </c>
      <c r="D3135" s="755" t="s">
        <v>2190</v>
      </c>
      <c r="E3135" s="736">
        <v>2200</v>
      </c>
      <c r="F3135" s="737" t="s">
        <v>9348</v>
      </c>
      <c r="G3135" s="636" t="s">
        <v>9349</v>
      </c>
      <c r="H3135" s="636" t="s">
        <v>3754</v>
      </c>
      <c r="I3135" s="636"/>
      <c r="J3135" s="644"/>
      <c r="K3135" s="753"/>
      <c r="L3135" s="754"/>
      <c r="M3135" s="756"/>
      <c r="N3135" s="757">
        <v>6</v>
      </c>
      <c r="O3135" s="754">
        <v>6</v>
      </c>
      <c r="P3135" s="736">
        <v>14844.9</v>
      </c>
      <c r="Q3135" s="214"/>
    </row>
    <row r="3136" spans="1:17" ht="12" customHeight="1" x14ac:dyDescent="0.2">
      <c r="A3136" s="735" t="s">
        <v>7733</v>
      </c>
      <c r="B3136" s="735" t="s">
        <v>2170</v>
      </c>
      <c r="C3136" s="735" t="s">
        <v>451</v>
      </c>
      <c r="D3136" s="755" t="s">
        <v>8351</v>
      </c>
      <c r="E3136" s="736">
        <v>2200</v>
      </c>
      <c r="F3136" s="737" t="s">
        <v>9356</v>
      </c>
      <c r="G3136" s="636" t="s">
        <v>9357</v>
      </c>
      <c r="H3136" s="636">
        <v>0</v>
      </c>
      <c r="I3136" s="636">
        <v>0</v>
      </c>
      <c r="J3136" s="644"/>
      <c r="K3136" s="753"/>
      <c r="L3136" s="754"/>
      <c r="M3136" s="756"/>
      <c r="N3136" s="757">
        <v>6</v>
      </c>
      <c r="O3136" s="754">
        <v>6</v>
      </c>
      <c r="P3136" s="736">
        <v>13800</v>
      </c>
      <c r="Q3136" s="214"/>
    </row>
    <row r="3137" spans="1:17" ht="12" customHeight="1" x14ac:dyDescent="0.2">
      <c r="A3137" s="735" t="s">
        <v>7733</v>
      </c>
      <c r="B3137" s="735" t="s">
        <v>2170</v>
      </c>
      <c r="C3137" s="735" t="s">
        <v>451</v>
      </c>
      <c r="D3137" s="755" t="s">
        <v>8298</v>
      </c>
      <c r="E3137" s="736">
        <v>930</v>
      </c>
      <c r="F3137" s="737" t="s">
        <v>9428</v>
      </c>
      <c r="G3137" s="636" t="s">
        <v>9429</v>
      </c>
      <c r="H3137" s="636" t="s">
        <v>8089</v>
      </c>
      <c r="I3137" s="636" t="s">
        <v>9430</v>
      </c>
      <c r="J3137" s="644"/>
      <c r="K3137" s="753"/>
      <c r="L3137" s="754"/>
      <c r="M3137" s="756"/>
      <c r="N3137" s="757">
        <v>6</v>
      </c>
      <c r="O3137" s="754">
        <v>6</v>
      </c>
      <c r="P3137" s="736">
        <v>6682.2</v>
      </c>
      <c r="Q3137" s="214"/>
    </row>
    <row r="3138" spans="1:17" ht="12" customHeight="1" x14ac:dyDescent="0.2">
      <c r="A3138" s="735" t="s">
        <v>7733</v>
      </c>
      <c r="B3138" s="735" t="s">
        <v>2170</v>
      </c>
      <c r="C3138" s="735" t="s">
        <v>451</v>
      </c>
      <c r="D3138" s="755" t="s">
        <v>8425</v>
      </c>
      <c r="E3138" s="736">
        <v>4000</v>
      </c>
      <c r="F3138" s="737" t="s">
        <v>9484</v>
      </c>
      <c r="G3138" s="636" t="s">
        <v>9485</v>
      </c>
      <c r="H3138" s="636" t="s">
        <v>7752</v>
      </c>
      <c r="I3138" s="636" t="s">
        <v>2179</v>
      </c>
      <c r="J3138" s="644"/>
      <c r="K3138" s="753"/>
      <c r="L3138" s="754"/>
      <c r="M3138" s="756"/>
      <c r="N3138" s="757">
        <v>6</v>
      </c>
      <c r="O3138" s="754">
        <v>6</v>
      </c>
      <c r="P3138" s="736">
        <v>25644.9</v>
      </c>
      <c r="Q3138" s="214"/>
    </row>
    <row r="3139" spans="1:17" ht="12" customHeight="1" x14ac:dyDescent="0.2">
      <c r="A3139" s="735" t="s">
        <v>7733</v>
      </c>
      <c r="B3139" s="735" t="s">
        <v>2170</v>
      </c>
      <c r="C3139" s="735" t="s">
        <v>451</v>
      </c>
      <c r="D3139" s="755" t="s">
        <v>9491</v>
      </c>
      <c r="E3139" s="736">
        <v>7000</v>
      </c>
      <c r="F3139" s="737" t="s">
        <v>9492</v>
      </c>
      <c r="G3139" s="636" t="s">
        <v>9493</v>
      </c>
      <c r="H3139" s="636" t="s">
        <v>7752</v>
      </c>
      <c r="I3139" s="636" t="s">
        <v>2179</v>
      </c>
      <c r="J3139" s="644"/>
      <c r="K3139" s="753"/>
      <c r="L3139" s="754"/>
      <c r="M3139" s="756"/>
      <c r="N3139" s="757">
        <v>6</v>
      </c>
      <c r="O3139" s="754">
        <v>6</v>
      </c>
      <c r="P3139" s="736">
        <v>43644.9</v>
      </c>
      <c r="Q3139" s="214"/>
    </row>
    <row r="3140" spans="1:17" ht="12" customHeight="1" x14ac:dyDescent="0.2">
      <c r="A3140" s="735" t="s">
        <v>7733</v>
      </c>
      <c r="B3140" s="735" t="s">
        <v>2170</v>
      </c>
      <c r="C3140" s="735" t="s">
        <v>451</v>
      </c>
      <c r="D3140" s="755" t="s">
        <v>9551</v>
      </c>
      <c r="E3140" s="736">
        <v>5000</v>
      </c>
      <c r="F3140" s="737" t="s">
        <v>9552</v>
      </c>
      <c r="G3140" s="636" t="s">
        <v>9553</v>
      </c>
      <c r="H3140" s="636">
        <v>0</v>
      </c>
      <c r="I3140" s="636">
        <v>0</v>
      </c>
      <c r="J3140" s="644"/>
      <c r="K3140" s="753"/>
      <c r="L3140" s="754"/>
      <c r="M3140" s="756"/>
      <c r="N3140" s="757">
        <v>6</v>
      </c>
      <c r="O3140" s="754">
        <v>6</v>
      </c>
      <c r="P3140" s="736">
        <v>31644.9</v>
      </c>
      <c r="Q3140" s="214"/>
    </row>
    <row r="3141" spans="1:17" ht="12" customHeight="1" x14ac:dyDescent="0.2">
      <c r="A3141" s="735" t="s">
        <v>7733</v>
      </c>
      <c r="B3141" s="735" t="s">
        <v>2170</v>
      </c>
      <c r="C3141" s="735" t="s">
        <v>451</v>
      </c>
      <c r="D3141" s="755" t="s">
        <v>8894</v>
      </c>
      <c r="E3141" s="736">
        <v>10000</v>
      </c>
      <c r="F3141" s="737" t="s">
        <v>9610</v>
      </c>
      <c r="G3141" s="636" t="s">
        <v>9611</v>
      </c>
      <c r="H3141" s="636">
        <v>0</v>
      </c>
      <c r="I3141" s="636">
        <v>0</v>
      </c>
      <c r="J3141" s="644"/>
      <c r="K3141" s="753"/>
      <c r="L3141" s="754"/>
      <c r="M3141" s="756"/>
      <c r="N3141" s="757">
        <v>6</v>
      </c>
      <c r="O3141" s="754">
        <v>6</v>
      </c>
      <c r="P3141" s="736">
        <v>61644.9</v>
      </c>
      <c r="Q3141" s="214"/>
    </row>
    <row r="3142" spans="1:17" ht="12" customHeight="1" x14ac:dyDescent="0.2">
      <c r="A3142" s="735" t="s">
        <v>7733</v>
      </c>
      <c r="B3142" s="735" t="s">
        <v>2170</v>
      </c>
      <c r="C3142" s="735" t="s">
        <v>451</v>
      </c>
      <c r="D3142" s="755" t="s">
        <v>9650</v>
      </c>
      <c r="E3142" s="736">
        <v>11000</v>
      </c>
      <c r="F3142" s="737" t="s">
        <v>9651</v>
      </c>
      <c r="G3142" s="636" t="s">
        <v>9652</v>
      </c>
      <c r="H3142" s="636" t="s">
        <v>6571</v>
      </c>
      <c r="I3142" s="636" t="s">
        <v>2179</v>
      </c>
      <c r="J3142" s="644"/>
      <c r="K3142" s="753"/>
      <c r="L3142" s="754"/>
      <c r="M3142" s="756"/>
      <c r="N3142" s="757">
        <v>6</v>
      </c>
      <c r="O3142" s="754">
        <v>6</v>
      </c>
      <c r="P3142" s="736">
        <v>67644.899999999994</v>
      </c>
      <c r="Q3142" s="214"/>
    </row>
    <row r="3143" spans="1:17" ht="12" customHeight="1" x14ac:dyDescent="0.2">
      <c r="A3143" s="735" t="s">
        <v>7733</v>
      </c>
      <c r="B3143" s="735" t="s">
        <v>2170</v>
      </c>
      <c r="C3143" s="735" t="s">
        <v>451</v>
      </c>
      <c r="D3143" s="755" t="s">
        <v>9402</v>
      </c>
      <c r="E3143" s="736">
        <v>2500</v>
      </c>
      <c r="F3143" s="737" t="s">
        <v>9727</v>
      </c>
      <c r="G3143" s="636" t="s">
        <v>9728</v>
      </c>
      <c r="H3143" s="636" t="s">
        <v>8354</v>
      </c>
      <c r="I3143" s="636" t="s">
        <v>3057</v>
      </c>
      <c r="J3143" s="644"/>
      <c r="K3143" s="753"/>
      <c r="L3143" s="754"/>
      <c r="M3143" s="756"/>
      <c r="N3143" s="757">
        <v>6</v>
      </c>
      <c r="O3143" s="754">
        <v>6</v>
      </c>
      <c r="P3143" s="736">
        <v>16644.900000000001</v>
      </c>
      <c r="Q3143" s="214"/>
    </row>
    <row r="3144" spans="1:17" ht="12" customHeight="1" x14ac:dyDescent="0.2">
      <c r="A3144" s="735" t="s">
        <v>7733</v>
      </c>
      <c r="B3144" s="735" t="s">
        <v>2170</v>
      </c>
      <c r="C3144" s="735" t="s">
        <v>451</v>
      </c>
      <c r="D3144" s="755" t="s">
        <v>9731</v>
      </c>
      <c r="E3144" s="736">
        <v>5000</v>
      </c>
      <c r="F3144" s="737" t="s">
        <v>9732</v>
      </c>
      <c r="G3144" s="636" t="s">
        <v>9733</v>
      </c>
      <c r="H3144" s="636">
        <v>0</v>
      </c>
      <c r="I3144" s="636">
        <v>0</v>
      </c>
      <c r="J3144" s="644"/>
      <c r="K3144" s="753"/>
      <c r="L3144" s="754"/>
      <c r="M3144" s="756"/>
      <c r="N3144" s="757">
        <v>6</v>
      </c>
      <c r="O3144" s="754">
        <v>6</v>
      </c>
      <c r="P3144" s="736">
        <v>31644.9</v>
      </c>
      <c r="Q3144" s="214"/>
    </row>
    <row r="3145" spans="1:17" ht="12" customHeight="1" x14ac:dyDescent="0.2">
      <c r="A3145" s="735" t="s">
        <v>7733</v>
      </c>
      <c r="B3145" s="735" t="s">
        <v>2170</v>
      </c>
      <c r="C3145" s="735" t="s">
        <v>451</v>
      </c>
      <c r="D3145" s="755" t="s">
        <v>9761</v>
      </c>
      <c r="E3145" s="736">
        <v>10000</v>
      </c>
      <c r="F3145" s="737" t="s">
        <v>9762</v>
      </c>
      <c r="G3145" s="636" t="s">
        <v>9763</v>
      </c>
      <c r="H3145" s="636" t="s">
        <v>7752</v>
      </c>
      <c r="I3145" s="636"/>
      <c r="J3145" s="644"/>
      <c r="K3145" s="753"/>
      <c r="L3145" s="754"/>
      <c r="M3145" s="756"/>
      <c r="N3145" s="757">
        <v>6</v>
      </c>
      <c r="O3145" s="754">
        <v>6</v>
      </c>
      <c r="P3145" s="736">
        <v>61644.9</v>
      </c>
      <c r="Q3145" s="214"/>
    </row>
    <row r="3146" spans="1:17" ht="12" customHeight="1" x14ac:dyDescent="0.2">
      <c r="A3146" s="735" t="s">
        <v>7733</v>
      </c>
      <c r="B3146" s="735" t="s">
        <v>2170</v>
      </c>
      <c r="C3146" s="735" t="s">
        <v>451</v>
      </c>
      <c r="D3146" s="755" t="s">
        <v>2261</v>
      </c>
      <c r="E3146" s="736">
        <v>3000</v>
      </c>
      <c r="F3146" s="737" t="s">
        <v>9819</v>
      </c>
      <c r="G3146" s="636" t="s">
        <v>9820</v>
      </c>
      <c r="H3146" s="636">
        <v>0</v>
      </c>
      <c r="I3146" s="636">
        <v>0</v>
      </c>
      <c r="J3146" s="644"/>
      <c r="K3146" s="753"/>
      <c r="L3146" s="754"/>
      <c r="M3146" s="756"/>
      <c r="N3146" s="757">
        <v>6</v>
      </c>
      <c r="O3146" s="754">
        <v>6</v>
      </c>
      <c r="P3146" s="736">
        <v>19644.900000000001</v>
      </c>
      <c r="Q3146" s="214"/>
    </row>
    <row r="3147" spans="1:17" ht="12" customHeight="1" x14ac:dyDescent="0.2">
      <c r="A3147" s="735" t="s">
        <v>7733</v>
      </c>
      <c r="B3147" s="735" t="s">
        <v>2170</v>
      </c>
      <c r="C3147" s="735" t="s">
        <v>451</v>
      </c>
      <c r="D3147" s="755" t="s">
        <v>2479</v>
      </c>
      <c r="E3147" s="736">
        <v>9000</v>
      </c>
      <c r="F3147" s="737" t="s">
        <v>9849</v>
      </c>
      <c r="G3147" s="636" t="s">
        <v>9850</v>
      </c>
      <c r="H3147" s="636">
        <v>0</v>
      </c>
      <c r="I3147" s="636">
        <v>0</v>
      </c>
      <c r="J3147" s="644"/>
      <c r="K3147" s="753"/>
      <c r="L3147" s="754"/>
      <c r="M3147" s="756"/>
      <c r="N3147" s="757">
        <v>6</v>
      </c>
      <c r="O3147" s="754">
        <v>6</v>
      </c>
      <c r="P3147" s="736">
        <v>55644.9</v>
      </c>
      <c r="Q3147" s="214"/>
    </row>
    <row r="3148" spans="1:17" ht="12" customHeight="1" x14ac:dyDescent="0.2">
      <c r="A3148" s="735" t="s">
        <v>7733</v>
      </c>
      <c r="B3148" s="735" t="s">
        <v>2170</v>
      </c>
      <c r="C3148" s="735" t="s">
        <v>451</v>
      </c>
      <c r="D3148" s="755" t="s">
        <v>2179</v>
      </c>
      <c r="E3148" s="736">
        <v>6000</v>
      </c>
      <c r="F3148" s="737" t="s">
        <v>10140</v>
      </c>
      <c r="G3148" s="636" t="s">
        <v>10141</v>
      </c>
      <c r="H3148" s="636" t="s">
        <v>6571</v>
      </c>
      <c r="I3148" s="636"/>
      <c r="J3148" s="644"/>
      <c r="K3148" s="753"/>
      <c r="L3148" s="754"/>
      <c r="M3148" s="756"/>
      <c r="N3148" s="757">
        <v>6</v>
      </c>
      <c r="O3148" s="754">
        <v>6</v>
      </c>
      <c r="P3148" s="736">
        <v>37644.9</v>
      </c>
      <c r="Q3148" s="214"/>
    </row>
    <row r="3149" spans="1:17" ht="12" customHeight="1" x14ac:dyDescent="0.2">
      <c r="A3149" s="735" t="s">
        <v>7733</v>
      </c>
      <c r="B3149" s="735" t="s">
        <v>2170</v>
      </c>
      <c r="C3149" s="735" t="s">
        <v>451</v>
      </c>
      <c r="D3149" s="644" t="s">
        <v>7755</v>
      </c>
      <c r="E3149" s="736">
        <v>2500</v>
      </c>
      <c r="F3149" s="737" t="s">
        <v>9076</v>
      </c>
      <c r="G3149" s="636" t="s">
        <v>9077</v>
      </c>
      <c r="H3149" s="636">
        <v>0</v>
      </c>
      <c r="I3149" s="636"/>
      <c r="J3149" s="644" t="s">
        <v>642</v>
      </c>
      <c r="K3149" s="739"/>
      <c r="L3149" s="754"/>
      <c r="M3149" s="735"/>
      <c r="N3149" s="753">
        <v>4</v>
      </c>
      <c r="O3149" s="754">
        <v>6</v>
      </c>
      <c r="P3149" s="736">
        <v>17689.8</v>
      </c>
      <c r="Q3149" s="214"/>
    </row>
    <row r="3150" spans="1:17" ht="12" customHeight="1" x14ac:dyDescent="0.2">
      <c r="A3150" s="735" t="s">
        <v>7733</v>
      </c>
      <c r="B3150" s="735" t="s">
        <v>2170</v>
      </c>
      <c r="C3150" s="735" t="s">
        <v>451</v>
      </c>
      <c r="D3150" s="644" t="s">
        <v>7904</v>
      </c>
      <c r="E3150" s="736">
        <v>3000</v>
      </c>
      <c r="F3150" s="737" t="s">
        <v>10071</v>
      </c>
      <c r="G3150" s="636" t="s">
        <v>10072</v>
      </c>
      <c r="H3150" s="636" t="s">
        <v>7916</v>
      </c>
      <c r="I3150" s="636" t="s">
        <v>7917</v>
      </c>
      <c r="J3150" s="644" t="s">
        <v>643</v>
      </c>
      <c r="K3150" s="739"/>
      <c r="L3150" s="754"/>
      <c r="M3150" s="735"/>
      <c r="N3150" s="753">
        <v>4</v>
      </c>
      <c r="O3150" s="754">
        <v>6</v>
      </c>
      <c r="P3150" s="736">
        <v>20689.8</v>
      </c>
      <c r="Q3150" s="214"/>
    </row>
    <row r="3151" spans="1:17" ht="12" customHeight="1" x14ac:dyDescent="0.2">
      <c r="A3151" s="735" t="s">
        <v>7733</v>
      </c>
      <c r="B3151" s="735" t="s">
        <v>2170</v>
      </c>
      <c r="C3151" s="735" t="s">
        <v>451</v>
      </c>
      <c r="D3151" s="644" t="s">
        <v>7838</v>
      </c>
      <c r="E3151" s="736">
        <v>2500</v>
      </c>
      <c r="F3151" s="737" t="s">
        <v>8443</v>
      </c>
      <c r="G3151" s="636" t="s">
        <v>8444</v>
      </c>
      <c r="H3151" s="636"/>
      <c r="I3151" s="636"/>
      <c r="J3151" s="644" t="s">
        <v>642</v>
      </c>
      <c r="K3151" s="739"/>
      <c r="L3151" s="754"/>
      <c r="M3151" s="735"/>
      <c r="N3151" s="753">
        <v>5</v>
      </c>
      <c r="O3151" s="754">
        <v>6</v>
      </c>
      <c r="P3151" s="736">
        <v>17689.8</v>
      </c>
      <c r="Q3151" s="214"/>
    </row>
    <row r="3152" spans="1:17" ht="12" customHeight="1" x14ac:dyDescent="0.2">
      <c r="A3152" s="735" t="s">
        <v>7733</v>
      </c>
      <c r="B3152" s="735" t="s">
        <v>2170</v>
      </c>
      <c r="C3152" s="735" t="s">
        <v>451</v>
      </c>
      <c r="D3152" s="644" t="s">
        <v>7901</v>
      </c>
      <c r="E3152" s="736">
        <v>2500</v>
      </c>
      <c r="F3152" s="737" t="s">
        <v>8239</v>
      </c>
      <c r="G3152" s="636" t="s">
        <v>8240</v>
      </c>
      <c r="H3152" s="636"/>
      <c r="I3152" s="636"/>
      <c r="J3152" s="644" t="s">
        <v>644</v>
      </c>
      <c r="K3152" s="739"/>
      <c r="L3152" s="754"/>
      <c r="M3152" s="735"/>
      <c r="N3152" s="753">
        <v>4</v>
      </c>
      <c r="O3152" s="754">
        <v>6</v>
      </c>
      <c r="P3152" s="736">
        <v>17689.8</v>
      </c>
      <c r="Q3152" s="214"/>
    </row>
    <row r="3153" spans="1:17" ht="12" customHeight="1" x14ac:dyDescent="0.2">
      <c r="A3153" s="735" t="s">
        <v>7733</v>
      </c>
      <c r="B3153" s="735" t="s">
        <v>2170</v>
      </c>
      <c r="C3153" s="735" t="s">
        <v>451</v>
      </c>
      <c r="D3153" s="644" t="s">
        <v>8097</v>
      </c>
      <c r="E3153" s="736">
        <v>6000</v>
      </c>
      <c r="F3153" s="737" t="s">
        <v>8098</v>
      </c>
      <c r="G3153" s="636" t="s">
        <v>8099</v>
      </c>
      <c r="H3153" s="636" t="s">
        <v>6571</v>
      </c>
      <c r="I3153" s="636" t="s">
        <v>2569</v>
      </c>
      <c r="J3153" s="644" t="s">
        <v>642</v>
      </c>
      <c r="K3153" s="739"/>
      <c r="L3153" s="754"/>
      <c r="M3153" s="735"/>
      <c r="N3153" s="753">
        <v>4</v>
      </c>
      <c r="O3153" s="754">
        <v>6</v>
      </c>
      <c r="P3153" s="736">
        <v>38689.800000000003</v>
      </c>
      <c r="Q3153" s="214"/>
    </row>
    <row r="3154" spans="1:17" ht="12" customHeight="1" x14ac:dyDescent="0.2">
      <c r="A3154" s="735" t="s">
        <v>7733</v>
      </c>
      <c r="B3154" s="735" t="s">
        <v>2170</v>
      </c>
      <c r="C3154" s="735" t="s">
        <v>451</v>
      </c>
      <c r="D3154" s="644" t="s">
        <v>8268</v>
      </c>
      <c r="E3154" s="736">
        <v>2200</v>
      </c>
      <c r="F3154" s="737" t="s">
        <v>9225</v>
      </c>
      <c r="G3154" s="636" t="s">
        <v>9226</v>
      </c>
      <c r="H3154" s="636" t="s">
        <v>7772</v>
      </c>
      <c r="I3154" s="636" t="s">
        <v>8075</v>
      </c>
      <c r="J3154" s="644" t="s">
        <v>644</v>
      </c>
      <c r="K3154" s="739"/>
      <c r="L3154" s="754"/>
      <c r="M3154" s="735"/>
      <c r="N3154" s="753">
        <v>4</v>
      </c>
      <c r="O3154" s="754">
        <v>6</v>
      </c>
      <c r="P3154" s="736">
        <v>15889.8</v>
      </c>
      <c r="Q3154" s="214"/>
    </row>
    <row r="3155" spans="1:17" ht="12" customHeight="1" x14ac:dyDescent="0.2">
      <c r="A3155" s="735" t="s">
        <v>7733</v>
      </c>
      <c r="B3155" s="735" t="s">
        <v>2170</v>
      </c>
      <c r="C3155" s="735" t="s">
        <v>451</v>
      </c>
      <c r="D3155" s="644" t="s">
        <v>7843</v>
      </c>
      <c r="E3155" s="736">
        <v>4000</v>
      </c>
      <c r="F3155" s="737" t="s">
        <v>8081</v>
      </c>
      <c r="G3155" s="636" t="s">
        <v>8082</v>
      </c>
      <c r="H3155" s="636" t="s">
        <v>6571</v>
      </c>
      <c r="I3155" s="636" t="s">
        <v>2179</v>
      </c>
      <c r="J3155" s="644" t="s">
        <v>642</v>
      </c>
      <c r="K3155" s="739"/>
      <c r="L3155" s="754"/>
      <c r="M3155" s="735"/>
      <c r="N3155" s="753">
        <v>5</v>
      </c>
      <c r="O3155" s="754">
        <v>6</v>
      </c>
      <c r="P3155" s="736">
        <v>26689.8</v>
      </c>
      <c r="Q3155" s="214"/>
    </row>
    <row r="3156" spans="1:17" ht="12" customHeight="1" x14ac:dyDescent="0.2">
      <c r="A3156" s="735" t="s">
        <v>7733</v>
      </c>
      <c r="B3156" s="735" t="s">
        <v>2170</v>
      </c>
      <c r="C3156" s="735" t="s">
        <v>451</v>
      </c>
      <c r="D3156" s="644" t="s">
        <v>6668</v>
      </c>
      <c r="E3156" s="736">
        <v>3500</v>
      </c>
      <c r="F3156" s="737" t="s">
        <v>7743</v>
      </c>
      <c r="G3156" s="636" t="s">
        <v>7744</v>
      </c>
      <c r="H3156" s="636" t="s">
        <v>7745</v>
      </c>
      <c r="I3156" s="636" t="s">
        <v>2174</v>
      </c>
      <c r="J3156" s="644" t="s">
        <v>642</v>
      </c>
      <c r="K3156" s="739"/>
      <c r="L3156" s="754"/>
      <c r="M3156" s="735"/>
      <c r="N3156" s="753">
        <v>4</v>
      </c>
      <c r="O3156" s="754">
        <v>6</v>
      </c>
      <c r="P3156" s="736">
        <v>23689.8</v>
      </c>
      <c r="Q3156" s="214"/>
    </row>
    <row r="3157" spans="1:17" ht="12" customHeight="1" x14ac:dyDescent="0.2">
      <c r="A3157" s="735" t="s">
        <v>7733</v>
      </c>
      <c r="B3157" s="735" t="s">
        <v>2170</v>
      </c>
      <c r="C3157" s="735" t="s">
        <v>451</v>
      </c>
      <c r="D3157" s="644" t="s">
        <v>8268</v>
      </c>
      <c r="E3157" s="736">
        <v>2200</v>
      </c>
      <c r="F3157" s="737" t="s">
        <v>9876</v>
      </c>
      <c r="G3157" s="636" t="s">
        <v>9877</v>
      </c>
      <c r="H3157" s="636" t="s">
        <v>8536</v>
      </c>
      <c r="I3157" s="636" t="s">
        <v>7835</v>
      </c>
      <c r="J3157" s="644" t="s">
        <v>644</v>
      </c>
      <c r="K3157" s="739"/>
      <c r="L3157" s="754"/>
      <c r="M3157" s="735"/>
      <c r="N3157" s="753">
        <v>4</v>
      </c>
      <c r="O3157" s="754">
        <v>6</v>
      </c>
      <c r="P3157" s="736">
        <v>15889.8</v>
      </c>
      <c r="Q3157" s="214"/>
    </row>
    <row r="3158" spans="1:17" ht="12" customHeight="1" x14ac:dyDescent="0.2">
      <c r="A3158" s="735" t="s">
        <v>7733</v>
      </c>
      <c r="B3158" s="735" t="s">
        <v>2170</v>
      </c>
      <c r="C3158" s="735" t="s">
        <v>451</v>
      </c>
      <c r="D3158" s="644" t="s">
        <v>8939</v>
      </c>
      <c r="E3158" s="736">
        <v>4000</v>
      </c>
      <c r="F3158" s="737" t="s">
        <v>8940</v>
      </c>
      <c r="G3158" s="636" t="s">
        <v>8941</v>
      </c>
      <c r="H3158" s="636" t="s">
        <v>8942</v>
      </c>
      <c r="I3158" s="636" t="s">
        <v>4559</v>
      </c>
      <c r="J3158" s="644" t="s">
        <v>642</v>
      </c>
      <c r="K3158" s="739"/>
      <c r="L3158" s="754"/>
      <c r="M3158" s="735"/>
      <c r="N3158" s="753">
        <v>4</v>
      </c>
      <c r="O3158" s="754">
        <v>6</v>
      </c>
      <c r="P3158" s="736">
        <v>26689.8</v>
      </c>
      <c r="Q3158" s="214"/>
    </row>
    <row r="3159" spans="1:17" ht="12" customHeight="1" x14ac:dyDescent="0.2">
      <c r="A3159" s="735" t="s">
        <v>7733</v>
      </c>
      <c r="B3159" s="735" t="s">
        <v>2170</v>
      </c>
      <c r="C3159" s="735" t="s">
        <v>451</v>
      </c>
      <c r="D3159" s="644" t="s">
        <v>7901</v>
      </c>
      <c r="E3159" s="736">
        <v>2500</v>
      </c>
      <c r="F3159" s="737" t="s">
        <v>9618</v>
      </c>
      <c r="G3159" s="636" t="s">
        <v>9619</v>
      </c>
      <c r="H3159" s="636"/>
      <c r="I3159" s="636"/>
      <c r="J3159" s="644" t="s">
        <v>643</v>
      </c>
      <c r="K3159" s="739"/>
      <c r="L3159" s="754"/>
      <c r="M3159" s="735"/>
      <c r="N3159" s="753">
        <v>6</v>
      </c>
      <c r="O3159" s="754">
        <v>6</v>
      </c>
      <c r="P3159" s="736">
        <v>17689.8</v>
      </c>
      <c r="Q3159" s="214"/>
    </row>
    <row r="3160" spans="1:17" ht="12" customHeight="1" x14ac:dyDescent="0.2">
      <c r="A3160" s="735" t="s">
        <v>7733</v>
      </c>
      <c r="B3160" s="735" t="s">
        <v>2170</v>
      </c>
      <c r="C3160" s="735" t="s">
        <v>451</v>
      </c>
      <c r="D3160" s="644" t="s">
        <v>8045</v>
      </c>
      <c r="E3160" s="736">
        <v>3000</v>
      </c>
      <c r="F3160" s="737" t="s">
        <v>8802</v>
      </c>
      <c r="G3160" s="636" t="s">
        <v>8803</v>
      </c>
      <c r="H3160" s="636" t="s">
        <v>10194</v>
      </c>
      <c r="I3160" s="636"/>
      <c r="J3160" s="644" t="s">
        <v>642</v>
      </c>
      <c r="K3160" s="739"/>
      <c r="L3160" s="754"/>
      <c r="M3160" s="735"/>
      <c r="N3160" s="753">
        <v>6</v>
      </c>
      <c r="O3160" s="754">
        <v>6</v>
      </c>
      <c r="P3160" s="736">
        <v>20689.8</v>
      </c>
      <c r="Q3160" s="214"/>
    </row>
    <row r="3161" spans="1:17" ht="12" customHeight="1" x14ac:dyDescent="0.2">
      <c r="A3161" s="735" t="s">
        <v>7733</v>
      </c>
      <c r="B3161" s="735" t="s">
        <v>2170</v>
      </c>
      <c r="C3161" s="735" t="s">
        <v>451</v>
      </c>
      <c r="D3161" s="644" t="s">
        <v>8995</v>
      </c>
      <c r="E3161" s="736">
        <v>4000</v>
      </c>
      <c r="F3161" s="737" t="s">
        <v>9638</v>
      </c>
      <c r="G3161" s="636" t="s">
        <v>9639</v>
      </c>
      <c r="H3161" s="636"/>
      <c r="I3161" s="636"/>
      <c r="J3161" s="644" t="s">
        <v>642</v>
      </c>
      <c r="K3161" s="739"/>
      <c r="L3161" s="754"/>
      <c r="M3161" s="735"/>
      <c r="N3161" s="753">
        <v>6</v>
      </c>
      <c r="O3161" s="754">
        <v>6</v>
      </c>
      <c r="P3161" s="736">
        <v>26689.8</v>
      </c>
      <c r="Q3161" s="214"/>
    </row>
    <row r="3162" spans="1:17" ht="12" customHeight="1" x14ac:dyDescent="0.2">
      <c r="A3162" s="735" t="s">
        <v>7733</v>
      </c>
      <c r="B3162" s="735" t="s">
        <v>2170</v>
      </c>
      <c r="C3162" s="735" t="s">
        <v>451</v>
      </c>
      <c r="D3162" s="644" t="s">
        <v>2179</v>
      </c>
      <c r="E3162" s="736">
        <v>6000</v>
      </c>
      <c r="F3162" s="737" t="s">
        <v>8694</v>
      </c>
      <c r="G3162" s="636" t="s">
        <v>8695</v>
      </c>
      <c r="H3162" s="636" t="s">
        <v>6571</v>
      </c>
      <c r="I3162" s="636" t="s">
        <v>2179</v>
      </c>
      <c r="J3162" s="644" t="s">
        <v>642</v>
      </c>
      <c r="K3162" s="739"/>
      <c r="L3162" s="754"/>
      <c r="M3162" s="735"/>
      <c r="N3162" s="753">
        <v>4</v>
      </c>
      <c r="O3162" s="754">
        <v>6</v>
      </c>
      <c r="P3162" s="736">
        <v>38689.800000000003</v>
      </c>
      <c r="Q3162" s="214"/>
    </row>
    <row r="3163" spans="1:17" ht="12" customHeight="1" x14ac:dyDescent="0.2">
      <c r="A3163" s="735" t="s">
        <v>7733</v>
      </c>
      <c r="B3163" s="735" t="s">
        <v>2170</v>
      </c>
      <c r="C3163" s="735" t="s">
        <v>451</v>
      </c>
      <c r="D3163" s="644" t="s">
        <v>7779</v>
      </c>
      <c r="E3163" s="736">
        <v>4000</v>
      </c>
      <c r="F3163" s="737" t="s">
        <v>8783</v>
      </c>
      <c r="G3163" s="636" t="s">
        <v>8784</v>
      </c>
      <c r="H3163" s="636" t="s">
        <v>7152</v>
      </c>
      <c r="I3163" s="636" t="s">
        <v>2317</v>
      </c>
      <c r="J3163" s="644" t="s">
        <v>642</v>
      </c>
      <c r="K3163" s="739"/>
      <c r="L3163" s="754"/>
      <c r="M3163" s="735"/>
      <c r="N3163" s="753">
        <v>4</v>
      </c>
      <c r="O3163" s="754">
        <v>6</v>
      </c>
      <c r="P3163" s="736">
        <v>26689.8</v>
      </c>
      <c r="Q3163" s="214"/>
    </row>
    <row r="3164" spans="1:17" ht="12" customHeight="1" x14ac:dyDescent="0.2">
      <c r="A3164" s="735" t="s">
        <v>7733</v>
      </c>
      <c r="B3164" s="735" t="s">
        <v>2170</v>
      </c>
      <c r="C3164" s="735" t="s">
        <v>451</v>
      </c>
      <c r="D3164" s="644" t="s">
        <v>8045</v>
      </c>
      <c r="E3164" s="736">
        <v>3200</v>
      </c>
      <c r="F3164" s="737" t="s">
        <v>8046</v>
      </c>
      <c r="G3164" s="636" t="s">
        <v>8047</v>
      </c>
      <c r="H3164" s="636" t="s">
        <v>6633</v>
      </c>
      <c r="I3164" s="636" t="s">
        <v>4559</v>
      </c>
      <c r="J3164" s="644" t="s">
        <v>642</v>
      </c>
      <c r="K3164" s="739"/>
      <c r="L3164" s="754"/>
      <c r="M3164" s="735"/>
      <c r="N3164" s="753">
        <v>4</v>
      </c>
      <c r="O3164" s="754">
        <v>6</v>
      </c>
      <c r="P3164" s="736">
        <v>21889.8</v>
      </c>
      <c r="Q3164" s="214"/>
    </row>
    <row r="3165" spans="1:17" ht="12" customHeight="1" x14ac:dyDescent="0.2">
      <c r="A3165" s="735" t="s">
        <v>7733</v>
      </c>
      <c r="B3165" s="735" t="s">
        <v>2170</v>
      </c>
      <c r="C3165" s="735" t="s">
        <v>451</v>
      </c>
      <c r="D3165" s="644" t="s">
        <v>7817</v>
      </c>
      <c r="E3165" s="736">
        <v>1800</v>
      </c>
      <c r="F3165" s="737" t="s">
        <v>9256</v>
      </c>
      <c r="G3165" s="636" t="s">
        <v>9257</v>
      </c>
      <c r="H3165" s="636" t="s">
        <v>7816</v>
      </c>
      <c r="I3165" s="636" t="s">
        <v>3328</v>
      </c>
      <c r="J3165" s="644" t="s">
        <v>643</v>
      </c>
      <c r="K3165" s="739"/>
      <c r="L3165" s="754"/>
      <c r="M3165" s="735"/>
      <c r="N3165" s="753">
        <v>4</v>
      </c>
      <c r="O3165" s="754">
        <v>6</v>
      </c>
      <c r="P3165" s="736">
        <v>13344</v>
      </c>
      <c r="Q3165" s="214"/>
    </row>
    <row r="3166" spans="1:17" ht="12" customHeight="1" x14ac:dyDescent="0.2">
      <c r="A3166" s="735" t="s">
        <v>7733</v>
      </c>
      <c r="B3166" s="735" t="s">
        <v>2170</v>
      </c>
      <c r="C3166" s="735" t="s">
        <v>451</v>
      </c>
      <c r="D3166" s="644" t="s">
        <v>7858</v>
      </c>
      <c r="E3166" s="736">
        <v>3000</v>
      </c>
      <c r="F3166" s="737" t="s">
        <v>8347</v>
      </c>
      <c r="G3166" s="636" t="s">
        <v>8348</v>
      </c>
      <c r="H3166" s="636" t="s">
        <v>8349</v>
      </c>
      <c r="I3166" s="636" t="s">
        <v>8350</v>
      </c>
      <c r="J3166" s="644" t="s">
        <v>643</v>
      </c>
      <c r="K3166" s="739"/>
      <c r="L3166" s="754"/>
      <c r="M3166" s="735"/>
      <c r="N3166" s="753">
        <v>6</v>
      </c>
      <c r="O3166" s="754">
        <v>6</v>
      </c>
      <c r="P3166" s="736">
        <v>20689.8</v>
      </c>
      <c r="Q3166" s="214"/>
    </row>
    <row r="3167" spans="1:17" ht="12" customHeight="1" x14ac:dyDescent="0.2">
      <c r="A3167" s="735" t="s">
        <v>7733</v>
      </c>
      <c r="B3167" s="735" t="s">
        <v>2170</v>
      </c>
      <c r="C3167" s="735" t="s">
        <v>451</v>
      </c>
      <c r="D3167" s="644" t="s">
        <v>8268</v>
      </c>
      <c r="E3167" s="736">
        <v>2200</v>
      </c>
      <c r="F3167" s="737" t="s">
        <v>9724</v>
      </c>
      <c r="G3167" s="636" t="s">
        <v>9725</v>
      </c>
      <c r="H3167" s="636" t="s">
        <v>7858</v>
      </c>
      <c r="I3167" s="636" t="s">
        <v>9726</v>
      </c>
      <c r="J3167" s="644" t="s">
        <v>644</v>
      </c>
      <c r="K3167" s="739"/>
      <c r="L3167" s="754"/>
      <c r="M3167" s="735"/>
      <c r="N3167" s="753">
        <v>6</v>
      </c>
      <c r="O3167" s="754">
        <v>6</v>
      </c>
      <c r="P3167" s="736">
        <v>15889.8</v>
      </c>
      <c r="Q3167" s="214"/>
    </row>
    <row r="3168" spans="1:17" ht="12" customHeight="1" x14ac:dyDescent="0.2">
      <c r="A3168" s="735" t="s">
        <v>7733</v>
      </c>
      <c r="B3168" s="735" t="s">
        <v>2170</v>
      </c>
      <c r="C3168" s="735" t="s">
        <v>451</v>
      </c>
      <c r="D3168" s="644" t="s">
        <v>7746</v>
      </c>
      <c r="E3168" s="736">
        <v>1700</v>
      </c>
      <c r="F3168" s="737" t="s">
        <v>9246</v>
      </c>
      <c r="G3168" s="636" t="s">
        <v>9247</v>
      </c>
      <c r="H3168" s="636" t="s">
        <v>6625</v>
      </c>
      <c r="I3168" s="636" t="s">
        <v>7835</v>
      </c>
      <c r="J3168" s="644" t="s">
        <v>643</v>
      </c>
      <c r="K3168" s="739"/>
      <c r="L3168" s="754"/>
      <c r="M3168" s="735"/>
      <c r="N3168" s="753">
        <v>3</v>
      </c>
      <c r="O3168" s="754">
        <v>2</v>
      </c>
      <c r="P3168" s="736">
        <v>5836</v>
      </c>
      <c r="Q3168" s="214"/>
    </row>
    <row r="3169" spans="1:17" ht="12" customHeight="1" x14ac:dyDescent="0.2">
      <c r="A3169" s="735" t="s">
        <v>7733</v>
      </c>
      <c r="B3169" s="735" t="s">
        <v>2170</v>
      </c>
      <c r="C3169" s="735" t="s">
        <v>451</v>
      </c>
      <c r="D3169" s="644" t="s">
        <v>7746</v>
      </c>
      <c r="E3169" s="736">
        <v>1700</v>
      </c>
      <c r="F3169" s="737" t="s">
        <v>8001</v>
      </c>
      <c r="G3169" s="636" t="s">
        <v>8002</v>
      </c>
      <c r="H3169" s="636" t="s">
        <v>3092</v>
      </c>
      <c r="I3169" s="636" t="s">
        <v>8004</v>
      </c>
      <c r="J3169" s="644" t="s">
        <v>643</v>
      </c>
      <c r="K3169" s="739"/>
      <c r="L3169" s="754"/>
      <c r="M3169" s="735"/>
      <c r="N3169" s="753">
        <v>6</v>
      </c>
      <c r="O3169" s="754">
        <v>6</v>
      </c>
      <c r="P3169" s="736">
        <v>12636</v>
      </c>
      <c r="Q3169" s="214"/>
    </row>
    <row r="3170" spans="1:17" ht="12" customHeight="1" x14ac:dyDescent="0.2">
      <c r="A3170" s="735" t="s">
        <v>7733</v>
      </c>
      <c r="B3170" s="735" t="s">
        <v>2170</v>
      </c>
      <c r="C3170" s="735" t="s">
        <v>451</v>
      </c>
      <c r="D3170" s="644" t="s">
        <v>8298</v>
      </c>
      <c r="E3170" s="736">
        <v>1000</v>
      </c>
      <c r="F3170" s="737" t="s">
        <v>9921</v>
      </c>
      <c r="G3170" s="636" t="s">
        <v>9922</v>
      </c>
      <c r="H3170" s="636" t="s">
        <v>9923</v>
      </c>
      <c r="I3170" s="636" t="s">
        <v>3760</v>
      </c>
      <c r="J3170" s="644" t="s">
        <v>644</v>
      </c>
      <c r="K3170" s="739"/>
      <c r="L3170" s="754"/>
      <c r="M3170" s="735"/>
      <c r="N3170" s="753">
        <v>6</v>
      </c>
      <c r="O3170" s="754">
        <v>6</v>
      </c>
      <c r="P3170" s="736">
        <v>7680</v>
      </c>
      <c r="Q3170" s="214"/>
    </row>
    <row r="3171" spans="1:17" ht="12" customHeight="1" x14ac:dyDescent="0.2">
      <c r="A3171" s="735" t="s">
        <v>7733</v>
      </c>
      <c r="B3171" s="735" t="s">
        <v>2170</v>
      </c>
      <c r="C3171" s="735" t="s">
        <v>451</v>
      </c>
      <c r="D3171" s="644" t="s">
        <v>5788</v>
      </c>
      <c r="E3171" s="736">
        <v>5000</v>
      </c>
      <c r="F3171" s="737" t="s">
        <v>8728</v>
      </c>
      <c r="G3171" s="636" t="s">
        <v>8729</v>
      </c>
      <c r="H3171" s="636" t="s">
        <v>3754</v>
      </c>
      <c r="I3171" s="636" t="s">
        <v>3760</v>
      </c>
      <c r="J3171" s="644" t="s">
        <v>642</v>
      </c>
      <c r="K3171" s="739"/>
      <c r="L3171" s="754"/>
      <c r="M3171" s="735"/>
      <c r="N3171" s="753">
        <v>6</v>
      </c>
      <c r="O3171" s="754">
        <v>6</v>
      </c>
      <c r="P3171" s="736">
        <v>32689.8</v>
      </c>
      <c r="Q3171" s="214"/>
    </row>
    <row r="3172" spans="1:17" ht="12" customHeight="1" x14ac:dyDescent="0.2">
      <c r="A3172" s="735" t="s">
        <v>7733</v>
      </c>
      <c r="B3172" s="735" t="s">
        <v>2170</v>
      </c>
      <c r="C3172" s="735" t="s">
        <v>451</v>
      </c>
      <c r="D3172" s="644" t="s">
        <v>6668</v>
      </c>
      <c r="E3172" s="736">
        <v>3000</v>
      </c>
      <c r="F3172" s="737" t="s">
        <v>7734</v>
      </c>
      <c r="G3172" s="636" t="s">
        <v>7735</v>
      </c>
      <c r="H3172" s="636" t="s">
        <v>6778</v>
      </c>
      <c r="I3172" s="636" t="s">
        <v>4796</v>
      </c>
      <c r="J3172" s="644" t="s">
        <v>642</v>
      </c>
      <c r="K3172" s="739"/>
      <c r="L3172" s="754"/>
      <c r="M3172" s="735"/>
      <c r="N3172" s="753">
        <v>4</v>
      </c>
      <c r="O3172" s="754">
        <v>6</v>
      </c>
      <c r="P3172" s="736">
        <v>20689.8</v>
      </c>
      <c r="Q3172" s="214"/>
    </row>
    <row r="3173" spans="1:17" ht="12" customHeight="1" x14ac:dyDescent="0.2">
      <c r="A3173" s="735" t="s">
        <v>7733</v>
      </c>
      <c r="B3173" s="735" t="s">
        <v>2170</v>
      </c>
      <c r="C3173" s="735" t="s">
        <v>451</v>
      </c>
      <c r="D3173" s="644" t="s">
        <v>7901</v>
      </c>
      <c r="E3173" s="736">
        <v>2500</v>
      </c>
      <c r="F3173" s="737" t="s">
        <v>9244</v>
      </c>
      <c r="G3173" s="636" t="s">
        <v>9245</v>
      </c>
      <c r="H3173" s="636" t="s">
        <v>6778</v>
      </c>
      <c r="I3173" s="636" t="s">
        <v>3092</v>
      </c>
      <c r="J3173" s="644" t="s">
        <v>643</v>
      </c>
      <c r="K3173" s="739"/>
      <c r="L3173" s="754"/>
      <c r="M3173" s="735"/>
      <c r="N3173" s="753">
        <v>4</v>
      </c>
      <c r="O3173" s="754">
        <v>6</v>
      </c>
      <c r="P3173" s="736">
        <v>17689.8</v>
      </c>
      <c r="Q3173" s="214"/>
    </row>
    <row r="3174" spans="1:17" ht="12" customHeight="1" x14ac:dyDescent="0.2">
      <c r="A3174" s="735" t="s">
        <v>7733</v>
      </c>
      <c r="B3174" s="735" t="s">
        <v>2170</v>
      </c>
      <c r="C3174" s="735" t="s">
        <v>451</v>
      </c>
      <c r="D3174" s="644" t="s">
        <v>2261</v>
      </c>
      <c r="E3174" s="736">
        <v>3500</v>
      </c>
      <c r="F3174" s="737" t="s">
        <v>9999</v>
      </c>
      <c r="G3174" s="636" t="s">
        <v>10000</v>
      </c>
      <c r="H3174" s="636" t="s">
        <v>10001</v>
      </c>
      <c r="I3174" s="636" t="s">
        <v>2602</v>
      </c>
      <c r="J3174" s="644" t="s">
        <v>643</v>
      </c>
      <c r="K3174" s="739"/>
      <c r="L3174" s="754"/>
      <c r="M3174" s="735"/>
      <c r="N3174" s="753">
        <v>4</v>
      </c>
      <c r="O3174" s="754">
        <v>6</v>
      </c>
      <c r="P3174" s="736">
        <v>23689.8</v>
      </c>
      <c r="Q3174" s="214"/>
    </row>
    <row r="3175" spans="1:17" ht="12" customHeight="1" x14ac:dyDescent="0.2">
      <c r="A3175" s="735" t="s">
        <v>7733</v>
      </c>
      <c r="B3175" s="735" t="s">
        <v>2170</v>
      </c>
      <c r="C3175" s="735" t="s">
        <v>451</v>
      </c>
      <c r="D3175" s="644" t="s">
        <v>8605</v>
      </c>
      <c r="E3175" s="736">
        <v>3000</v>
      </c>
      <c r="F3175" s="737" t="s">
        <v>8606</v>
      </c>
      <c r="G3175" s="636" t="s">
        <v>8607</v>
      </c>
      <c r="H3175" s="636" t="s">
        <v>7752</v>
      </c>
      <c r="I3175" s="636" t="s">
        <v>2179</v>
      </c>
      <c r="J3175" s="644" t="s">
        <v>642</v>
      </c>
      <c r="K3175" s="739"/>
      <c r="L3175" s="754"/>
      <c r="M3175" s="735"/>
      <c r="N3175" s="753">
        <v>4</v>
      </c>
      <c r="O3175" s="754">
        <v>6</v>
      </c>
      <c r="P3175" s="736">
        <v>20689.8</v>
      </c>
      <c r="Q3175" s="214"/>
    </row>
    <row r="3176" spans="1:17" ht="12" customHeight="1" x14ac:dyDescent="0.2">
      <c r="A3176" s="735" t="s">
        <v>7733</v>
      </c>
      <c r="B3176" s="735" t="s">
        <v>2170</v>
      </c>
      <c r="C3176" s="735" t="s">
        <v>451</v>
      </c>
      <c r="D3176" s="644" t="s">
        <v>9372</v>
      </c>
      <c r="E3176" s="736">
        <v>3500</v>
      </c>
      <c r="F3176" s="737" t="s">
        <v>9373</v>
      </c>
      <c r="G3176" s="636" t="s">
        <v>9374</v>
      </c>
      <c r="H3176" s="636" t="s">
        <v>6571</v>
      </c>
      <c r="I3176" s="636" t="s">
        <v>2179</v>
      </c>
      <c r="J3176" s="644" t="s">
        <v>642</v>
      </c>
      <c r="K3176" s="739"/>
      <c r="L3176" s="754"/>
      <c r="M3176" s="735"/>
      <c r="N3176" s="753">
        <v>4</v>
      </c>
      <c r="O3176" s="754">
        <v>6</v>
      </c>
      <c r="P3176" s="736">
        <v>23689.8</v>
      </c>
      <c r="Q3176" s="214"/>
    </row>
    <row r="3177" spans="1:17" ht="12" customHeight="1" x14ac:dyDescent="0.2">
      <c r="A3177" s="735" t="s">
        <v>7733</v>
      </c>
      <c r="B3177" s="735" t="s">
        <v>2170</v>
      </c>
      <c r="C3177" s="735" t="s">
        <v>451</v>
      </c>
      <c r="D3177" s="644" t="s">
        <v>7779</v>
      </c>
      <c r="E3177" s="736">
        <v>4000</v>
      </c>
      <c r="F3177" s="737" t="s">
        <v>8787</v>
      </c>
      <c r="G3177" s="636" t="s">
        <v>8788</v>
      </c>
      <c r="H3177" s="636" t="s">
        <v>3754</v>
      </c>
      <c r="I3177" s="636" t="s">
        <v>3754</v>
      </c>
      <c r="J3177" s="644" t="s">
        <v>642</v>
      </c>
      <c r="K3177" s="739"/>
      <c r="L3177" s="754"/>
      <c r="M3177" s="735"/>
      <c r="N3177" s="753">
        <v>6</v>
      </c>
      <c r="O3177" s="754">
        <v>6</v>
      </c>
      <c r="P3177" s="736">
        <v>26689.8</v>
      </c>
      <c r="Q3177" s="214"/>
    </row>
    <row r="3178" spans="1:17" ht="12" customHeight="1" x14ac:dyDescent="0.2">
      <c r="A3178" s="735" t="s">
        <v>7733</v>
      </c>
      <c r="B3178" s="735" t="s">
        <v>2170</v>
      </c>
      <c r="C3178" s="735" t="s">
        <v>451</v>
      </c>
      <c r="D3178" s="644" t="s">
        <v>2381</v>
      </c>
      <c r="E3178" s="736">
        <v>1800</v>
      </c>
      <c r="F3178" s="737" t="s">
        <v>8241</v>
      </c>
      <c r="G3178" s="636" t="s">
        <v>8242</v>
      </c>
      <c r="H3178" s="636" t="s">
        <v>8243</v>
      </c>
      <c r="I3178" s="636" t="s">
        <v>8243</v>
      </c>
      <c r="J3178" s="644" t="s">
        <v>643</v>
      </c>
      <c r="K3178" s="739"/>
      <c r="L3178" s="754"/>
      <c r="M3178" s="735"/>
      <c r="N3178" s="753">
        <v>6</v>
      </c>
      <c r="O3178" s="754">
        <v>6</v>
      </c>
      <c r="P3178" s="736">
        <v>13344</v>
      </c>
      <c r="Q3178" s="214"/>
    </row>
    <row r="3179" spans="1:17" ht="12" customHeight="1" x14ac:dyDescent="0.2">
      <c r="A3179" s="735" t="s">
        <v>7733</v>
      </c>
      <c r="B3179" s="735" t="s">
        <v>2170</v>
      </c>
      <c r="C3179" s="735" t="s">
        <v>451</v>
      </c>
      <c r="D3179" s="644" t="s">
        <v>8041</v>
      </c>
      <c r="E3179" s="736">
        <v>2000</v>
      </c>
      <c r="F3179" s="737" t="s">
        <v>9268</v>
      </c>
      <c r="G3179" s="636" t="s">
        <v>9269</v>
      </c>
      <c r="H3179" s="636"/>
      <c r="I3179" s="636"/>
      <c r="J3179" s="644" t="s">
        <v>643</v>
      </c>
      <c r="K3179" s="739"/>
      <c r="L3179" s="754"/>
      <c r="M3179" s="735"/>
      <c r="N3179" s="753">
        <v>4</v>
      </c>
      <c r="O3179" s="754">
        <v>6</v>
      </c>
      <c r="P3179" s="736">
        <v>14689.8</v>
      </c>
      <c r="Q3179" s="214"/>
    </row>
    <row r="3180" spans="1:17" ht="12" customHeight="1" x14ac:dyDescent="0.2">
      <c r="A3180" s="735" t="s">
        <v>7733</v>
      </c>
      <c r="B3180" s="735" t="s">
        <v>2170</v>
      </c>
      <c r="C3180" s="735" t="s">
        <v>451</v>
      </c>
      <c r="D3180" s="644" t="s">
        <v>7932</v>
      </c>
      <c r="E3180" s="736">
        <v>2500</v>
      </c>
      <c r="F3180" s="737" t="s">
        <v>8579</v>
      </c>
      <c r="G3180" s="636" t="s">
        <v>8580</v>
      </c>
      <c r="H3180" s="636" t="s">
        <v>7782</v>
      </c>
      <c r="I3180" s="636"/>
      <c r="J3180" s="644" t="s">
        <v>643</v>
      </c>
      <c r="K3180" s="739"/>
      <c r="L3180" s="754"/>
      <c r="M3180" s="735"/>
      <c r="N3180" s="753">
        <v>4</v>
      </c>
      <c r="O3180" s="754">
        <v>6</v>
      </c>
      <c r="P3180" s="736">
        <v>17689.8</v>
      </c>
      <c r="Q3180" s="214"/>
    </row>
    <row r="3181" spans="1:17" ht="12" customHeight="1" x14ac:dyDescent="0.2">
      <c r="A3181" s="735" t="s">
        <v>7733</v>
      </c>
      <c r="B3181" s="735" t="s">
        <v>2170</v>
      </c>
      <c r="C3181" s="735" t="s">
        <v>451</v>
      </c>
      <c r="D3181" s="644" t="s">
        <v>7838</v>
      </c>
      <c r="E3181" s="736">
        <v>2500</v>
      </c>
      <c r="F3181" s="737" t="s">
        <v>8636</v>
      </c>
      <c r="G3181" s="636" t="s">
        <v>8637</v>
      </c>
      <c r="H3181" s="636" t="s">
        <v>8354</v>
      </c>
      <c r="I3181" s="636" t="s">
        <v>8638</v>
      </c>
      <c r="J3181" s="644" t="s">
        <v>643</v>
      </c>
      <c r="K3181" s="739"/>
      <c r="L3181" s="754"/>
      <c r="M3181" s="735"/>
      <c r="N3181" s="753">
        <v>4</v>
      </c>
      <c r="O3181" s="754">
        <v>6</v>
      </c>
      <c r="P3181" s="736">
        <v>17689.8</v>
      </c>
      <c r="Q3181" s="214"/>
    </row>
    <row r="3182" spans="1:17" ht="12" customHeight="1" x14ac:dyDescent="0.2">
      <c r="A3182" s="735" t="s">
        <v>7733</v>
      </c>
      <c r="B3182" s="735" t="s">
        <v>2170</v>
      </c>
      <c r="C3182" s="735" t="s">
        <v>451</v>
      </c>
      <c r="D3182" s="644" t="s">
        <v>8032</v>
      </c>
      <c r="E3182" s="736">
        <v>2200</v>
      </c>
      <c r="F3182" s="737" t="s">
        <v>8897</v>
      </c>
      <c r="G3182" s="636" t="s">
        <v>8898</v>
      </c>
      <c r="H3182" s="636" t="s">
        <v>6608</v>
      </c>
      <c r="I3182" s="636" t="s">
        <v>6608</v>
      </c>
      <c r="J3182" s="644" t="s">
        <v>643</v>
      </c>
      <c r="K3182" s="739"/>
      <c r="L3182" s="754"/>
      <c r="M3182" s="735"/>
      <c r="N3182" s="753">
        <v>4</v>
      </c>
      <c r="O3182" s="754">
        <v>6</v>
      </c>
      <c r="P3182" s="736">
        <v>15889.8</v>
      </c>
      <c r="Q3182" s="214"/>
    </row>
    <row r="3183" spans="1:17" ht="12" customHeight="1" x14ac:dyDescent="0.2">
      <c r="A3183" s="735" t="s">
        <v>7733</v>
      </c>
      <c r="B3183" s="735" t="s">
        <v>2170</v>
      </c>
      <c r="C3183" s="735" t="s">
        <v>451</v>
      </c>
      <c r="D3183" s="644" t="s">
        <v>8554</v>
      </c>
      <c r="E3183" s="736">
        <v>3000</v>
      </c>
      <c r="F3183" s="737" t="s">
        <v>8757</v>
      </c>
      <c r="G3183" s="636" t="s">
        <v>8758</v>
      </c>
      <c r="H3183" s="636" t="s">
        <v>3754</v>
      </c>
      <c r="I3183" s="636" t="s">
        <v>3754</v>
      </c>
      <c r="J3183" s="644" t="s">
        <v>642</v>
      </c>
      <c r="K3183" s="739"/>
      <c r="L3183" s="754"/>
      <c r="M3183" s="735"/>
      <c r="N3183" s="753">
        <v>4</v>
      </c>
      <c r="O3183" s="754">
        <v>6</v>
      </c>
      <c r="P3183" s="736">
        <v>20689.8</v>
      </c>
      <c r="Q3183" s="214"/>
    </row>
    <row r="3184" spans="1:17" ht="12" customHeight="1" x14ac:dyDescent="0.2">
      <c r="A3184" s="735" t="s">
        <v>7733</v>
      </c>
      <c r="B3184" s="735" t="s">
        <v>2170</v>
      </c>
      <c r="C3184" s="735" t="s">
        <v>451</v>
      </c>
      <c r="D3184" s="644" t="s">
        <v>10099</v>
      </c>
      <c r="E3184" s="736">
        <v>1800</v>
      </c>
      <c r="F3184" s="737" t="s">
        <v>10100</v>
      </c>
      <c r="G3184" s="636" t="s">
        <v>10101</v>
      </c>
      <c r="H3184" s="636" t="s">
        <v>10194</v>
      </c>
      <c r="I3184" s="636"/>
      <c r="J3184" s="644" t="s">
        <v>644</v>
      </c>
      <c r="K3184" s="739"/>
      <c r="L3184" s="754"/>
      <c r="M3184" s="735"/>
      <c r="N3184" s="753">
        <v>4</v>
      </c>
      <c r="O3184" s="754">
        <v>6</v>
      </c>
      <c r="P3184" s="736">
        <v>13344</v>
      </c>
      <c r="Q3184" s="214"/>
    </row>
    <row r="3185" spans="1:17" ht="12" customHeight="1" x14ac:dyDescent="0.2">
      <c r="A3185" s="735" t="s">
        <v>7733</v>
      </c>
      <c r="B3185" s="735" t="s">
        <v>2170</v>
      </c>
      <c r="C3185" s="735" t="s">
        <v>451</v>
      </c>
      <c r="D3185" s="644" t="s">
        <v>7838</v>
      </c>
      <c r="E3185" s="736">
        <v>2500</v>
      </c>
      <c r="F3185" s="737" t="s">
        <v>9665</v>
      </c>
      <c r="G3185" s="636" t="s">
        <v>9666</v>
      </c>
      <c r="H3185" s="636"/>
      <c r="I3185" s="636"/>
      <c r="J3185" s="644" t="s">
        <v>643</v>
      </c>
      <c r="K3185" s="739"/>
      <c r="L3185" s="754"/>
      <c r="M3185" s="735"/>
      <c r="N3185" s="753">
        <v>4</v>
      </c>
      <c r="O3185" s="754">
        <v>6</v>
      </c>
      <c r="P3185" s="736">
        <v>17689.8</v>
      </c>
      <c r="Q3185" s="214"/>
    </row>
    <row r="3186" spans="1:17" ht="12" customHeight="1" x14ac:dyDescent="0.2">
      <c r="A3186" s="735" t="s">
        <v>7733</v>
      </c>
      <c r="B3186" s="735" t="s">
        <v>2170</v>
      </c>
      <c r="C3186" s="735" t="s">
        <v>451</v>
      </c>
      <c r="D3186" s="644" t="s">
        <v>7901</v>
      </c>
      <c r="E3186" s="736">
        <v>2500</v>
      </c>
      <c r="F3186" s="737" t="s">
        <v>8789</v>
      </c>
      <c r="G3186" s="636" t="s">
        <v>8790</v>
      </c>
      <c r="H3186" s="636" t="s">
        <v>10194</v>
      </c>
      <c r="I3186" s="636"/>
      <c r="J3186" s="644" t="s">
        <v>642</v>
      </c>
      <c r="K3186" s="739"/>
      <c r="L3186" s="754"/>
      <c r="M3186" s="735"/>
      <c r="N3186" s="753">
        <v>4</v>
      </c>
      <c r="O3186" s="754">
        <v>6</v>
      </c>
      <c r="P3186" s="736">
        <v>17689.8</v>
      </c>
      <c r="Q3186" s="214"/>
    </row>
    <row r="3187" spans="1:17" ht="12" customHeight="1" x14ac:dyDescent="0.2">
      <c r="A3187" s="735" t="s">
        <v>7733</v>
      </c>
      <c r="B3187" s="735" t="s">
        <v>2170</v>
      </c>
      <c r="C3187" s="735" t="s">
        <v>451</v>
      </c>
      <c r="D3187" s="644" t="s">
        <v>8032</v>
      </c>
      <c r="E3187" s="736">
        <v>1800</v>
      </c>
      <c r="F3187" s="737" t="s">
        <v>9051</v>
      </c>
      <c r="G3187" s="636" t="s">
        <v>9052</v>
      </c>
      <c r="H3187" s="636" t="s">
        <v>10194</v>
      </c>
      <c r="I3187" s="636" t="s">
        <v>2253</v>
      </c>
      <c r="J3187" s="644" t="s">
        <v>643</v>
      </c>
      <c r="K3187" s="739"/>
      <c r="L3187" s="754"/>
      <c r="M3187" s="735"/>
      <c r="N3187" s="753">
        <v>6</v>
      </c>
      <c r="O3187" s="754">
        <v>6</v>
      </c>
      <c r="P3187" s="736">
        <v>13344</v>
      </c>
      <c r="Q3187" s="214"/>
    </row>
    <row r="3188" spans="1:17" ht="12" customHeight="1" x14ac:dyDescent="0.2">
      <c r="A3188" s="735" t="s">
        <v>7733</v>
      </c>
      <c r="B3188" s="735" t="s">
        <v>2170</v>
      </c>
      <c r="C3188" s="735" t="s">
        <v>451</v>
      </c>
      <c r="D3188" s="644" t="s">
        <v>8149</v>
      </c>
      <c r="E3188" s="736">
        <v>2300</v>
      </c>
      <c r="F3188" s="737" t="s">
        <v>8859</v>
      </c>
      <c r="G3188" s="636" t="s">
        <v>8860</v>
      </c>
      <c r="H3188" s="636" t="s">
        <v>6778</v>
      </c>
      <c r="I3188" s="636" t="s">
        <v>4559</v>
      </c>
      <c r="J3188" s="644" t="s">
        <v>643</v>
      </c>
      <c r="K3188" s="739"/>
      <c r="L3188" s="754"/>
      <c r="M3188" s="735"/>
      <c r="N3188" s="753">
        <v>6</v>
      </c>
      <c r="O3188" s="754">
        <v>6</v>
      </c>
      <c r="P3188" s="736">
        <v>16489.8</v>
      </c>
      <c r="Q3188" s="214"/>
    </row>
    <row r="3189" spans="1:17" ht="12" customHeight="1" x14ac:dyDescent="0.2">
      <c r="A3189" s="735" t="s">
        <v>7733</v>
      </c>
      <c r="B3189" s="735" t="s">
        <v>2170</v>
      </c>
      <c r="C3189" s="735" t="s">
        <v>451</v>
      </c>
      <c r="D3189" s="644" t="s">
        <v>8404</v>
      </c>
      <c r="E3189" s="736">
        <v>1000</v>
      </c>
      <c r="F3189" s="737" t="s">
        <v>8405</v>
      </c>
      <c r="G3189" s="636" t="s">
        <v>8406</v>
      </c>
      <c r="H3189" s="636" t="s">
        <v>10194</v>
      </c>
      <c r="I3189" s="636"/>
      <c r="J3189" s="644" t="s">
        <v>643</v>
      </c>
      <c r="K3189" s="739"/>
      <c r="L3189" s="754"/>
      <c r="M3189" s="735"/>
      <c r="N3189" s="753">
        <v>6</v>
      </c>
      <c r="O3189" s="754">
        <v>6</v>
      </c>
      <c r="P3189" s="736">
        <v>7680</v>
      </c>
      <c r="Q3189" s="214"/>
    </row>
    <row r="3190" spans="1:17" ht="12" customHeight="1" x14ac:dyDescent="0.2">
      <c r="A3190" s="735" t="s">
        <v>7733</v>
      </c>
      <c r="B3190" s="735" t="s">
        <v>2170</v>
      </c>
      <c r="C3190" s="735" t="s">
        <v>451</v>
      </c>
      <c r="D3190" s="644" t="s">
        <v>8158</v>
      </c>
      <c r="E3190" s="736">
        <v>2300</v>
      </c>
      <c r="F3190" s="737" t="s">
        <v>8677</v>
      </c>
      <c r="G3190" s="636" t="s">
        <v>8678</v>
      </c>
      <c r="H3190" s="636" t="s">
        <v>10194</v>
      </c>
      <c r="I3190" s="636"/>
      <c r="J3190" s="644" t="s">
        <v>643</v>
      </c>
      <c r="K3190" s="739"/>
      <c r="L3190" s="754"/>
      <c r="M3190" s="735"/>
      <c r="N3190" s="753">
        <v>6</v>
      </c>
      <c r="O3190" s="754">
        <v>6</v>
      </c>
      <c r="P3190" s="736">
        <v>16489.8</v>
      </c>
      <c r="Q3190" s="214"/>
    </row>
    <row r="3191" spans="1:17" ht="12" customHeight="1" x14ac:dyDescent="0.2">
      <c r="A3191" s="735" t="s">
        <v>7733</v>
      </c>
      <c r="B3191" s="735" t="s">
        <v>2170</v>
      </c>
      <c r="C3191" s="735" t="s">
        <v>451</v>
      </c>
      <c r="D3191" s="644" t="s">
        <v>7855</v>
      </c>
      <c r="E3191" s="736">
        <v>2200</v>
      </c>
      <c r="F3191" s="737" t="s">
        <v>8466</v>
      </c>
      <c r="G3191" s="636" t="s">
        <v>8467</v>
      </c>
      <c r="H3191" s="636" t="s">
        <v>7858</v>
      </c>
      <c r="I3191" s="636" t="s">
        <v>7858</v>
      </c>
      <c r="J3191" s="644" t="s">
        <v>644</v>
      </c>
      <c r="K3191" s="739"/>
      <c r="L3191" s="754"/>
      <c r="M3191" s="735"/>
      <c r="N3191" s="753">
        <v>5</v>
      </c>
      <c r="O3191" s="754">
        <v>6</v>
      </c>
      <c r="P3191" s="736">
        <v>15889.8</v>
      </c>
      <c r="Q3191" s="214"/>
    </row>
    <row r="3192" spans="1:17" ht="12" customHeight="1" x14ac:dyDescent="0.2">
      <c r="A3192" s="735" t="s">
        <v>7733</v>
      </c>
      <c r="B3192" s="735" t="s">
        <v>2170</v>
      </c>
      <c r="C3192" s="735" t="s">
        <v>451</v>
      </c>
      <c r="D3192" s="644" t="s">
        <v>8404</v>
      </c>
      <c r="E3192" s="736">
        <v>1000</v>
      </c>
      <c r="F3192" s="737" t="s">
        <v>9957</v>
      </c>
      <c r="G3192" s="636" t="s">
        <v>9958</v>
      </c>
      <c r="H3192" s="636" t="s">
        <v>10194</v>
      </c>
      <c r="I3192" s="636"/>
      <c r="J3192" s="644" t="s">
        <v>644</v>
      </c>
      <c r="K3192" s="739"/>
      <c r="L3192" s="754"/>
      <c r="M3192" s="735"/>
      <c r="N3192" s="753">
        <v>5</v>
      </c>
      <c r="O3192" s="754">
        <v>6</v>
      </c>
      <c r="P3192" s="736">
        <v>7680</v>
      </c>
      <c r="Q3192" s="214"/>
    </row>
    <row r="3193" spans="1:17" ht="12" customHeight="1" x14ac:dyDescent="0.2">
      <c r="A3193" s="735" t="s">
        <v>7733</v>
      </c>
      <c r="B3193" s="735" t="s">
        <v>2170</v>
      </c>
      <c r="C3193" s="735" t="s">
        <v>451</v>
      </c>
      <c r="D3193" s="644" t="s">
        <v>7965</v>
      </c>
      <c r="E3193" s="736">
        <v>4000</v>
      </c>
      <c r="F3193" s="737" t="s">
        <v>9074</v>
      </c>
      <c r="G3193" s="636" t="s">
        <v>9075</v>
      </c>
      <c r="H3193" s="636" t="s">
        <v>7752</v>
      </c>
      <c r="I3193" s="636" t="s">
        <v>2179</v>
      </c>
      <c r="J3193" s="644" t="s">
        <v>642</v>
      </c>
      <c r="K3193" s="739"/>
      <c r="L3193" s="754"/>
      <c r="M3193" s="735"/>
      <c r="N3193" s="753">
        <v>5</v>
      </c>
      <c r="O3193" s="754">
        <v>6</v>
      </c>
      <c r="P3193" s="736">
        <v>26689.8</v>
      </c>
      <c r="Q3193" s="214"/>
    </row>
    <row r="3194" spans="1:17" ht="12" customHeight="1" x14ac:dyDescent="0.2">
      <c r="A3194" s="735" t="s">
        <v>7733</v>
      </c>
      <c r="B3194" s="735" t="s">
        <v>2170</v>
      </c>
      <c r="C3194" s="735" t="s">
        <v>451</v>
      </c>
      <c r="D3194" s="644" t="s">
        <v>8045</v>
      </c>
      <c r="E3194" s="736">
        <v>2000</v>
      </c>
      <c r="F3194" s="737" t="s">
        <v>8222</v>
      </c>
      <c r="G3194" s="636" t="s">
        <v>8223</v>
      </c>
      <c r="H3194" s="636" t="s">
        <v>8224</v>
      </c>
      <c r="I3194" s="636" t="s">
        <v>3760</v>
      </c>
      <c r="J3194" s="644" t="s">
        <v>644</v>
      </c>
      <c r="K3194" s="739"/>
      <c r="L3194" s="754"/>
      <c r="M3194" s="735"/>
      <c r="N3194" s="753">
        <v>5</v>
      </c>
      <c r="O3194" s="754">
        <v>6</v>
      </c>
      <c r="P3194" s="736">
        <v>14689.8</v>
      </c>
      <c r="Q3194" s="214"/>
    </row>
    <row r="3195" spans="1:17" ht="12" customHeight="1" x14ac:dyDescent="0.2">
      <c r="A3195" s="735" t="s">
        <v>7733</v>
      </c>
      <c r="B3195" s="735" t="s">
        <v>2170</v>
      </c>
      <c r="C3195" s="735" t="s">
        <v>451</v>
      </c>
      <c r="D3195" s="644" t="s">
        <v>2381</v>
      </c>
      <c r="E3195" s="736">
        <v>1800</v>
      </c>
      <c r="F3195" s="737" t="s">
        <v>8540</v>
      </c>
      <c r="G3195" s="636" t="s">
        <v>8541</v>
      </c>
      <c r="H3195" s="636" t="s">
        <v>6778</v>
      </c>
      <c r="I3195" s="636" t="s">
        <v>7874</v>
      </c>
      <c r="J3195" s="644" t="s">
        <v>643</v>
      </c>
      <c r="K3195" s="739"/>
      <c r="L3195" s="754"/>
      <c r="M3195" s="735"/>
      <c r="N3195" s="753">
        <v>4</v>
      </c>
      <c r="O3195" s="754">
        <v>6</v>
      </c>
      <c r="P3195" s="736">
        <v>13344</v>
      </c>
      <c r="Q3195" s="214"/>
    </row>
    <row r="3196" spans="1:17" ht="12" customHeight="1" x14ac:dyDescent="0.2">
      <c r="A3196" s="735" t="s">
        <v>7733</v>
      </c>
      <c r="B3196" s="735" t="s">
        <v>2170</v>
      </c>
      <c r="C3196" s="735" t="s">
        <v>451</v>
      </c>
      <c r="D3196" s="644" t="s">
        <v>7817</v>
      </c>
      <c r="E3196" s="736">
        <v>1500</v>
      </c>
      <c r="F3196" s="737" t="s">
        <v>9916</v>
      </c>
      <c r="G3196" s="636" t="s">
        <v>9917</v>
      </c>
      <c r="H3196" s="636" t="s">
        <v>7752</v>
      </c>
      <c r="I3196" s="636" t="s">
        <v>7911</v>
      </c>
      <c r="J3196" s="644" t="s">
        <v>643</v>
      </c>
      <c r="K3196" s="739"/>
      <c r="L3196" s="754"/>
      <c r="M3196" s="735"/>
      <c r="N3196" s="753">
        <v>1</v>
      </c>
      <c r="O3196" s="754">
        <v>1</v>
      </c>
      <c r="P3196" s="736">
        <v>3720</v>
      </c>
      <c r="Q3196" s="214"/>
    </row>
    <row r="3197" spans="1:17" ht="12" customHeight="1" x14ac:dyDescent="0.2">
      <c r="A3197" s="735" t="s">
        <v>7733</v>
      </c>
      <c r="B3197" s="735" t="s">
        <v>2170</v>
      </c>
      <c r="C3197" s="735" t="s">
        <v>451</v>
      </c>
      <c r="D3197" s="644" t="s">
        <v>7855</v>
      </c>
      <c r="E3197" s="736">
        <v>2200</v>
      </c>
      <c r="F3197" s="737" t="s">
        <v>8258</v>
      </c>
      <c r="G3197" s="636" t="s">
        <v>8259</v>
      </c>
      <c r="H3197" s="636" t="s">
        <v>7916</v>
      </c>
      <c r="I3197" s="636" t="s">
        <v>7917</v>
      </c>
      <c r="J3197" s="644" t="s">
        <v>642</v>
      </c>
      <c r="K3197" s="739"/>
      <c r="L3197" s="754"/>
      <c r="M3197" s="735"/>
      <c r="N3197" s="753">
        <v>4</v>
      </c>
      <c r="O3197" s="754">
        <v>6</v>
      </c>
      <c r="P3197" s="736">
        <v>15889.8</v>
      </c>
      <c r="Q3197" s="214"/>
    </row>
    <row r="3198" spans="1:17" ht="12" customHeight="1" x14ac:dyDescent="0.2">
      <c r="A3198" s="735" t="s">
        <v>7733</v>
      </c>
      <c r="B3198" s="735" t="s">
        <v>2170</v>
      </c>
      <c r="C3198" s="735" t="s">
        <v>451</v>
      </c>
      <c r="D3198" s="644" t="s">
        <v>2788</v>
      </c>
      <c r="E3198" s="736">
        <v>1600</v>
      </c>
      <c r="F3198" s="737" t="s">
        <v>8291</v>
      </c>
      <c r="G3198" s="636" t="s">
        <v>8292</v>
      </c>
      <c r="H3198" s="636" t="s">
        <v>6778</v>
      </c>
      <c r="I3198" s="636" t="s">
        <v>3092</v>
      </c>
      <c r="J3198" s="644" t="s">
        <v>643</v>
      </c>
      <c r="K3198" s="739"/>
      <c r="L3198" s="754"/>
      <c r="M3198" s="735"/>
      <c r="N3198" s="753">
        <v>4</v>
      </c>
      <c r="O3198" s="754">
        <v>6</v>
      </c>
      <c r="P3198" s="736">
        <v>11928</v>
      </c>
      <c r="Q3198" s="214"/>
    </row>
    <row r="3199" spans="1:17" ht="12" customHeight="1" x14ac:dyDescent="0.2">
      <c r="A3199" s="735" t="s">
        <v>7733</v>
      </c>
      <c r="B3199" s="735" t="s">
        <v>2170</v>
      </c>
      <c r="C3199" s="735" t="s">
        <v>451</v>
      </c>
      <c r="D3199" s="644" t="s">
        <v>7746</v>
      </c>
      <c r="E3199" s="736">
        <v>2200</v>
      </c>
      <c r="F3199" s="737" t="s">
        <v>9446</v>
      </c>
      <c r="G3199" s="636" t="s">
        <v>9447</v>
      </c>
      <c r="H3199" s="636" t="s">
        <v>7850</v>
      </c>
      <c r="I3199" s="636" t="s">
        <v>8036</v>
      </c>
      <c r="J3199" s="644" t="s">
        <v>643</v>
      </c>
      <c r="K3199" s="739"/>
      <c r="L3199" s="754"/>
      <c r="M3199" s="735"/>
      <c r="N3199" s="753">
        <v>4</v>
      </c>
      <c r="O3199" s="754">
        <v>6</v>
      </c>
      <c r="P3199" s="736">
        <v>15889.8</v>
      </c>
      <c r="Q3199" s="214"/>
    </row>
    <row r="3200" spans="1:17" ht="12" customHeight="1" x14ac:dyDescent="0.2">
      <c r="A3200" s="735" t="s">
        <v>7733</v>
      </c>
      <c r="B3200" s="735" t="s">
        <v>2170</v>
      </c>
      <c r="C3200" s="735" t="s">
        <v>451</v>
      </c>
      <c r="D3200" s="644" t="s">
        <v>2781</v>
      </c>
      <c r="E3200" s="736">
        <v>1800</v>
      </c>
      <c r="F3200" s="737" t="s">
        <v>8501</v>
      </c>
      <c r="G3200" s="636" t="s">
        <v>8502</v>
      </c>
      <c r="H3200" s="636" t="s">
        <v>10194</v>
      </c>
      <c r="I3200" s="636"/>
      <c r="J3200" s="644" t="s">
        <v>643</v>
      </c>
      <c r="K3200" s="739"/>
      <c r="L3200" s="754"/>
      <c r="M3200" s="735"/>
      <c r="N3200" s="753">
        <v>4</v>
      </c>
      <c r="O3200" s="754">
        <v>6</v>
      </c>
      <c r="P3200" s="736">
        <v>13344</v>
      </c>
      <c r="Q3200" s="214"/>
    </row>
    <row r="3201" spans="1:17" ht="12" customHeight="1" x14ac:dyDescent="0.2">
      <c r="A3201" s="735" t="s">
        <v>7733</v>
      </c>
      <c r="B3201" s="735" t="s">
        <v>2170</v>
      </c>
      <c r="C3201" s="735" t="s">
        <v>451</v>
      </c>
      <c r="D3201" s="644" t="s">
        <v>7904</v>
      </c>
      <c r="E3201" s="736">
        <v>3000</v>
      </c>
      <c r="F3201" s="737" t="s">
        <v>9120</v>
      </c>
      <c r="G3201" s="636" t="s">
        <v>9121</v>
      </c>
      <c r="H3201" s="636" t="s">
        <v>8315</v>
      </c>
      <c r="I3201" s="636" t="s">
        <v>7917</v>
      </c>
      <c r="J3201" s="644" t="s">
        <v>643</v>
      </c>
      <c r="K3201" s="739"/>
      <c r="L3201" s="754"/>
      <c r="M3201" s="735"/>
      <c r="N3201" s="753">
        <v>4</v>
      </c>
      <c r="O3201" s="754">
        <v>6</v>
      </c>
      <c r="P3201" s="736">
        <v>20689.8</v>
      </c>
      <c r="Q3201" s="214"/>
    </row>
    <row r="3202" spans="1:17" ht="12" customHeight="1" x14ac:dyDescent="0.2">
      <c r="A3202" s="735" t="s">
        <v>7733</v>
      </c>
      <c r="B3202" s="735" t="s">
        <v>2170</v>
      </c>
      <c r="C3202" s="735" t="s">
        <v>451</v>
      </c>
      <c r="D3202" s="644" t="s">
        <v>8165</v>
      </c>
      <c r="E3202" s="736">
        <v>4000</v>
      </c>
      <c r="F3202" s="737" t="s">
        <v>9588</v>
      </c>
      <c r="G3202" s="636" t="s">
        <v>9589</v>
      </c>
      <c r="H3202" s="636"/>
      <c r="I3202" s="636"/>
      <c r="J3202" s="644" t="s">
        <v>642</v>
      </c>
      <c r="K3202" s="739"/>
      <c r="L3202" s="754"/>
      <c r="M3202" s="735"/>
      <c r="N3202" s="753">
        <v>4</v>
      </c>
      <c r="O3202" s="754">
        <v>6</v>
      </c>
      <c r="P3202" s="736">
        <v>26689.8</v>
      </c>
      <c r="Q3202" s="214"/>
    </row>
    <row r="3203" spans="1:17" ht="12" customHeight="1" x14ac:dyDescent="0.2">
      <c r="A3203" s="735" t="s">
        <v>7733</v>
      </c>
      <c r="B3203" s="735" t="s">
        <v>2170</v>
      </c>
      <c r="C3203" s="735" t="s">
        <v>451</v>
      </c>
      <c r="D3203" s="644" t="s">
        <v>8551</v>
      </c>
      <c r="E3203" s="736">
        <v>5000</v>
      </c>
      <c r="F3203" s="737" t="s">
        <v>9631</v>
      </c>
      <c r="G3203" s="636" t="s">
        <v>9632</v>
      </c>
      <c r="H3203" s="636" t="s">
        <v>9633</v>
      </c>
      <c r="I3203" s="636" t="s">
        <v>4740</v>
      </c>
      <c r="J3203" s="644" t="s">
        <v>642</v>
      </c>
      <c r="K3203" s="739"/>
      <c r="L3203" s="754"/>
      <c r="M3203" s="735"/>
      <c r="N3203" s="753">
        <v>4</v>
      </c>
      <c r="O3203" s="754">
        <v>6</v>
      </c>
      <c r="P3203" s="736">
        <v>32689.8</v>
      </c>
      <c r="Q3203" s="214"/>
    </row>
    <row r="3204" spans="1:17" ht="12" customHeight="1" x14ac:dyDescent="0.2">
      <c r="A3204" s="735" t="s">
        <v>7733</v>
      </c>
      <c r="B3204" s="735" t="s">
        <v>2170</v>
      </c>
      <c r="C3204" s="735" t="s">
        <v>451</v>
      </c>
      <c r="D3204" s="644" t="s">
        <v>8061</v>
      </c>
      <c r="E3204" s="736">
        <v>4000</v>
      </c>
      <c r="F3204" s="737" t="s">
        <v>8062</v>
      </c>
      <c r="G3204" s="636" t="s">
        <v>8063</v>
      </c>
      <c r="H3204" s="636" t="s">
        <v>8064</v>
      </c>
      <c r="I3204" s="636" t="s">
        <v>8064</v>
      </c>
      <c r="J3204" s="644" t="s">
        <v>642</v>
      </c>
      <c r="K3204" s="739"/>
      <c r="L3204" s="754"/>
      <c r="M3204" s="735"/>
      <c r="N3204" s="753">
        <v>4</v>
      </c>
      <c r="O3204" s="754">
        <v>6</v>
      </c>
      <c r="P3204" s="736">
        <v>26689.8</v>
      </c>
      <c r="Q3204" s="214"/>
    </row>
    <row r="3205" spans="1:17" ht="12" customHeight="1" x14ac:dyDescent="0.2">
      <c r="A3205" s="735" t="s">
        <v>7733</v>
      </c>
      <c r="B3205" s="735" t="s">
        <v>2170</v>
      </c>
      <c r="C3205" s="735" t="s">
        <v>451</v>
      </c>
      <c r="D3205" s="644" t="s">
        <v>9399</v>
      </c>
      <c r="E3205" s="736">
        <v>2900</v>
      </c>
      <c r="F3205" s="737" t="s">
        <v>9547</v>
      </c>
      <c r="G3205" s="636" t="s">
        <v>9548</v>
      </c>
      <c r="H3205" s="636" t="s">
        <v>10194</v>
      </c>
      <c r="I3205" s="636"/>
      <c r="J3205" s="644" t="s">
        <v>643</v>
      </c>
      <c r="K3205" s="739"/>
      <c r="L3205" s="754"/>
      <c r="M3205" s="735"/>
      <c r="N3205" s="753">
        <v>4</v>
      </c>
      <c r="O3205" s="754">
        <v>6</v>
      </c>
      <c r="P3205" s="736">
        <v>20089.8</v>
      </c>
      <c r="Q3205" s="214"/>
    </row>
    <row r="3206" spans="1:17" ht="12" customHeight="1" x14ac:dyDescent="0.2">
      <c r="A3206" s="735" t="s">
        <v>7733</v>
      </c>
      <c r="B3206" s="735" t="s">
        <v>2170</v>
      </c>
      <c r="C3206" s="735" t="s">
        <v>451</v>
      </c>
      <c r="D3206" s="644" t="s">
        <v>4885</v>
      </c>
      <c r="E3206" s="736">
        <v>5500</v>
      </c>
      <c r="F3206" s="737" t="s">
        <v>9221</v>
      </c>
      <c r="G3206" s="636" t="s">
        <v>9222</v>
      </c>
      <c r="H3206" s="636" t="s">
        <v>8135</v>
      </c>
      <c r="I3206" s="636" t="s">
        <v>8323</v>
      </c>
      <c r="J3206" s="644" t="s">
        <v>642</v>
      </c>
      <c r="K3206" s="739"/>
      <c r="L3206" s="754"/>
      <c r="M3206" s="735"/>
      <c r="N3206" s="753">
        <v>4</v>
      </c>
      <c r="O3206" s="754">
        <v>6</v>
      </c>
      <c r="P3206" s="736">
        <v>35689.800000000003</v>
      </c>
      <c r="Q3206" s="214"/>
    </row>
    <row r="3207" spans="1:17" ht="12" customHeight="1" x14ac:dyDescent="0.2">
      <c r="A3207" s="735" t="s">
        <v>7733</v>
      </c>
      <c r="B3207" s="735" t="s">
        <v>2170</v>
      </c>
      <c r="C3207" s="735" t="s">
        <v>451</v>
      </c>
      <c r="D3207" s="644" t="s">
        <v>9383</v>
      </c>
      <c r="E3207" s="736">
        <v>2000</v>
      </c>
      <c r="F3207" s="737" t="s">
        <v>9384</v>
      </c>
      <c r="G3207" s="636" t="s">
        <v>9385</v>
      </c>
      <c r="H3207" s="636" t="s">
        <v>10194</v>
      </c>
      <c r="I3207" s="636"/>
      <c r="J3207" s="644" t="s">
        <v>644</v>
      </c>
      <c r="K3207" s="739"/>
      <c r="L3207" s="754"/>
      <c r="M3207" s="735"/>
      <c r="N3207" s="753">
        <v>4</v>
      </c>
      <c r="O3207" s="754">
        <v>6</v>
      </c>
      <c r="P3207" s="736">
        <v>14689.8</v>
      </c>
      <c r="Q3207" s="214"/>
    </row>
    <row r="3208" spans="1:17" ht="12" customHeight="1" x14ac:dyDescent="0.2">
      <c r="A3208" s="735" t="s">
        <v>7733</v>
      </c>
      <c r="B3208" s="735" t="s">
        <v>2170</v>
      </c>
      <c r="C3208" s="735" t="s">
        <v>451</v>
      </c>
      <c r="D3208" s="644" t="s">
        <v>10152</v>
      </c>
      <c r="E3208" s="736">
        <v>4000</v>
      </c>
      <c r="F3208" s="737" t="s">
        <v>10153</v>
      </c>
      <c r="G3208" s="636" t="s">
        <v>10154</v>
      </c>
      <c r="H3208" s="636" t="s">
        <v>7772</v>
      </c>
      <c r="I3208" s="636" t="s">
        <v>8075</v>
      </c>
      <c r="J3208" s="644" t="s">
        <v>642</v>
      </c>
      <c r="K3208" s="739"/>
      <c r="L3208" s="754"/>
      <c r="M3208" s="735"/>
      <c r="N3208" s="753">
        <v>4</v>
      </c>
      <c r="O3208" s="754">
        <v>6</v>
      </c>
      <c r="P3208" s="736">
        <v>26689.8</v>
      </c>
      <c r="Q3208" s="214"/>
    </row>
    <row r="3209" spans="1:17" ht="12" customHeight="1" x14ac:dyDescent="0.2">
      <c r="A3209" s="735" t="s">
        <v>7733</v>
      </c>
      <c r="B3209" s="735" t="s">
        <v>2170</v>
      </c>
      <c r="C3209" s="735" t="s">
        <v>451</v>
      </c>
      <c r="D3209" s="644" t="s">
        <v>9143</v>
      </c>
      <c r="E3209" s="736">
        <v>2500</v>
      </c>
      <c r="F3209" s="737" t="s">
        <v>9599</v>
      </c>
      <c r="G3209" s="636" t="s">
        <v>9600</v>
      </c>
      <c r="H3209" s="636" t="s">
        <v>2979</v>
      </c>
      <c r="I3209" s="636" t="s">
        <v>2979</v>
      </c>
      <c r="J3209" s="644" t="s">
        <v>643</v>
      </c>
      <c r="K3209" s="739"/>
      <c r="L3209" s="754"/>
      <c r="M3209" s="735"/>
      <c r="N3209" s="753">
        <v>4</v>
      </c>
      <c r="O3209" s="754">
        <v>6</v>
      </c>
      <c r="P3209" s="736">
        <v>17689.8</v>
      </c>
      <c r="Q3209" s="214"/>
    </row>
    <row r="3210" spans="1:17" ht="12" customHeight="1" x14ac:dyDescent="0.2">
      <c r="A3210" s="735" t="s">
        <v>7733</v>
      </c>
      <c r="B3210" s="735" t="s">
        <v>2170</v>
      </c>
      <c r="C3210" s="735" t="s">
        <v>451</v>
      </c>
      <c r="D3210" s="644" t="s">
        <v>8414</v>
      </c>
      <c r="E3210" s="736">
        <v>2500</v>
      </c>
      <c r="F3210" s="737" t="s">
        <v>8415</v>
      </c>
      <c r="G3210" s="636" t="s">
        <v>8416</v>
      </c>
      <c r="H3210" s="636"/>
      <c r="I3210" s="636"/>
      <c r="J3210" s="644" t="s">
        <v>643</v>
      </c>
      <c r="K3210" s="739"/>
      <c r="L3210" s="754"/>
      <c r="M3210" s="735"/>
      <c r="N3210" s="753">
        <v>4</v>
      </c>
      <c r="O3210" s="754">
        <v>6</v>
      </c>
      <c r="P3210" s="736">
        <v>17689.8</v>
      </c>
      <c r="Q3210" s="214"/>
    </row>
    <row r="3211" spans="1:17" ht="12" customHeight="1" x14ac:dyDescent="0.2">
      <c r="A3211" s="735" t="s">
        <v>7733</v>
      </c>
      <c r="B3211" s="735" t="s">
        <v>2170</v>
      </c>
      <c r="C3211" s="735" t="s">
        <v>451</v>
      </c>
      <c r="D3211" s="644" t="s">
        <v>7736</v>
      </c>
      <c r="E3211" s="736">
        <v>2000</v>
      </c>
      <c r="F3211" s="737" t="s">
        <v>7737</v>
      </c>
      <c r="G3211" s="636" t="s">
        <v>7738</v>
      </c>
      <c r="H3211" s="636" t="s">
        <v>7739</v>
      </c>
      <c r="I3211" s="636"/>
      <c r="J3211" s="644" t="s">
        <v>642</v>
      </c>
      <c r="K3211" s="739"/>
      <c r="L3211" s="754"/>
      <c r="M3211" s="735"/>
      <c r="N3211" s="753">
        <v>4</v>
      </c>
      <c r="O3211" s="754">
        <v>6</v>
      </c>
      <c r="P3211" s="736">
        <v>14689.8</v>
      </c>
      <c r="Q3211" s="214"/>
    </row>
    <row r="3212" spans="1:17" ht="12" customHeight="1" x14ac:dyDescent="0.2">
      <c r="A3212" s="735" t="s">
        <v>7733</v>
      </c>
      <c r="B3212" s="735" t="s">
        <v>2170</v>
      </c>
      <c r="C3212" s="735" t="s">
        <v>451</v>
      </c>
      <c r="D3212" s="644" t="s">
        <v>7871</v>
      </c>
      <c r="E3212" s="736">
        <v>4000</v>
      </c>
      <c r="F3212" s="737" t="s">
        <v>8962</v>
      </c>
      <c r="G3212" s="636" t="s">
        <v>8963</v>
      </c>
      <c r="H3212" s="636" t="s">
        <v>7782</v>
      </c>
      <c r="I3212" s="636" t="s">
        <v>2208</v>
      </c>
      <c r="J3212" s="644" t="s">
        <v>642</v>
      </c>
      <c r="K3212" s="739"/>
      <c r="L3212" s="754"/>
      <c r="M3212" s="735"/>
      <c r="N3212" s="753">
        <v>6</v>
      </c>
      <c r="O3212" s="754">
        <v>6</v>
      </c>
      <c r="P3212" s="736">
        <v>26689.8</v>
      </c>
      <c r="Q3212" s="214"/>
    </row>
    <row r="3213" spans="1:17" ht="12" customHeight="1" x14ac:dyDescent="0.2">
      <c r="A3213" s="735" t="s">
        <v>7733</v>
      </c>
      <c r="B3213" s="735" t="s">
        <v>2170</v>
      </c>
      <c r="C3213" s="735" t="s">
        <v>451</v>
      </c>
      <c r="D3213" s="644" t="s">
        <v>8045</v>
      </c>
      <c r="E3213" s="736">
        <v>2200</v>
      </c>
      <c r="F3213" s="737" t="s">
        <v>9560</v>
      </c>
      <c r="G3213" s="636" t="s">
        <v>9561</v>
      </c>
      <c r="H3213" s="636" t="s">
        <v>8700</v>
      </c>
      <c r="I3213" s="636" t="s">
        <v>9536</v>
      </c>
      <c r="J3213" s="644" t="s">
        <v>643</v>
      </c>
      <c r="K3213" s="739"/>
      <c r="L3213" s="754"/>
      <c r="M3213" s="735"/>
      <c r="N3213" s="753">
        <v>4</v>
      </c>
      <c r="O3213" s="754">
        <v>6</v>
      </c>
      <c r="P3213" s="736">
        <v>15889.8</v>
      </c>
      <c r="Q3213" s="214"/>
    </row>
    <row r="3214" spans="1:17" ht="12" customHeight="1" x14ac:dyDescent="0.2">
      <c r="A3214" s="735" t="s">
        <v>7733</v>
      </c>
      <c r="B3214" s="735" t="s">
        <v>2170</v>
      </c>
      <c r="C3214" s="735" t="s">
        <v>451</v>
      </c>
      <c r="D3214" s="644" t="s">
        <v>7746</v>
      </c>
      <c r="E3214" s="736">
        <v>2200</v>
      </c>
      <c r="F3214" s="737" t="s">
        <v>8571</v>
      </c>
      <c r="G3214" s="636" t="s">
        <v>8572</v>
      </c>
      <c r="H3214" s="636" t="s">
        <v>8573</v>
      </c>
      <c r="I3214" s="636" t="s">
        <v>8573</v>
      </c>
      <c r="J3214" s="644" t="s">
        <v>643</v>
      </c>
      <c r="K3214" s="739"/>
      <c r="L3214" s="754"/>
      <c r="M3214" s="735"/>
      <c r="N3214" s="753">
        <v>4</v>
      </c>
      <c r="O3214" s="754">
        <v>6</v>
      </c>
      <c r="P3214" s="736">
        <v>15889.8</v>
      </c>
      <c r="Q3214" s="214"/>
    </row>
    <row r="3215" spans="1:17" ht="12" customHeight="1" x14ac:dyDescent="0.2">
      <c r="A3215" s="735" t="s">
        <v>7733</v>
      </c>
      <c r="B3215" s="735" t="s">
        <v>2170</v>
      </c>
      <c r="C3215" s="735" t="s">
        <v>451</v>
      </c>
      <c r="D3215" s="644" t="s">
        <v>8430</v>
      </c>
      <c r="E3215" s="736">
        <v>4500</v>
      </c>
      <c r="F3215" s="737" t="s">
        <v>8431</v>
      </c>
      <c r="G3215" s="636" t="s">
        <v>8432</v>
      </c>
      <c r="H3215" s="636" t="s">
        <v>7752</v>
      </c>
      <c r="I3215" s="636" t="s">
        <v>2179</v>
      </c>
      <c r="J3215" s="644" t="s">
        <v>642</v>
      </c>
      <c r="K3215" s="739"/>
      <c r="L3215" s="754"/>
      <c r="M3215" s="735"/>
      <c r="N3215" s="753">
        <v>4</v>
      </c>
      <c r="O3215" s="754">
        <v>6</v>
      </c>
      <c r="P3215" s="736">
        <v>29689.8</v>
      </c>
      <c r="Q3215" s="214"/>
    </row>
    <row r="3216" spans="1:17" ht="12" customHeight="1" x14ac:dyDescent="0.2">
      <c r="A3216" s="735" t="s">
        <v>7733</v>
      </c>
      <c r="B3216" s="735" t="s">
        <v>2170</v>
      </c>
      <c r="C3216" s="735" t="s">
        <v>451</v>
      </c>
      <c r="D3216" s="644" t="s">
        <v>2560</v>
      </c>
      <c r="E3216" s="736">
        <v>2500</v>
      </c>
      <c r="F3216" s="737" t="s">
        <v>8138</v>
      </c>
      <c r="G3216" s="636" t="s">
        <v>8139</v>
      </c>
      <c r="H3216" s="636" t="s">
        <v>8140</v>
      </c>
      <c r="I3216" s="636" t="s">
        <v>8036</v>
      </c>
      <c r="J3216" s="644" t="s">
        <v>643</v>
      </c>
      <c r="K3216" s="739"/>
      <c r="L3216" s="754"/>
      <c r="M3216" s="735"/>
      <c r="N3216" s="753">
        <v>4</v>
      </c>
      <c r="O3216" s="754">
        <v>6</v>
      </c>
      <c r="P3216" s="736">
        <v>17689.8</v>
      </c>
      <c r="Q3216" s="214"/>
    </row>
    <row r="3217" spans="1:17" ht="12" customHeight="1" x14ac:dyDescent="0.2">
      <c r="A3217" s="735" t="s">
        <v>7733</v>
      </c>
      <c r="B3217" s="735" t="s">
        <v>2170</v>
      </c>
      <c r="C3217" s="735" t="s">
        <v>451</v>
      </c>
      <c r="D3217" s="644" t="s">
        <v>9697</v>
      </c>
      <c r="E3217" s="736">
        <v>6000</v>
      </c>
      <c r="F3217" s="737" t="s">
        <v>9698</v>
      </c>
      <c r="G3217" s="636" t="s">
        <v>9699</v>
      </c>
      <c r="H3217" s="636" t="s">
        <v>9700</v>
      </c>
      <c r="I3217" s="636" t="s">
        <v>2787</v>
      </c>
      <c r="J3217" s="644" t="s">
        <v>642</v>
      </c>
      <c r="K3217" s="739"/>
      <c r="L3217" s="754"/>
      <c r="M3217" s="735"/>
      <c r="N3217" s="753">
        <v>4</v>
      </c>
      <c r="O3217" s="754">
        <v>6</v>
      </c>
      <c r="P3217" s="736">
        <v>38689.800000000003</v>
      </c>
      <c r="Q3217" s="214"/>
    </row>
    <row r="3218" spans="1:17" ht="12" customHeight="1" x14ac:dyDescent="0.2">
      <c r="A3218" s="735" t="s">
        <v>7733</v>
      </c>
      <c r="B3218" s="735" t="s">
        <v>2170</v>
      </c>
      <c r="C3218" s="735" t="s">
        <v>451</v>
      </c>
      <c r="D3218" s="644" t="s">
        <v>8260</v>
      </c>
      <c r="E3218" s="736">
        <v>6000</v>
      </c>
      <c r="F3218" s="737" t="s">
        <v>8261</v>
      </c>
      <c r="G3218" s="636" t="s">
        <v>8262</v>
      </c>
      <c r="H3218" s="636" t="s">
        <v>8000</v>
      </c>
      <c r="I3218" s="636" t="s">
        <v>7835</v>
      </c>
      <c r="J3218" s="644" t="s">
        <v>642</v>
      </c>
      <c r="K3218" s="739"/>
      <c r="L3218" s="754"/>
      <c r="M3218" s="735"/>
      <c r="N3218" s="753">
        <v>4</v>
      </c>
      <c r="O3218" s="754">
        <v>6</v>
      </c>
      <c r="P3218" s="736">
        <v>38689.800000000003</v>
      </c>
      <c r="Q3218" s="214"/>
    </row>
    <row r="3219" spans="1:17" ht="12" customHeight="1" x14ac:dyDescent="0.2">
      <c r="A3219" s="735" t="s">
        <v>7733</v>
      </c>
      <c r="B3219" s="735" t="s">
        <v>2170</v>
      </c>
      <c r="C3219" s="735" t="s">
        <v>451</v>
      </c>
      <c r="D3219" s="644" t="s">
        <v>8288</v>
      </c>
      <c r="E3219" s="736">
        <v>3000</v>
      </c>
      <c r="F3219" s="737" t="s">
        <v>9127</v>
      </c>
      <c r="G3219" s="636" t="s">
        <v>9128</v>
      </c>
      <c r="H3219" s="636" t="s">
        <v>6848</v>
      </c>
      <c r="I3219" s="636" t="s">
        <v>2602</v>
      </c>
      <c r="J3219" s="644" t="s">
        <v>643</v>
      </c>
      <c r="K3219" s="739"/>
      <c r="L3219" s="754"/>
      <c r="M3219" s="735"/>
      <c r="N3219" s="753">
        <v>4</v>
      </c>
      <c r="O3219" s="754">
        <v>6</v>
      </c>
      <c r="P3219" s="736">
        <v>20689.8</v>
      </c>
      <c r="Q3219" s="214"/>
    </row>
    <row r="3220" spans="1:17" ht="12" customHeight="1" x14ac:dyDescent="0.2">
      <c r="A3220" s="735" t="s">
        <v>7733</v>
      </c>
      <c r="B3220" s="735" t="s">
        <v>2170</v>
      </c>
      <c r="C3220" s="735" t="s">
        <v>451</v>
      </c>
      <c r="D3220" s="644" t="s">
        <v>5832</v>
      </c>
      <c r="E3220" s="736">
        <v>3500</v>
      </c>
      <c r="F3220" s="737" t="s">
        <v>8652</v>
      </c>
      <c r="G3220" s="636" t="s">
        <v>8653</v>
      </c>
      <c r="H3220" s="636"/>
      <c r="I3220" s="636"/>
      <c r="J3220" s="644" t="s">
        <v>644</v>
      </c>
      <c r="K3220" s="739"/>
      <c r="L3220" s="754"/>
      <c r="M3220" s="735"/>
      <c r="N3220" s="753">
        <v>4</v>
      </c>
      <c r="O3220" s="754">
        <v>6</v>
      </c>
      <c r="P3220" s="736">
        <v>23689.8</v>
      </c>
      <c r="Q3220" s="214"/>
    </row>
    <row r="3221" spans="1:17" ht="12" customHeight="1" x14ac:dyDescent="0.2">
      <c r="A3221" s="735" t="s">
        <v>7733</v>
      </c>
      <c r="B3221" s="735" t="s">
        <v>2170</v>
      </c>
      <c r="C3221" s="735" t="s">
        <v>451</v>
      </c>
      <c r="D3221" s="644" t="s">
        <v>7855</v>
      </c>
      <c r="E3221" s="736">
        <v>2200</v>
      </c>
      <c r="F3221" s="737" t="s">
        <v>8664</v>
      </c>
      <c r="G3221" s="636" t="s">
        <v>8665</v>
      </c>
      <c r="H3221" s="636" t="s">
        <v>8135</v>
      </c>
      <c r="I3221" s="636" t="s">
        <v>8135</v>
      </c>
      <c r="J3221" s="644" t="s">
        <v>644</v>
      </c>
      <c r="K3221" s="739"/>
      <c r="L3221" s="754"/>
      <c r="M3221" s="735"/>
      <c r="N3221" s="753">
        <v>4</v>
      </c>
      <c r="O3221" s="754">
        <v>6</v>
      </c>
      <c r="P3221" s="736">
        <v>15889.8</v>
      </c>
      <c r="Q3221" s="214"/>
    </row>
    <row r="3222" spans="1:17" ht="12" customHeight="1" x14ac:dyDescent="0.2">
      <c r="A3222" s="735" t="s">
        <v>7733</v>
      </c>
      <c r="B3222" s="735" t="s">
        <v>2170</v>
      </c>
      <c r="C3222" s="735" t="s">
        <v>451</v>
      </c>
      <c r="D3222" s="644" t="s">
        <v>8367</v>
      </c>
      <c r="E3222" s="736">
        <v>2300</v>
      </c>
      <c r="F3222" s="737" t="s">
        <v>8814</v>
      </c>
      <c r="G3222" s="636" t="s">
        <v>8815</v>
      </c>
      <c r="H3222" s="636" t="s">
        <v>2745</v>
      </c>
      <c r="I3222" s="636" t="s">
        <v>2745</v>
      </c>
      <c r="J3222" s="644" t="s">
        <v>643</v>
      </c>
      <c r="K3222" s="739"/>
      <c r="L3222" s="754"/>
      <c r="M3222" s="735"/>
      <c r="N3222" s="753">
        <v>4</v>
      </c>
      <c r="O3222" s="754">
        <v>6</v>
      </c>
      <c r="P3222" s="736">
        <v>16489.8</v>
      </c>
      <c r="Q3222" s="214"/>
    </row>
    <row r="3223" spans="1:17" ht="12" customHeight="1" x14ac:dyDescent="0.2">
      <c r="A3223" s="735" t="s">
        <v>7733</v>
      </c>
      <c r="B3223" s="735" t="s">
        <v>2170</v>
      </c>
      <c r="C3223" s="735" t="s">
        <v>451</v>
      </c>
      <c r="D3223" s="644" t="s">
        <v>7817</v>
      </c>
      <c r="E3223" s="736">
        <v>2500</v>
      </c>
      <c r="F3223" s="737" t="s">
        <v>8087</v>
      </c>
      <c r="G3223" s="636" t="s">
        <v>8088</v>
      </c>
      <c r="H3223" s="636" t="s">
        <v>8089</v>
      </c>
      <c r="I3223" s="636" t="s">
        <v>8090</v>
      </c>
      <c r="J3223" s="644" t="s">
        <v>643</v>
      </c>
      <c r="K3223" s="739"/>
      <c r="L3223" s="754"/>
      <c r="M3223" s="735"/>
      <c r="N3223" s="753">
        <v>4</v>
      </c>
      <c r="O3223" s="754">
        <v>6</v>
      </c>
      <c r="P3223" s="736">
        <v>17689.8</v>
      </c>
      <c r="Q3223" s="214"/>
    </row>
    <row r="3224" spans="1:17" ht="12" customHeight="1" x14ac:dyDescent="0.2">
      <c r="A3224" s="735" t="s">
        <v>7733</v>
      </c>
      <c r="B3224" s="735" t="s">
        <v>2170</v>
      </c>
      <c r="C3224" s="735" t="s">
        <v>451</v>
      </c>
      <c r="D3224" s="644" t="s">
        <v>2560</v>
      </c>
      <c r="E3224" s="736">
        <v>2500</v>
      </c>
      <c r="F3224" s="737" t="s">
        <v>9003</v>
      </c>
      <c r="G3224" s="636" t="s">
        <v>9004</v>
      </c>
      <c r="H3224" s="636" t="s">
        <v>8089</v>
      </c>
      <c r="I3224" s="636" t="s">
        <v>8089</v>
      </c>
      <c r="J3224" s="644" t="s">
        <v>643</v>
      </c>
      <c r="K3224" s="739"/>
      <c r="L3224" s="754"/>
      <c r="M3224" s="735"/>
      <c r="N3224" s="753">
        <v>4</v>
      </c>
      <c r="O3224" s="754">
        <v>6</v>
      </c>
      <c r="P3224" s="736">
        <v>17689.8</v>
      </c>
      <c r="Q3224" s="214"/>
    </row>
    <row r="3225" spans="1:17" ht="12" customHeight="1" x14ac:dyDescent="0.2">
      <c r="A3225" s="735" t="s">
        <v>7733</v>
      </c>
      <c r="B3225" s="735" t="s">
        <v>2170</v>
      </c>
      <c r="C3225" s="735" t="s">
        <v>451</v>
      </c>
      <c r="D3225" s="644" t="s">
        <v>8701</v>
      </c>
      <c r="E3225" s="736">
        <v>3500</v>
      </c>
      <c r="F3225" s="737" t="s">
        <v>8702</v>
      </c>
      <c r="G3225" s="636" t="s">
        <v>8703</v>
      </c>
      <c r="H3225" s="636" t="s">
        <v>7152</v>
      </c>
      <c r="I3225" s="636" t="s">
        <v>4884</v>
      </c>
      <c r="J3225" s="644" t="s">
        <v>642</v>
      </c>
      <c r="K3225" s="739"/>
      <c r="L3225" s="754"/>
      <c r="M3225" s="735"/>
      <c r="N3225" s="753">
        <v>4</v>
      </c>
      <c r="O3225" s="754">
        <v>6</v>
      </c>
      <c r="P3225" s="736">
        <v>23689.8</v>
      </c>
      <c r="Q3225" s="214"/>
    </row>
    <row r="3226" spans="1:17" ht="12" customHeight="1" x14ac:dyDescent="0.2">
      <c r="A3226" s="735" t="s">
        <v>7733</v>
      </c>
      <c r="B3226" s="735" t="s">
        <v>2170</v>
      </c>
      <c r="C3226" s="735" t="s">
        <v>451</v>
      </c>
      <c r="D3226" s="644" t="s">
        <v>8853</v>
      </c>
      <c r="E3226" s="736">
        <v>3000</v>
      </c>
      <c r="F3226" s="737" t="s">
        <v>8854</v>
      </c>
      <c r="G3226" s="636" t="s">
        <v>8855</v>
      </c>
      <c r="H3226" s="636" t="s">
        <v>8856</v>
      </c>
      <c r="I3226" s="636" t="s">
        <v>2766</v>
      </c>
      <c r="J3226" s="644" t="s">
        <v>642</v>
      </c>
      <c r="K3226" s="739"/>
      <c r="L3226" s="754"/>
      <c r="M3226" s="735"/>
      <c r="N3226" s="753">
        <v>4</v>
      </c>
      <c r="O3226" s="754">
        <v>6</v>
      </c>
      <c r="P3226" s="736">
        <v>20689.8</v>
      </c>
      <c r="Q3226" s="214"/>
    </row>
    <row r="3227" spans="1:17" ht="12" customHeight="1" x14ac:dyDescent="0.2">
      <c r="A3227" s="735" t="s">
        <v>7733</v>
      </c>
      <c r="B3227" s="735" t="s">
        <v>2170</v>
      </c>
      <c r="C3227" s="735" t="s">
        <v>451</v>
      </c>
      <c r="D3227" s="644" t="s">
        <v>7746</v>
      </c>
      <c r="E3227" s="736">
        <v>2200</v>
      </c>
      <c r="F3227" s="737" t="s">
        <v>8085</v>
      </c>
      <c r="G3227" s="636" t="s">
        <v>8086</v>
      </c>
      <c r="H3227" s="636" t="s">
        <v>10194</v>
      </c>
      <c r="I3227" s="636"/>
      <c r="J3227" s="644" t="s">
        <v>643</v>
      </c>
      <c r="K3227" s="739"/>
      <c r="L3227" s="754"/>
      <c r="M3227" s="735"/>
      <c r="N3227" s="753">
        <v>4</v>
      </c>
      <c r="O3227" s="754">
        <v>6</v>
      </c>
      <c r="P3227" s="736">
        <v>15889.8</v>
      </c>
      <c r="Q3227" s="214"/>
    </row>
    <row r="3228" spans="1:17" ht="12" customHeight="1" x14ac:dyDescent="0.2">
      <c r="A3228" s="735" t="s">
        <v>7733</v>
      </c>
      <c r="B3228" s="735" t="s">
        <v>2170</v>
      </c>
      <c r="C3228" s="735" t="s">
        <v>451</v>
      </c>
      <c r="D3228" s="644" t="s">
        <v>8417</v>
      </c>
      <c r="E3228" s="736">
        <v>1200</v>
      </c>
      <c r="F3228" s="737" t="s">
        <v>8418</v>
      </c>
      <c r="G3228" s="636" t="s">
        <v>8419</v>
      </c>
      <c r="H3228" s="636"/>
      <c r="I3228" s="636"/>
      <c r="J3228" s="644" t="s">
        <v>644</v>
      </c>
      <c r="K3228" s="739"/>
      <c r="L3228" s="754"/>
      <c r="M3228" s="735"/>
      <c r="N3228" s="753">
        <v>4</v>
      </c>
      <c r="O3228" s="754">
        <v>6</v>
      </c>
      <c r="P3228" s="736">
        <v>9096</v>
      </c>
      <c r="Q3228" s="214"/>
    </row>
    <row r="3229" spans="1:17" ht="12" customHeight="1" x14ac:dyDescent="0.2">
      <c r="A3229" s="735" t="s">
        <v>7733</v>
      </c>
      <c r="B3229" s="735" t="s">
        <v>2170</v>
      </c>
      <c r="C3229" s="735" t="s">
        <v>451</v>
      </c>
      <c r="D3229" s="644" t="s">
        <v>2190</v>
      </c>
      <c r="E3229" s="736">
        <v>1800</v>
      </c>
      <c r="F3229" s="737" t="s">
        <v>9516</v>
      </c>
      <c r="G3229" s="636" t="s">
        <v>9517</v>
      </c>
      <c r="H3229" s="636" t="s">
        <v>10194</v>
      </c>
      <c r="I3229" s="636"/>
      <c r="J3229" s="644" t="s">
        <v>644</v>
      </c>
      <c r="K3229" s="739"/>
      <c r="L3229" s="754"/>
      <c r="M3229" s="735"/>
      <c r="N3229" s="753">
        <v>4</v>
      </c>
      <c r="O3229" s="754">
        <v>6</v>
      </c>
      <c r="P3229" s="736">
        <v>13344</v>
      </c>
      <c r="Q3229" s="214"/>
    </row>
    <row r="3230" spans="1:17" ht="12" customHeight="1" x14ac:dyDescent="0.2">
      <c r="A3230" s="735" t="s">
        <v>7733</v>
      </c>
      <c r="B3230" s="735" t="s">
        <v>2170</v>
      </c>
      <c r="C3230" s="735" t="s">
        <v>451</v>
      </c>
      <c r="D3230" s="644" t="s">
        <v>7746</v>
      </c>
      <c r="E3230" s="736">
        <v>2800</v>
      </c>
      <c r="F3230" s="737" t="s">
        <v>8847</v>
      </c>
      <c r="G3230" s="636" t="s">
        <v>8848</v>
      </c>
      <c r="H3230" s="636" t="s">
        <v>7280</v>
      </c>
      <c r="I3230" s="636" t="s">
        <v>7280</v>
      </c>
      <c r="J3230" s="644" t="s">
        <v>644</v>
      </c>
      <c r="K3230" s="739"/>
      <c r="L3230" s="754"/>
      <c r="M3230" s="735"/>
      <c r="N3230" s="753">
        <v>4</v>
      </c>
      <c r="O3230" s="754">
        <v>6</v>
      </c>
      <c r="P3230" s="736">
        <v>19489.8</v>
      </c>
      <c r="Q3230" s="214"/>
    </row>
    <row r="3231" spans="1:17" ht="12" customHeight="1" x14ac:dyDescent="0.2">
      <c r="A3231" s="735" t="s">
        <v>7733</v>
      </c>
      <c r="B3231" s="735" t="s">
        <v>2170</v>
      </c>
      <c r="C3231" s="735" t="s">
        <v>451</v>
      </c>
      <c r="D3231" s="644" t="s">
        <v>8026</v>
      </c>
      <c r="E3231" s="736">
        <v>4000</v>
      </c>
      <c r="F3231" s="737" t="s">
        <v>10061</v>
      </c>
      <c r="G3231" s="636" t="s">
        <v>10062</v>
      </c>
      <c r="H3231" s="636" t="s">
        <v>8000</v>
      </c>
      <c r="I3231" s="636" t="s">
        <v>8246</v>
      </c>
      <c r="J3231" s="644" t="s">
        <v>642</v>
      </c>
      <c r="K3231" s="739"/>
      <c r="L3231" s="754"/>
      <c r="M3231" s="735"/>
      <c r="N3231" s="753">
        <v>4</v>
      </c>
      <c r="O3231" s="754">
        <v>6</v>
      </c>
      <c r="P3231" s="736">
        <v>26689.8</v>
      </c>
      <c r="Q3231" s="214"/>
    </row>
    <row r="3232" spans="1:17" ht="12" customHeight="1" x14ac:dyDescent="0.2">
      <c r="A3232" s="735" t="s">
        <v>7733</v>
      </c>
      <c r="B3232" s="735" t="s">
        <v>2170</v>
      </c>
      <c r="C3232" s="735" t="s">
        <v>451</v>
      </c>
      <c r="D3232" s="644" t="s">
        <v>9169</v>
      </c>
      <c r="E3232" s="736">
        <v>4500</v>
      </c>
      <c r="F3232" s="737" t="s">
        <v>9170</v>
      </c>
      <c r="G3232" s="636" t="s">
        <v>9171</v>
      </c>
      <c r="H3232" s="636" t="s">
        <v>8000</v>
      </c>
      <c r="I3232" s="636" t="s">
        <v>2478</v>
      </c>
      <c r="J3232" s="644" t="s">
        <v>642</v>
      </c>
      <c r="K3232" s="739"/>
      <c r="L3232" s="754"/>
      <c r="M3232" s="735"/>
      <c r="N3232" s="753">
        <v>4</v>
      </c>
      <c r="O3232" s="754">
        <v>6</v>
      </c>
      <c r="P3232" s="736">
        <v>29689.8</v>
      </c>
      <c r="Q3232" s="214"/>
    </row>
    <row r="3233" spans="1:17" ht="12" customHeight="1" x14ac:dyDescent="0.2">
      <c r="A3233" s="735" t="s">
        <v>7733</v>
      </c>
      <c r="B3233" s="735" t="s">
        <v>2170</v>
      </c>
      <c r="C3233" s="735" t="s">
        <v>451</v>
      </c>
      <c r="D3233" s="644" t="s">
        <v>8132</v>
      </c>
      <c r="E3233" s="736">
        <v>4000</v>
      </c>
      <c r="F3233" s="737" t="s">
        <v>8133</v>
      </c>
      <c r="G3233" s="636" t="s">
        <v>8134</v>
      </c>
      <c r="H3233" s="636" t="s">
        <v>8135</v>
      </c>
      <c r="I3233" s="636" t="s">
        <v>7835</v>
      </c>
      <c r="J3233" s="644" t="s">
        <v>642</v>
      </c>
      <c r="K3233" s="739"/>
      <c r="L3233" s="754"/>
      <c r="M3233" s="735"/>
      <c r="N3233" s="753">
        <v>4</v>
      </c>
      <c r="O3233" s="754">
        <v>6</v>
      </c>
      <c r="P3233" s="736">
        <v>26689.8</v>
      </c>
      <c r="Q3233" s="214"/>
    </row>
    <row r="3234" spans="1:17" ht="12" customHeight="1" x14ac:dyDescent="0.2">
      <c r="A3234" s="735" t="s">
        <v>7733</v>
      </c>
      <c r="B3234" s="735" t="s">
        <v>2170</v>
      </c>
      <c r="C3234" s="735" t="s">
        <v>451</v>
      </c>
      <c r="D3234" s="644" t="s">
        <v>10171</v>
      </c>
      <c r="E3234" s="736">
        <v>4000</v>
      </c>
      <c r="F3234" s="737" t="s">
        <v>10172</v>
      </c>
      <c r="G3234" s="636" t="s">
        <v>10173</v>
      </c>
      <c r="H3234" s="636" t="s">
        <v>2690</v>
      </c>
      <c r="I3234" s="636" t="s">
        <v>10174</v>
      </c>
      <c r="J3234" s="644" t="s">
        <v>642</v>
      </c>
      <c r="K3234" s="739"/>
      <c r="L3234" s="754"/>
      <c r="M3234" s="735"/>
      <c r="N3234" s="753">
        <v>6</v>
      </c>
      <c r="O3234" s="754">
        <v>6</v>
      </c>
      <c r="P3234" s="736">
        <v>26689.8</v>
      </c>
      <c r="Q3234" s="214"/>
    </row>
    <row r="3235" spans="1:17" ht="12" customHeight="1" x14ac:dyDescent="0.2">
      <c r="A3235" s="735" t="s">
        <v>7733</v>
      </c>
      <c r="B3235" s="735" t="s">
        <v>2170</v>
      </c>
      <c r="C3235" s="735" t="s">
        <v>451</v>
      </c>
      <c r="D3235" s="644" t="s">
        <v>9645</v>
      </c>
      <c r="E3235" s="736">
        <v>6000</v>
      </c>
      <c r="F3235" s="737" t="s">
        <v>9646</v>
      </c>
      <c r="G3235" s="636" t="s">
        <v>9647</v>
      </c>
      <c r="H3235" s="636" t="s">
        <v>9648</v>
      </c>
      <c r="I3235" s="636" t="s">
        <v>9649</v>
      </c>
      <c r="J3235" s="644" t="s">
        <v>642</v>
      </c>
      <c r="K3235" s="739"/>
      <c r="L3235" s="754"/>
      <c r="M3235" s="735"/>
      <c r="N3235" s="753">
        <v>4</v>
      </c>
      <c r="O3235" s="754">
        <v>6</v>
      </c>
      <c r="P3235" s="736">
        <v>38689.800000000003</v>
      </c>
      <c r="Q3235" s="214"/>
    </row>
    <row r="3236" spans="1:17" ht="12" customHeight="1" x14ac:dyDescent="0.2">
      <c r="A3236" s="735" t="s">
        <v>7733</v>
      </c>
      <c r="B3236" s="735" t="s">
        <v>2170</v>
      </c>
      <c r="C3236" s="735" t="s">
        <v>451</v>
      </c>
      <c r="D3236" s="644" t="s">
        <v>2225</v>
      </c>
      <c r="E3236" s="736">
        <v>6000</v>
      </c>
      <c r="F3236" s="737" t="s">
        <v>10115</v>
      </c>
      <c r="G3236" s="636" t="s">
        <v>10116</v>
      </c>
      <c r="H3236" s="636" t="s">
        <v>6571</v>
      </c>
      <c r="I3236" s="636" t="s">
        <v>2179</v>
      </c>
      <c r="J3236" s="644" t="s">
        <v>642</v>
      </c>
      <c r="K3236" s="739"/>
      <c r="L3236" s="754"/>
      <c r="M3236" s="735"/>
      <c r="N3236" s="753">
        <v>5</v>
      </c>
      <c r="O3236" s="754">
        <v>6</v>
      </c>
      <c r="P3236" s="736">
        <v>38689.800000000003</v>
      </c>
      <c r="Q3236" s="214"/>
    </row>
    <row r="3237" spans="1:17" ht="12" customHeight="1" x14ac:dyDescent="0.2">
      <c r="A3237" s="735" t="s">
        <v>7733</v>
      </c>
      <c r="B3237" s="735" t="s">
        <v>2170</v>
      </c>
      <c r="C3237" s="735" t="s">
        <v>451</v>
      </c>
      <c r="D3237" s="644" t="s">
        <v>9399</v>
      </c>
      <c r="E3237" s="736">
        <v>3500</v>
      </c>
      <c r="F3237" s="737" t="s">
        <v>9400</v>
      </c>
      <c r="G3237" s="636" t="s">
        <v>9401</v>
      </c>
      <c r="H3237" s="636" t="s">
        <v>3522</v>
      </c>
      <c r="I3237" s="636" t="s">
        <v>2346</v>
      </c>
      <c r="J3237" s="644" t="s">
        <v>644</v>
      </c>
      <c r="K3237" s="739"/>
      <c r="L3237" s="754"/>
      <c r="M3237" s="735"/>
      <c r="N3237" s="753">
        <v>4</v>
      </c>
      <c r="O3237" s="754">
        <v>6</v>
      </c>
      <c r="P3237" s="736">
        <v>23689.8</v>
      </c>
      <c r="Q3237" s="214"/>
    </row>
    <row r="3238" spans="1:17" ht="12" customHeight="1" x14ac:dyDescent="0.2">
      <c r="A3238" s="735" t="s">
        <v>7733</v>
      </c>
      <c r="B3238" s="735" t="s">
        <v>2170</v>
      </c>
      <c r="C3238" s="735" t="s">
        <v>451</v>
      </c>
      <c r="D3238" s="644" t="s">
        <v>8211</v>
      </c>
      <c r="E3238" s="736">
        <v>3000</v>
      </c>
      <c r="F3238" s="737" t="s">
        <v>8212</v>
      </c>
      <c r="G3238" s="636" t="s">
        <v>8213</v>
      </c>
      <c r="H3238" s="636"/>
      <c r="I3238" s="636"/>
      <c r="J3238" s="644" t="s">
        <v>644</v>
      </c>
      <c r="K3238" s="739"/>
      <c r="L3238" s="754"/>
      <c r="M3238" s="735"/>
      <c r="N3238" s="753">
        <v>4</v>
      </c>
      <c r="O3238" s="754">
        <v>6</v>
      </c>
      <c r="P3238" s="736">
        <v>20689.8</v>
      </c>
      <c r="Q3238" s="214"/>
    </row>
    <row r="3239" spans="1:17" ht="12" customHeight="1" x14ac:dyDescent="0.2">
      <c r="A3239" s="735" t="s">
        <v>7733</v>
      </c>
      <c r="B3239" s="735" t="s">
        <v>2170</v>
      </c>
      <c r="C3239" s="735" t="s">
        <v>451</v>
      </c>
      <c r="D3239" s="644" t="s">
        <v>8414</v>
      </c>
      <c r="E3239" s="736">
        <v>2200</v>
      </c>
      <c r="F3239" s="737" t="s">
        <v>9671</v>
      </c>
      <c r="G3239" s="636" t="s">
        <v>9672</v>
      </c>
      <c r="H3239" s="636" t="s">
        <v>3915</v>
      </c>
      <c r="I3239" s="636" t="s">
        <v>4559</v>
      </c>
      <c r="J3239" s="644" t="s">
        <v>644</v>
      </c>
      <c r="K3239" s="739"/>
      <c r="L3239" s="754"/>
      <c r="M3239" s="735"/>
      <c r="N3239" s="753">
        <v>4</v>
      </c>
      <c r="O3239" s="754">
        <v>6</v>
      </c>
      <c r="P3239" s="736">
        <v>15889.8</v>
      </c>
      <c r="Q3239" s="214"/>
    </row>
    <row r="3240" spans="1:17" ht="12" customHeight="1" x14ac:dyDescent="0.2">
      <c r="A3240" s="735" t="s">
        <v>7733</v>
      </c>
      <c r="B3240" s="735" t="s">
        <v>2170</v>
      </c>
      <c r="C3240" s="735" t="s">
        <v>451</v>
      </c>
      <c r="D3240" s="644" t="s">
        <v>9037</v>
      </c>
      <c r="E3240" s="736">
        <v>2400</v>
      </c>
      <c r="F3240" s="737" t="s">
        <v>9038</v>
      </c>
      <c r="G3240" s="636" t="s">
        <v>9039</v>
      </c>
      <c r="H3240" s="636" t="s">
        <v>3915</v>
      </c>
      <c r="I3240" s="636" t="s">
        <v>3162</v>
      </c>
      <c r="J3240" s="644" t="s">
        <v>643</v>
      </c>
      <c r="K3240" s="739"/>
      <c r="L3240" s="754"/>
      <c r="M3240" s="735"/>
      <c r="N3240" s="753">
        <v>6</v>
      </c>
      <c r="O3240" s="754">
        <v>6</v>
      </c>
      <c r="P3240" s="736">
        <v>17089.8</v>
      </c>
      <c r="Q3240" s="214"/>
    </row>
    <row r="3241" spans="1:17" ht="12" customHeight="1" x14ac:dyDescent="0.2">
      <c r="A3241" s="735" t="s">
        <v>7733</v>
      </c>
      <c r="B3241" s="735" t="s">
        <v>2170</v>
      </c>
      <c r="C3241" s="735" t="s">
        <v>451</v>
      </c>
      <c r="D3241" s="644" t="s">
        <v>8316</v>
      </c>
      <c r="E3241" s="736">
        <v>4000</v>
      </c>
      <c r="F3241" s="737" t="s">
        <v>8546</v>
      </c>
      <c r="G3241" s="636" t="s">
        <v>8547</v>
      </c>
      <c r="H3241" s="636" t="s">
        <v>7752</v>
      </c>
      <c r="I3241" s="636" t="s">
        <v>2179</v>
      </c>
      <c r="J3241" s="644" t="s">
        <v>642</v>
      </c>
      <c r="K3241" s="739"/>
      <c r="L3241" s="754"/>
      <c r="M3241" s="735"/>
      <c r="N3241" s="753">
        <v>4</v>
      </c>
      <c r="O3241" s="754">
        <v>6</v>
      </c>
      <c r="P3241" s="736">
        <v>26689.8</v>
      </c>
      <c r="Q3241" s="214"/>
    </row>
    <row r="3242" spans="1:17" ht="12" customHeight="1" x14ac:dyDescent="0.2">
      <c r="A3242" s="735" t="s">
        <v>7733</v>
      </c>
      <c r="B3242" s="735" t="s">
        <v>2170</v>
      </c>
      <c r="C3242" s="735" t="s">
        <v>451</v>
      </c>
      <c r="D3242" s="644" t="s">
        <v>9681</v>
      </c>
      <c r="E3242" s="736">
        <v>3200</v>
      </c>
      <c r="F3242" s="737" t="s">
        <v>9682</v>
      </c>
      <c r="G3242" s="636" t="s">
        <v>9683</v>
      </c>
      <c r="H3242" s="636" t="s">
        <v>7820</v>
      </c>
      <c r="I3242" s="636" t="s">
        <v>8014</v>
      </c>
      <c r="J3242" s="644" t="s">
        <v>643</v>
      </c>
      <c r="K3242" s="739"/>
      <c r="L3242" s="754"/>
      <c r="M3242" s="735"/>
      <c r="N3242" s="753">
        <v>4</v>
      </c>
      <c r="O3242" s="754">
        <v>6</v>
      </c>
      <c r="P3242" s="736">
        <v>21889.8</v>
      </c>
      <c r="Q3242" s="214"/>
    </row>
    <row r="3243" spans="1:17" ht="12" customHeight="1" x14ac:dyDescent="0.2">
      <c r="A3243" s="735" t="s">
        <v>7733</v>
      </c>
      <c r="B3243" s="735" t="s">
        <v>2170</v>
      </c>
      <c r="C3243" s="735" t="s">
        <v>451</v>
      </c>
      <c r="D3243" s="644" t="s">
        <v>8390</v>
      </c>
      <c r="E3243" s="736">
        <v>4000</v>
      </c>
      <c r="F3243" s="737" t="s">
        <v>8391</v>
      </c>
      <c r="G3243" s="636" t="s">
        <v>8392</v>
      </c>
      <c r="H3243" s="636" t="s">
        <v>8000</v>
      </c>
      <c r="I3243" s="636" t="s">
        <v>2478</v>
      </c>
      <c r="J3243" s="644" t="s">
        <v>642</v>
      </c>
      <c r="K3243" s="739"/>
      <c r="L3243" s="754"/>
      <c r="M3243" s="735"/>
      <c r="N3243" s="753">
        <v>4</v>
      </c>
      <c r="O3243" s="754">
        <v>6</v>
      </c>
      <c r="P3243" s="736">
        <v>26689.8</v>
      </c>
      <c r="Q3243" s="214"/>
    </row>
    <row r="3244" spans="1:17" ht="12" customHeight="1" x14ac:dyDescent="0.2">
      <c r="A3244" s="735" t="s">
        <v>7733</v>
      </c>
      <c r="B3244" s="735" t="s">
        <v>2170</v>
      </c>
      <c r="C3244" s="735" t="s">
        <v>451</v>
      </c>
      <c r="D3244" s="644" t="s">
        <v>8425</v>
      </c>
      <c r="E3244" s="736">
        <v>4000</v>
      </c>
      <c r="F3244" s="737" t="s">
        <v>8426</v>
      </c>
      <c r="G3244" s="636" t="s">
        <v>8427</v>
      </c>
      <c r="H3244" s="636"/>
      <c r="I3244" s="636"/>
      <c r="J3244" s="644" t="s">
        <v>642</v>
      </c>
      <c r="K3244" s="739"/>
      <c r="L3244" s="754"/>
      <c r="M3244" s="735"/>
      <c r="N3244" s="753">
        <v>5</v>
      </c>
      <c r="O3244" s="754">
        <v>6</v>
      </c>
      <c r="P3244" s="736">
        <v>26689.8</v>
      </c>
      <c r="Q3244" s="214"/>
    </row>
    <row r="3245" spans="1:17" ht="12" customHeight="1" x14ac:dyDescent="0.2">
      <c r="A3245" s="735" t="s">
        <v>7733</v>
      </c>
      <c r="B3245" s="735" t="s">
        <v>2170</v>
      </c>
      <c r="C3245" s="735" t="s">
        <v>451</v>
      </c>
      <c r="D3245" s="644" t="s">
        <v>7104</v>
      </c>
      <c r="E3245" s="736">
        <v>3000</v>
      </c>
      <c r="F3245" s="737" t="s">
        <v>10120</v>
      </c>
      <c r="G3245" s="636" t="s">
        <v>10121</v>
      </c>
      <c r="H3245" s="636" t="s">
        <v>7745</v>
      </c>
      <c r="I3245" s="636" t="s">
        <v>8036</v>
      </c>
      <c r="J3245" s="644" t="s">
        <v>644</v>
      </c>
      <c r="K3245" s="739"/>
      <c r="L3245" s="754"/>
      <c r="M3245" s="735"/>
      <c r="N3245" s="753">
        <v>4</v>
      </c>
      <c r="O3245" s="754">
        <v>6</v>
      </c>
      <c r="P3245" s="736">
        <v>20689.8</v>
      </c>
      <c r="Q3245" s="214"/>
    </row>
    <row r="3246" spans="1:17" ht="12" customHeight="1" x14ac:dyDescent="0.2">
      <c r="A3246" s="735" t="s">
        <v>7733</v>
      </c>
      <c r="B3246" s="735" t="s">
        <v>2170</v>
      </c>
      <c r="C3246" s="735" t="s">
        <v>451</v>
      </c>
      <c r="D3246" s="644" t="s">
        <v>7441</v>
      </c>
      <c r="E3246" s="736">
        <v>6500</v>
      </c>
      <c r="F3246" s="737" t="s">
        <v>9661</v>
      </c>
      <c r="G3246" s="636" t="s">
        <v>9662</v>
      </c>
      <c r="H3246" s="636" t="s">
        <v>6778</v>
      </c>
      <c r="I3246" s="636" t="s">
        <v>2174</v>
      </c>
      <c r="J3246" s="644" t="s">
        <v>642</v>
      </c>
      <c r="K3246" s="739"/>
      <c r="L3246" s="754"/>
      <c r="M3246" s="735"/>
      <c r="N3246" s="753">
        <v>4</v>
      </c>
      <c r="O3246" s="754">
        <v>6</v>
      </c>
      <c r="P3246" s="736">
        <v>41689.800000000003</v>
      </c>
      <c r="Q3246" s="214"/>
    </row>
    <row r="3247" spans="1:17" ht="12" customHeight="1" x14ac:dyDescent="0.2">
      <c r="A3247" s="735" t="s">
        <v>7733</v>
      </c>
      <c r="B3247" s="735" t="s">
        <v>2170</v>
      </c>
      <c r="C3247" s="735" t="s">
        <v>451</v>
      </c>
      <c r="D3247" s="644" t="s">
        <v>3154</v>
      </c>
      <c r="E3247" s="736">
        <v>5000</v>
      </c>
      <c r="F3247" s="737" t="s">
        <v>7862</v>
      </c>
      <c r="G3247" s="636" t="s">
        <v>7863</v>
      </c>
      <c r="H3247" s="636" t="s">
        <v>7752</v>
      </c>
      <c r="I3247" s="636" t="s">
        <v>2179</v>
      </c>
      <c r="J3247" s="644" t="s">
        <v>642</v>
      </c>
      <c r="K3247" s="739"/>
      <c r="L3247" s="754"/>
      <c r="M3247" s="735"/>
      <c r="N3247" s="753">
        <v>4</v>
      </c>
      <c r="O3247" s="754">
        <v>6</v>
      </c>
      <c r="P3247" s="736">
        <v>32689.8</v>
      </c>
      <c r="Q3247" s="214"/>
    </row>
    <row r="3248" spans="1:17" ht="12" customHeight="1" x14ac:dyDescent="0.2">
      <c r="A3248" s="735" t="s">
        <v>7733</v>
      </c>
      <c r="B3248" s="735" t="s">
        <v>2170</v>
      </c>
      <c r="C3248" s="735" t="s">
        <v>451</v>
      </c>
      <c r="D3248" s="644" t="s">
        <v>7971</v>
      </c>
      <c r="E3248" s="736">
        <v>3000</v>
      </c>
      <c r="F3248" s="737" t="s">
        <v>9995</v>
      </c>
      <c r="G3248" s="636" t="s">
        <v>9996</v>
      </c>
      <c r="H3248" s="636" t="s">
        <v>7752</v>
      </c>
      <c r="I3248" s="636" t="s">
        <v>2179</v>
      </c>
      <c r="J3248" s="644" t="s">
        <v>642</v>
      </c>
      <c r="K3248" s="739"/>
      <c r="L3248" s="754"/>
      <c r="M3248" s="735"/>
      <c r="N3248" s="753">
        <v>6</v>
      </c>
      <c r="O3248" s="754">
        <v>6</v>
      </c>
      <c r="P3248" s="736">
        <v>20689.8</v>
      </c>
      <c r="Q3248" s="214"/>
    </row>
    <row r="3249" spans="1:17" ht="12" customHeight="1" x14ac:dyDescent="0.2">
      <c r="A3249" s="735" t="s">
        <v>7733</v>
      </c>
      <c r="B3249" s="735" t="s">
        <v>2170</v>
      </c>
      <c r="C3249" s="735" t="s">
        <v>451</v>
      </c>
      <c r="D3249" s="644" t="s">
        <v>8445</v>
      </c>
      <c r="E3249" s="736">
        <v>2500</v>
      </c>
      <c r="F3249" s="737" t="s">
        <v>8683</v>
      </c>
      <c r="G3249" s="636" t="s">
        <v>8684</v>
      </c>
      <c r="H3249" s="636" t="s">
        <v>6571</v>
      </c>
      <c r="I3249" s="636" t="s">
        <v>2179</v>
      </c>
      <c r="J3249" s="644" t="s">
        <v>642</v>
      </c>
      <c r="K3249" s="739"/>
      <c r="L3249" s="754"/>
      <c r="M3249" s="735"/>
      <c r="N3249" s="753">
        <v>6</v>
      </c>
      <c r="O3249" s="754">
        <v>6</v>
      </c>
      <c r="P3249" s="736">
        <v>17689.8</v>
      </c>
      <c r="Q3249" s="214"/>
    </row>
    <row r="3250" spans="1:17" ht="12" customHeight="1" x14ac:dyDescent="0.2">
      <c r="A3250" s="735" t="s">
        <v>7733</v>
      </c>
      <c r="B3250" s="735" t="s">
        <v>2170</v>
      </c>
      <c r="C3250" s="735" t="s">
        <v>451</v>
      </c>
      <c r="D3250" s="644" t="s">
        <v>2179</v>
      </c>
      <c r="E3250" s="736">
        <v>6000</v>
      </c>
      <c r="F3250" s="737" t="s">
        <v>7927</v>
      </c>
      <c r="G3250" s="636" t="s">
        <v>7928</v>
      </c>
      <c r="H3250" s="636" t="s">
        <v>6571</v>
      </c>
      <c r="I3250" s="636" t="s">
        <v>2179</v>
      </c>
      <c r="J3250" s="644" t="s">
        <v>642</v>
      </c>
      <c r="K3250" s="739"/>
      <c r="L3250" s="754"/>
      <c r="M3250" s="735"/>
      <c r="N3250" s="753">
        <v>4</v>
      </c>
      <c r="O3250" s="754">
        <v>6</v>
      </c>
      <c r="P3250" s="736">
        <v>38689.800000000003</v>
      </c>
      <c r="Q3250" s="214"/>
    </row>
    <row r="3251" spans="1:17" ht="12" customHeight="1" x14ac:dyDescent="0.2">
      <c r="A3251" s="735" t="s">
        <v>7733</v>
      </c>
      <c r="B3251" s="735" t="s">
        <v>2170</v>
      </c>
      <c r="C3251" s="735" t="s">
        <v>451</v>
      </c>
      <c r="D3251" s="644" t="s">
        <v>8622</v>
      </c>
      <c r="E3251" s="736">
        <v>4500</v>
      </c>
      <c r="F3251" s="737" t="s">
        <v>8623</v>
      </c>
      <c r="G3251" s="636" t="s">
        <v>8624</v>
      </c>
      <c r="H3251" s="636" t="s">
        <v>6571</v>
      </c>
      <c r="I3251" s="636" t="s">
        <v>2179</v>
      </c>
      <c r="J3251" s="644" t="s">
        <v>642</v>
      </c>
      <c r="K3251" s="739"/>
      <c r="L3251" s="754"/>
      <c r="M3251" s="735"/>
      <c r="N3251" s="753">
        <v>4</v>
      </c>
      <c r="O3251" s="754">
        <v>6</v>
      </c>
      <c r="P3251" s="736">
        <v>29689.8</v>
      </c>
      <c r="Q3251" s="214"/>
    </row>
    <row r="3252" spans="1:17" ht="12" customHeight="1" x14ac:dyDescent="0.2">
      <c r="A3252" s="735" t="s">
        <v>7733</v>
      </c>
      <c r="B3252" s="735" t="s">
        <v>2170</v>
      </c>
      <c r="C3252" s="735" t="s">
        <v>451</v>
      </c>
      <c r="D3252" s="644" t="s">
        <v>8367</v>
      </c>
      <c r="E3252" s="736">
        <v>2300</v>
      </c>
      <c r="F3252" s="737" t="s">
        <v>9393</v>
      </c>
      <c r="G3252" s="636" t="s">
        <v>9394</v>
      </c>
      <c r="H3252" s="636" t="s">
        <v>3754</v>
      </c>
      <c r="I3252" s="636" t="s">
        <v>8004</v>
      </c>
      <c r="J3252" s="644" t="s">
        <v>643</v>
      </c>
      <c r="K3252" s="739"/>
      <c r="L3252" s="754"/>
      <c r="M3252" s="735"/>
      <c r="N3252" s="753">
        <v>1</v>
      </c>
      <c r="O3252" s="754">
        <v>2</v>
      </c>
      <c r="P3252" s="736">
        <v>7289.8</v>
      </c>
      <c r="Q3252" s="214"/>
    </row>
    <row r="3253" spans="1:17" ht="12" customHeight="1" x14ac:dyDescent="0.2">
      <c r="A3253" s="735" t="s">
        <v>7733</v>
      </c>
      <c r="B3253" s="735" t="s">
        <v>2170</v>
      </c>
      <c r="C3253" s="735" t="s">
        <v>451</v>
      </c>
      <c r="D3253" s="644" t="s">
        <v>8367</v>
      </c>
      <c r="E3253" s="736">
        <v>2300</v>
      </c>
      <c r="F3253" s="737" t="s">
        <v>8974</v>
      </c>
      <c r="G3253" s="636" t="s">
        <v>8975</v>
      </c>
      <c r="H3253" s="636" t="s">
        <v>6613</v>
      </c>
      <c r="I3253" s="636" t="s">
        <v>2745</v>
      </c>
      <c r="J3253" s="644" t="s">
        <v>643</v>
      </c>
      <c r="K3253" s="739"/>
      <c r="L3253" s="754"/>
      <c r="M3253" s="735"/>
      <c r="N3253" s="753">
        <v>4</v>
      </c>
      <c r="O3253" s="754">
        <v>6</v>
      </c>
      <c r="P3253" s="736">
        <v>16489.8</v>
      </c>
      <c r="Q3253" s="214"/>
    </row>
    <row r="3254" spans="1:17" ht="12" customHeight="1" x14ac:dyDescent="0.2">
      <c r="A3254" s="735" t="s">
        <v>7733</v>
      </c>
      <c r="B3254" s="735" t="s">
        <v>2170</v>
      </c>
      <c r="C3254" s="735" t="s">
        <v>451</v>
      </c>
      <c r="D3254" s="644" t="s">
        <v>7746</v>
      </c>
      <c r="E3254" s="736">
        <v>2200</v>
      </c>
      <c r="F3254" s="737" t="s">
        <v>10055</v>
      </c>
      <c r="G3254" s="636" t="s">
        <v>10056</v>
      </c>
      <c r="H3254" s="636" t="s">
        <v>3915</v>
      </c>
      <c r="I3254" s="636" t="s">
        <v>6668</v>
      </c>
      <c r="J3254" s="644" t="s">
        <v>643</v>
      </c>
      <c r="K3254" s="739"/>
      <c r="L3254" s="754"/>
      <c r="M3254" s="735"/>
      <c r="N3254" s="753">
        <v>4</v>
      </c>
      <c r="O3254" s="754">
        <v>6</v>
      </c>
      <c r="P3254" s="736">
        <v>15889.8</v>
      </c>
      <c r="Q3254" s="214"/>
    </row>
    <row r="3255" spans="1:17" ht="12" customHeight="1" x14ac:dyDescent="0.2">
      <c r="A3255" s="735" t="s">
        <v>7733</v>
      </c>
      <c r="B3255" s="735" t="s">
        <v>2170</v>
      </c>
      <c r="C3255" s="735" t="s">
        <v>451</v>
      </c>
      <c r="D3255" s="644" t="s">
        <v>7803</v>
      </c>
      <c r="E3255" s="736">
        <v>5000</v>
      </c>
      <c r="F3255" s="737" t="s">
        <v>7804</v>
      </c>
      <c r="G3255" s="636" t="s">
        <v>7805</v>
      </c>
      <c r="H3255" s="636" t="s">
        <v>7752</v>
      </c>
      <c r="I3255" s="636" t="s">
        <v>2179</v>
      </c>
      <c r="J3255" s="644" t="s">
        <v>642</v>
      </c>
      <c r="K3255" s="739"/>
      <c r="L3255" s="754"/>
      <c r="M3255" s="735"/>
      <c r="N3255" s="753">
        <v>6</v>
      </c>
      <c r="O3255" s="754">
        <v>6</v>
      </c>
      <c r="P3255" s="736">
        <v>32689.8</v>
      </c>
      <c r="Q3255" s="214"/>
    </row>
    <row r="3256" spans="1:17" ht="12" customHeight="1" x14ac:dyDescent="0.2">
      <c r="A3256" s="735" t="s">
        <v>7733</v>
      </c>
      <c r="B3256" s="735" t="s">
        <v>2170</v>
      </c>
      <c r="C3256" s="735" t="s">
        <v>451</v>
      </c>
      <c r="D3256" s="644" t="s">
        <v>5832</v>
      </c>
      <c r="E3256" s="736">
        <v>3500</v>
      </c>
      <c r="F3256" s="737" t="s">
        <v>8083</v>
      </c>
      <c r="G3256" s="636" t="s">
        <v>8084</v>
      </c>
      <c r="H3256" s="636" t="s">
        <v>6778</v>
      </c>
      <c r="I3256" s="636" t="s">
        <v>2174</v>
      </c>
      <c r="J3256" s="644" t="s">
        <v>643</v>
      </c>
      <c r="K3256" s="739"/>
      <c r="L3256" s="754"/>
      <c r="M3256" s="735"/>
      <c r="N3256" s="753">
        <v>4</v>
      </c>
      <c r="O3256" s="754">
        <v>6</v>
      </c>
      <c r="P3256" s="736">
        <v>23689.8</v>
      </c>
      <c r="Q3256" s="214"/>
    </row>
    <row r="3257" spans="1:17" ht="12" customHeight="1" x14ac:dyDescent="0.2">
      <c r="A3257" s="735" t="s">
        <v>7733</v>
      </c>
      <c r="B3257" s="735" t="s">
        <v>2170</v>
      </c>
      <c r="C3257" s="735" t="s">
        <v>451</v>
      </c>
      <c r="D3257" s="644" t="s">
        <v>7901</v>
      </c>
      <c r="E3257" s="736">
        <v>2500</v>
      </c>
      <c r="F3257" s="737" t="s">
        <v>8108</v>
      </c>
      <c r="G3257" s="636" t="s">
        <v>8109</v>
      </c>
      <c r="H3257" s="636" t="s">
        <v>6625</v>
      </c>
      <c r="I3257" s="636" t="s">
        <v>8036</v>
      </c>
      <c r="J3257" s="644" t="s">
        <v>644</v>
      </c>
      <c r="K3257" s="739"/>
      <c r="L3257" s="754"/>
      <c r="M3257" s="735"/>
      <c r="N3257" s="753">
        <v>4</v>
      </c>
      <c r="O3257" s="754">
        <v>6</v>
      </c>
      <c r="P3257" s="736">
        <v>17689.8</v>
      </c>
      <c r="Q3257" s="214"/>
    </row>
    <row r="3258" spans="1:17" ht="12" customHeight="1" x14ac:dyDescent="0.2">
      <c r="A3258" s="735" t="s">
        <v>7733</v>
      </c>
      <c r="B3258" s="735" t="s">
        <v>2170</v>
      </c>
      <c r="C3258" s="735" t="s">
        <v>451</v>
      </c>
      <c r="D3258" s="644" t="s">
        <v>8168</v>
      </c>
      <c r="E3258" s="736">
        <v>5000</v>
      </c>
      <c r="F3258" s="737" t="s">
        <v>8932</v>
      </c>
      <c r="G3258" s="636" t="s">
        <v>8933</v>
      </c>
      <c r="H3258" s="636" t="s">
        <v>8067</v>
      </c>
      <c r="I3258" s="636" t="s">
        <v>3162</v>
      </c>
      <c r="J3258" s="644" t="s">
        <v>643</v>
      </c>
      <c r="K3258" s="739"/>
      <c r="L3258" s="754"/>
      <c r="M3258" s="735"/>
      <c r="N3258" s="753">
        <v>3</v>
      </c>
      <c r="O3258" s="754">
        <v>3</v>
      </c>
      <c r="P3258" s="736">
        <v>17689.8</v>
      </c>
      <c r="Q3258" s="214"/>
    </row>
    <row r="3259" spans="1:17" ht="12" customHeight="1" x14ac:dyDescent="0.2">
      <c r="A3259" s="735" t="s">
        <v>7733</v>
      </c>
      <c r="B3259" s="735" t="s">
        <v>2170</v>
      </c>
      <c r="C3259" s="735" t="s">
        <v>451</v>
      </c>
      <c r="D3259" s="644" t="s">
        <v>9189</v>
      </c>
      <c r="E3259" s="736">
        <v>6000</v>
      </c>
      <c r="F3259" s="737" t="s">
        <v>9190</v>
      </c>
      <c r="G3259" s="636" t="s">
        <v>9191</v>
      </c>
      <c r="H3259" s="636" t="s">
        <v>2365</v>
      </c>
      <c r="I3259" s="636" t="s">
        <v>7782</v>
      </c>
      <c r="J3259" s="644" t="s">
        <v>642</v>
      </c>
      <c r="K3259" s="739"/>
      <c r="L3259" s="754"/>
      <c r="M3259" s="735"/>
      <c r="N3259" s="753">
        <v>4</v>
      </c>
      <c r="O3259" s="754">
        <v>6</v>
      </c>
      <c r="P3259" s="736">
        <v>38689.800000000003</v>
      </c>
      <c r="Q3259" s="214"/>
    </row>
    <row r="3260" spans="1:17" ht="12" customHeight="1" x14ac:dyDescent="0.2">
      <c r="A3260" s="735" t="s">
        <v>7733</v>
      </c>
      <c r="B3260" s="735" t="s">
        <v>2170</v>
      </c>
      <c r="C3260" s="735" t="s">
        <v>451</v>
      </c>
      <c r="D3260" s="644" t="s">
        <v>8268</v>
      </c>
      <c r="E3260" s="736">
        <v>2500</v>
      </c>
      <c r="F3260" s="737" t="s">
        <v>9346</v>
      </c>
      <c r="G3260" s="636" t="s">
        <v>9347</v>
      </c>
      <c r="H3260" s="636" t="s">
        <v>7858</v>
      </c>
      <c r="I3260" s="636" t="s">
        <v>3760</v>
      </c>
      <c r="J3260" s="644" t="s">
        <v>644</v>
      </c>
      <c r="K3260" s="739"/>
      <c r="L3260" s="754"/>
      <c r="M3260" s="735"/>
      <c r="N3260" s="753">
        <v>4</v>
      </c>
      <c r="O3260" s="754">
        <v>6</v>
      </c>
      <c r="P3260" s="736">
        <v>17689.8</v>
      </c>
      <c r="Q3260" s="214"/>
    </row>
    <row r="3261" spans="1:17" ht="12" customHeight="1" x14ac:dyDescent="0.2">
      <c r="A3261" s="735" t="s">
        <v>7733</v>
      </c>
      <c r="B3261" s="735" t="s">
        <v>2170</v>
      </c>
      <c r="C3261" s="735" t="s">
        <v>451</v>
      </c>
      <c r="D3261" s="644" t="s">
        <v>8097</v>
      </c>
      <c r="E3261" s="736">
        <v>6000</v>
      </c>
      <c r="F3261" s="737" t="s">
        <v>9592</v>
      </c>
      <c r="G3261" s="636" t="s">
        <v>9593</v>
      </c>
      <c r="H3261" s="636" t="s">
        <v>6571</v>
      </c>
      <c r="I3261" s="636" t="s">
        <v>2179</v>
      </c>
      <c r="J3261" s="644" t="s">
        <v>642</v>
      </c>
      <c r="K3261" s="739"/>
      <c r="L3261" s="754"/>
      <c r="M3261" s="735"/>
      <c r="N3261" s="753">
        <v>4</v>
      </c>
      <c r="O3261" s="754">
        <v>6</v>
      </c>
      <c r="P3261" s="736">
        <v>38689.800000000003</v>
      </c>
      <c r="Q3261" s="214"/>
    </row>
    <row r="3262" spans="1:17" ht="12" customHeight="1" x14ac:dyDescent="0.2">
      <c r="A3262" s="735" t="s">
        <v>7733</v>
      </c>
      <c r="B3262" s="735" t="s">
        <v>2170</v>
      </c>
      <c r="C3262" s="735" t="s">
        <v>451</v>
      </c>
      <c r="D3262" s="644" t="s">
        <v>9603</v>
      </c>
      <c r="E3262" s="736">
        <v>6000</v>
      </c>
      <c r="F3262" s="737" t="s">
        <v>9604</v>
      </c>
      <c r="G3262" s="636" t="s">
        <v>9605</v>
      </c>
      <c r="H3262" s="636" t="s">
        <v>7752</v>
      </c>
      <c r="I3262" s="636" t="s">
        <v>2179</v>
      </c>
      <c r="J3262" s="644" t="s">
        <v>642</v>
      </c>
      <c r="K3262" s="739"/>
      <c r="L3262" s="754"/>
      <c r="M3262" s="735"/>
      <c r="N3262" s="753">
        <v>1</v>
      </c>
      <c r="O3262" s="754">
        <v>1</v>
      </c>
      <c r="P3262" s="736">
        <v>8689.7999999999993</v>
      </c>
      <c r="Q3262" s="214"/>
    </row>
    <row r="3263" spans="1:17" ht="12" customHeight="1" x14ac:dyDescent="0.2">
      <c r="A3263" s="735" t="s">
        <v>7733</v>
      </c>
      <c r="B3263" s="735" t="s">
        <v>2170</v>
      </c>
      <c r="C3263" s="735" t="s">
        <v>451</v>
      </c>
      <c r="D3263" s="644" t="s">
        <v>9239</v>
      </c>
      <c r="E3263" s="736">
        <v>6000</v>
      </c>
      <c r="F3263" s="737" t="s">
        <v>9240</v>
      </c>
      <c r="G3263" s="636" t="s">
        <v>9241</v>
      </c>
      <c r="H3263" s="636"/>
      <c r="I3263" s="636"/>
      <c r="J3263" s="644" t="s">
        <v>642</v>
      </c>
      <c r="K3263" s="739"/>
      <c r="L3263" s="754"/>
      <c r="M3263" s="735"/>
      <c r="N3263" s="753">
        <v>4</v>
      </c>
      <c r="O3263" s="754">
        <v>6</v>
      </c>
      <c r="P3263" s="736">
        <v>38689.800000000003</v>
      </c>
      <c r="Q3263" s="214"/>
    </row>
    <row r="3264" spans="1:17" ht="12" customHeight="1" x14ac:dyDescent="0.2">
      <c r="A3264" s="735" t="s">
        <v>7733</v>
      </c>
      <c r="B3264" s="735" t="s">
        <v>2170</v>
      </c>
      <c r="C3264" s="735" t="s">
        <v>451</v>
      </c>
      <c r="D3264" s="644" t="s">
        <v>8995</v>
      </c>
      <c r="E3264" s="736">
        <v>4000</v>
      </c>
      <c r="F3264" s="737" t="s">
        <v>8996</v>
      </c>
      <c r="G3264" s="636" t="s">
        <v>8997</v>
      </c>
      <c r="H3264" s="636" t="s">
        <v>6571</v>
      </c>
      <c r="I3264" s="636" t="s">
        <v>2179</v>
      </c>
      <c r="J3264" s="644" t="s">
        <v>642</v>
      </c>
      <c r="K3264" s="739"/>
      <c r="L3264" s="754"/>
      <c r="M3264" s="735"/>
      <c r="N3264" s="753">
        <v>4</v>
      </c>
      <c r="O3264" s="754">
        <v>6</v>
      </c>
      <c r="P3264" s="736">
        <v>26689.8</v>
      </c>
      <c r="Q3264" s="214"/>
    </row>
    <row r="3265" spans="1:17" ht="12" customHeight="1" x14ac:dyDescent="0.2">
      <c r="A3265" s="735" t="s">
        <v>7733</v>
      </c>
      <c r="B3265" s="735" t="s">
        <v>2170</v>
      </c>
      <c r="C3265" s="735" t="s">
        <v>451</v>
      </c>
      <c r="D3265" s="644" t="s">
        <v>5832</v>
      </c>
      <c r="E3265" s="736">
        <v>3500</v>
      </c>
      <c r="F3265" s="737" t="s">
        <v>8943</v>
      </c>
      <c r="G3265" s="636" t="s">
        <v>8944</v>
      </c>
      <c r="H3265" s="636" t="s">
        <v>3522</v>
      </c>
      <c r="I3265" s="636" t="s">
        <v>2346</v>
      </c>
      <c r="J3265" s="644" t="s">
        <v>643</v>
      </c>
      <c r="K3265" s="739"/>
      <c r="L3265" s="754"/>
      <c r="M3265" s="735"/>
      <c r="N3265" s="753">
        <v>4</v>
      </c>
      <c r="O3265" s="754">
        <v>6</v>
      </c>
      <c r="P3265" s="736">
        <v>23689.8</v>
      </c>
      <c r="Q3265" s="214"/>
    </row>
    <row r="3266" spans="1:17" ht="12" customHeight="1" x14ac:dyDescent="0.2">
      <c r="A3266" s="735" t="s">
        <v>7733</v>
      </c>
      <c r="B3266" s="735" t="s">
        <v>2170</v>
      </c>
      <c r="C3266" s="735" t="s">
        <v>451</v>
      </c>
      <c r="D3266" s="644" t="s">
        <v>7946</v>
      </c>
      <c r="E3266" s="736">
        <v>4000</v>
      </c>
      <c r="F3266" s="737" t="s">
        <v>7980</v>
      </c>
      <c r="G3266" s="636" t="s">
        <v>7981</v>
      </c>
      <c r="H3266" s="636"/>
      <c r="I3266" s="636"/>
      <c r="J3266" s="644" t="s">
        <v>642</v>
      </c>
      <c r="K3266" s="739"/>
      <c r="L3266" s="754"/>
      <c r="M3266" s="735"/>
      <c r="N3266" s="753">
        <v>4</v>
      </c>
      <c r="O3266" s="754">
        <v>6</v>
      </c>
      <c r="P3266" s="736">
        <v>26689.8</v>
      </c>
      <c r="Q3266" s="214"/>
    </row>
    <row r="3267" spans="1:17" ht="12" customHeight="1" x14ac:dyDescent="0.2">
      <c r="A3267" s="735" t="s">
        <v>7733</v>
      </c>
      <c r="B3267" s="735" t="s">
        <v>2170</v>
      </c>
      <c r="C3267" s="735" t="s">
        <v>451</v>
      </c>
      <c r="D3267" s="644" t="s">
        <v>5832</v>
      </c>
      <c r="E3267" s="736">
        <v>3500</v>
      </c>
      <c r="F3267" s="737" t="s">
        <v>9459</v>
      </c>
      <c r="G3267" s="636" t="s">
        <v>9460</v>
      </c>
      <c r="H3267" s="636" t="s">
        <v>3754</v>
      </c>
      <c r="I3267" s="636" t="s">
        <v>2979</v>
      </c>
      <c r="J3267" s="644" t="s">
        <v>643</v>
      </c>
      <c r="K3267" s="739"/>
      <c r="L3267" s="754"/>
      <c r="M3267" s="735"/>
      <c r="N3267" s="753">
        <v>4</v>
      </c>
      <c r="O3267" s="754">
        <v>6</v>
      </c>
      <c r="P3267" s="736">
        <v>23689.8</v>
      </c>
      <c r="Q3267" s="214"/>
    </row>
    <row r="3268" spans="1:17" ht="12" customHeight="1" x14ac:dyDescent="0.2">
      <c r="A3268" s="735" t="s">
        <v>7733</v>
      </c>
      <c r="B3268" s="735" t="s">
        <v>2170</v>
      </c>
      <c r="C3268" s="735" t="s">
        <v>451</v>
      </c>
      <c r="D3268" s="644" t="s">
        <v>8288</v>
      </c>
      <c r="E3268" s="736">
        <v>2500</v>
      </c>
      <c r="F3268" s="737" t="s">
        <v>8289</v>
      </c>
      <c r="G3268" s="636" t="s">
        <v>8290</v>
      </c>
      <c r="H3268" s="636" t="s">
        <v>7280</v>
      </c>
      <c r="I3268" s="636" t="s">
        <v>3760</v>
      </c>
      <c r="J3268" s="644" t="s">
        <v>643</v>
      </c>
      <c r="K3268" s="739"/>
      <c r="L3268" s="754"/>
      <c r="M3268" s="735"/>
      <c r="N3268" s="753">
        <v>4</v>
      </c>
      <c r="O3268" s="754">
        <v>6</v>
      </c>
      <c r="P3268" s="736">
        <v>17689.8</v>
      </c>
      <c r="Q3268" s="214"/>
    </row>
    <row r="3269" spans="1:17" ht="12" customHeight="1" x14ac:dyDescent="0.2">
      <c r="A3269" s="735" t="s">
        <v>7733</v>
      </c>
      <c r="B3269" s="735" t="s">
        <v>2170</v>
      </c>
      <c r="C3269" s="735" t="s">
        <v>451</v>
      </c>
      <c r="D3269" s="644" t="s">
        <v>8045</v>
      </c>
      <c r="E3269" s="736">
        <v>3000</v>
      </c>
      <c r="F3269" s="737" t="s">
        <v>8217</v>
      </c>
      <c r="G3269" s="636" t="s">
        <v>8218</v>
      </c>
      <c r="H3269" s="636"/>
      <c r="I3269" s="636"/>
      <c r="J3269" s="644" t="s">
        <v>643</v>
      </c>
      <c r="K3269" s="739"/>
      <c r="L3269" s="754"/>
      <c r="M3269" s="735"/>
      <c r="N3269" s="753">
        <v>4</v>
      </c>
      <c r="O3269" s="754">
        <v>6</v>
      </c>
      <c r="P3269" s="736">
        <v>20689.8</v>
      </c>
      <c r="Q3269" s="214"/>
    </row>
    <row r="3270" spans="1:17" ht="12" customHeight="1" x14ac:dyDescent="0.2">
      <c r="A3270" s="735" t="s">
        <v>7733</v>
      </c>
      <c r="B3270" s="735" t="s">
        <v>2170</v>
      </c>
      <c r="C3270" s="735" t="s">
        <v>451</v>
      </c>
      <c r="D3270" s="644" t="s">
        <v>7882</v>
      </c>
      <c r="E3270" s="736">
        <v>6000</v>
      </c>
      <c r="F3270" s="737" t="s">
        <v>7883</v>
      </c>
      <c r="G3270" s="636" t="s">
        <v>7884</v>
      </c>
      <c r="H3270" s="636" t="s">
        <v>6707</v>
      </c>
      <c r="I3270" s="636" t="s">
        <v>2174</v>
      </c>
      <c r="J3270" s="644" t="s">
        <v>642</v>
      </c>
      <c r="K3270" s="739"/>
      <c r="L3270" s="754"/>
      <c r="M3270" s="735"/>
      <c r="N3270" s="753">
        <v>3</v>
      </c>
      <c r="O3270" s="754">
        <v>6</v>
      </c>
      <c r="P3270" s="736">
        <v>38689.800000000003</v>
      </c>
      <c r="Q3270" s="214"/>
    </row>
    <row r="3271" spans="1:17" ht="12" customHeight="1" x14ac:dyDescent="0.2">
      <c r="A3271" s="735" t="s">
        <v>7733</v>
      </c>
      <c r="B3271" s="735" t="s">
        <v>2170</v>
      </c>
      <c r="C3271" s="735" t="s">
        <v>451</v>
      </c>
      <c r="D3271" s="644" t="s">
        <v>2179</v>
      </c>
      <c r="E3271" s="736">
        <v>6000</v>
      </c>
      <c r="F3271" s="737" t="s">
        <v>7836</v>
      </c>
      <c r="G3271" s="636" t="s">
        <v>7837</v>
      </c>
      <c r="H3271" s="636" t="s">
        <v>6571</v>
      </c>
      <c r="I3271" s="636" t="s">
        <v>2179</v>
      </c>
      <c r="J3271" s="644" t="s">
        <v>642</v>
      </c>
      <c r="K3271" s="739"/>
      <c r="L3271" s="754"/>
      <c r="M3271" s="735"/>
      <c r="N3271" s="753">
        <v>4</v>
      </c>
      <c r="O3271" s="754">
        <v>6</v>
      </c>
      <c r="P3271" s="736">
        <v>38689.800000000003</v>
      </c>
      <c r="Q3271" s="214"/>
    </row>
    <row r="3272" spans="1:17" ht="12" customHeight="1" x14ac:dyDescent="0.2">
      <c r="A3272" s="735" t="s">
        <v>7733</v>
      </c>
      <c r="B3272" s="735" t="s">
        <v>2170</v>
      </c>
      <c r="C3272" s="735" t="s">
        <v>451</v>
      </c>
      <c r="D3272" s="644" t="s">
        <v>7907</v>
      </c>
      <c r="E3272" s="736">
        <v>3000</v>
      </c>
      <c r="F3272" s="737" t="s">
        <v>7908</v>
      </c>
      <c r="G3272" s="636" t="s">
        <v>7909</v>
      </c>
      <c r="H3272" s="636" t="s">
        <v>6633</v>
      </c>
      <c r="I3272" s="636"/>
      <c r="J3272" s="644" t="s">
        <v>643</v>
      </c>
      <c r="K3272" s="739"/>
      <c r="L3272" s="754"/>
      <c r="M3272" s="735"/>
      <c r="N3272" s="753">
        <v>5</v>
      </c>
      <c r="O3272" s="754">
        <v>5</v>
      </c>
      <c r="P3272" s="736">
        <v>17689.8</v>
      </c>
      <c r="Q3272" s="214"/>
    </row>
    <row r="3273" spans="1:17" ht="12" customHeight="1" x14ac:dyDescent="0.2">
      <c r="A3273" s="735" t="s">
        <v>7733</v>
      </c>
      <c r="B3273" s="735" t="s">
        <v>2170</v>
      </c>
      <c r="C3273" s="735" t="s">
        <v>451</v>
      </c>
      <c r="D3273" s="644" t="s">
        <v>8889</v>
      </c>
      <c r="E3273" s="736">
        <v>6000</v>
      </c>
      <c r="F3273" s="737" t="s">
        <v>8890</v>
      </c>
      <c r="G3273" s="636" t="s">
        <v>8891</v>
      </c>
      <c r="H3273" s="636" t="s">
        <v>6571</v>
      </c>
      <c r="I3273" s="636" t="s">
        <v>2179</v>
      </c>
      <c r="J3273" s="644" t="s">
        <v>642</v>
      </c>
      <c r="K3273" s="739"/>
      <c r="L3273" s="754"/>
      <c r="M3273" s="735"/>
      <c r="N3273" s="753">
        <v>4</v>
      </c>
      <c r="O3273" s="754">
        <v>6</v>
      </c>
      <c r="P3273" s="736">
        <v>38689.800000000003</v>
      </c>
      <c r="Q3273" s="214"/>
    </row>
    <row r="3274" spans="1:17" ht="12" customHeight="1" x14ac:dyDescent="0.2">
      <c r="A3274" s="735" t="s">
        <v>7733</v>
      </c>
      <c r="B3274" s="735" t="s">
        <v>2170</v>
      </c>
      <c r="C3274" s="735" t="s">
        <v>451</v>
      </c>
      <c r="D3274" s="644" t="s">
        <v>8236</v>
      </c>
      <c r="E3274" s="736">
        <v>3500</v>
      </c>
      <c r="F3274" s="737" t="s">
        <v>8620</v>
      </c>
      <c r="G3274" s="636" t="s">
        <v>8621</v>
      </c>
      <c r="H3274" s="636" t="s">
        <v>7782</v>
      </c>
      <c r="I3274" s="636" t="s">
        <v>2365</v>
      </c>
      <c r="J3274" s="644" t="s">
        <v>643</v>
      </c>
      <c r="K3274" s="739"/>
      <c r="L3274" s="754"/>
      <c r="M3274" s="735"/>
      <c r="N3274" s="753">
        <v>4</v>
      </c>
      <c r="O3274" s="754">
        <v>6</v>
      </c>
      <c r="P3274" s="736">
        <v>23689.8</v>
      </c>
      <c r="Q3274" s="214"/>
    </row>
    <row r="3275" spans="1:17" ht="12" customHeight="1" x14ac:dyDescent="0.2">
      <c r="A3275" s="735" t="s">
        <v>7733</v>
      </c>
      <c r="B3275" s="735" t="s">
        <v>2170</v>
      </c>
      <c r="C3275" s="735" t="s">
        <v>451</v>
      </c>
      <c r="D3275" s="644" t="s">
        <v>2261</v>
      </c>
      <c r="E3275" s="736">
        <v>2500</v>
      </c>
      <c r="F3275" s="737" t="s">
        <v>9933</v>
      </c>
      <c r="G3275" s="636" t="s">
        <v>9934</v>
      </c>
      <c r="H3275" s="636" t="s">
        <v>9935</v>
      </c>
      <c r="I3275" s="636" t="s">
        <v>9935</v>
      </c>
      <c r="J3275" s="644" t="s">
        <v>644</v>
      </c>
      <c r="K3275" s="739"/>
      <c r="L3275" s="754"/>
      <c r="M3275" s="735"/>
      <c r="N3275" s="753">
        <v>4</v>
      </c>
      <c r="O3275" s="754">
        <v>6</v>
      </c>
      <c r="P3275" s="736">
        <v>17689.8</v>
      </c>
      <c r="Q3275" s="214"/>
    </row>
    <row r="3276" spans="1:17" ht="12" customHeight="1" x14ac:dyDescent="0.2">
      <c r="A3276" s="735" t="s">
        <v>7733</v>
      </c>
      <c r="B3276" s="735" t="s">
        <v>2170</v>
      </c>
      <c r="C3276" s="735" t="s">
        <v>451</v>
      </c>
      <c r="D3276" s="644" t="s">
        <v>7901</v>
      </c>
      <c r="E3276" s="736">
        <v>2500</v>
      </c>
      <c r="F3276" s="737" t="s">
        <v>9320</v>
      </c>
      <c r="G3276" s="636" t="s">
        <v>9321</v>
      </c>
      <c r="H3276" s="636" t="s">
        <v>9322</v>
      </c>
      <c r="I3276" s="636" t="s">
        <v>7974</v>
      </c>
      <c r="J3276" s="644" t="s">
        <v>644</v>
      </c>
      <c r="K3276" s="739"/>
      <c r="L3276" s="754"/>
      <c r="M3276" s="735"/>
      <c r="N3276" s="753">
        <v>5</v>
      </c>
      <c r="O3276" s="754">
        <v>6</v>
      </c>
      <c r="P3276" s="736">
        <v>17689.8</v>
      </c>
      <c r="Q3276" s="214"/>
    </row>
    <row r="3277" spans="1:17" ht="12" customHeight="1" x14ac:dyDescent="0.2">
      <c r="A3277" s="735" t="s">
        <v>7733</v>
      </c>
      <c r="B3277" s="735" t="s">
        <v>2170</v>
      </c>
      <c r="C3277" s="735" t="s">
        <v>451</v>
      </c>
      <c r="D3277" s="644" t="s">
        <v>8414</v>
      </c>
      <c r="E3277" s="736">
        <v>3000</v>
      </c>
      <c r="F3277" s="737" t="s">
        <v>8603</v>
      </c>
      <c r="G3277" s="636" t="s">
        <v>8604</v>
      </c>
      <c r="H3277" s="636"/>
      <c r="I3277" s="636"/>
      <c r="J3277" s="644" t="s">
        <v>643</v>
      </c>
      <c r="K3277" s="739"/>
      <c r="L3277" s="754"/>
      <c r="M3277" s="735"/>
      <c r="N3277" s="753">
        <v>4</v>
      </c>
      <c r="O3277" s="754">
        <v>6</v>
      </c>
      <c r="P3277" s="736">
        <v>20689.8</v>
      </c>
      <c r="Q3277" s="214"/>
    </row>
    <row r="3278" spans="1:17" ht="12" customHeight="1" x14ac:dyDescent="0.2">
      <c r="A3278" s="735" t="s">
        <v>7733</v>
      </c>
      <c r="B3278" s="735" t="s">
        <v>2170</v>
      </c>
      <c r="C3278" s="735" t="s">
        <v>451</v>
      </c>
      <c r="D3278" s="644" t="s">
        <v>9377</v>
      </c>
      <c r="E3278" s="736">
        <v>2000</v>
      </c>
      <c r="F3278" s="737" t="s">
        <v>9378</v>
      </c>
      <c r="G3278" s="636" t="s">
        <v>9379</v>
      </c>
      <c r="H3278" s="636" t="s">
        <v>7858</v>
      </c>
      <c r="I3278" s="636"/>
      <c r="J3278" s="644" t="s">
        <v>643</v>
      </c>
      <c r="K3278" s="739"/>
      <c r="L3278" s="754"/>
      <c r="M3278" s="735"/>
      <c r="N3278" s="753">
        <v>4</v>
      </c>
      <c r="O3278" s="754">
        <v>6</v>
      </c>
      <c r="P3278" s="736">
        <v>14689.8</v>
      </c>
      <c r="Q3278" s="214"/>
    </row>
    <row r="3279" spans="1:17" ht="12" customHeight="1" x14ac:dyDescent="0.2">
      <c r="A3279" s="735" t="s">
        <v>7733</v>
      </c>
      <c r="B3279" s="735" t="s">
        <v>2170</v>
      </c>
      <c r="C3279" s="735" t="s">
        <v>451</v>
      </c>
      <c r="D3279" s="644" t="s">
        <v>9431</v>
      </c>
      <c r="E3279" s="736">
        <v>2500</v>
      </c>
      <c r="F3279" s="737" t="s">
        <v>9432</v>
      </c>
      <c r="G3279" s="636" t="s">
        <v>9433</v>
      </c>
      <c r="H3279" s="636" t="s">
        <v>7816</v>
      </c>
      <c r="I3279" s="636" t="s">
        <v>7874</v>
      </c>
      <c r="J3279" s="644" t="s">
        <v>643</v>
      </c>
      <c r="K3279" s="739"/>
      <c r="L3279" s="754"/>
      <c r="M3279" s="735"/>
      <c r="N3279" s="753">
        <v>4</v>
      </c>
      <c r="O3279" s="754">
        <v>6</v>
      </c>
      <c r="P3279" s="736">
        <v>17689.8</v>
      </c>
      <c r="Q3279" s="214"/>
    </row>
    <row r="3280" spans="1:17" ht="12" customHeight="1" x14ac:dyDescent="0.2">
      <c r="A3280" s="735" t="s">
        <v>7733</v>
      </c>
      <c r="B3280" s="735" t="s">
        <v>2170</v>
      </c>
      <c r="C3280" s="735" t="s">
        <v>451</v>
      </c>
      <c r="D3280" s="644" t="s">
        <v>8959</v>
      </c>
      <c r="E3280" s="736">
        <v>6000</v>
      </c>
      <c r="F3280" s="737" t="s">
        <v>8960</v>
      </c>
      <c r="G3280" s="636" t="s">
        <v>8961</v>
      </c>
      <c r="H3280" s="636" t="s">
        <v>7752</v>
      </c>
      <c r="I3280" s="636" t="s">
        <v>2179</v>
      </c>
      <c r="J3280" s="644" t="s">
        <v>642</v>
      </c>
      <c r="K3280" s="739"/>
      <c r="L3280" s="754"/>
      <c r="M3280" s="735"/>
      <c r="N3280" s="753">
        <v>2</v>
      </c>
      <c r="O3280" s="754">
        <v>2</v>
      </c>
      <c r="P3280" s="736">
        <v>14689.8</v>
      </c>
      <c r="Q3280" s="214"/>
    </row>
    <row r="3281" spans="1:17" ht="12" customHeight="1" x14ac:dyDescent="0.2">
      <c r="A3281" s="735" t="s">
        <v>7733</v>
      </c>
      <c r="B3281" s="735" t="s">
        <v>2170</v>
      </c>
      <c r="C3281" s="735" t="s">
        <v>451</v>
      </c>
      <c r="D3281" s="644" t="s">
        <v>7774</v>
      </c>
      <c r="E3281" s="736">
        <v>6000</v>
      </c>
      <c r="F3281" s="737" t="s">
        <v>7775</v>
      </c>
      <c r="G3281" s="636" t="s">
        <v>7776</v>
      </c>
      <c r="H3281" s="636" t="s">
        <v>7752</v>
      </c>
      <c r="I3281" s="636" t="s">
        <v>2179</v>
      </c>
      <c r="J3281" s="644" t="s">
        <v>642</v>
      </c>
      <c r="K3281" s="739"/>
      <c r="L3281" s="754"/>
      <c r="M3281" s="735"/>
      <c r="N3281" s="753">
        <v>4</v>
      </c>
      <c r="O3281" s="754">
        <v>6</v>
      </c>
      <c r="P3281" s="736">
        <v>38689.800000000003</v>
      </c>
      <c r="Q3281" s="214"/>
    </row>
    <row r="3282" spans="1:17" ht="12" customHeight="1" x14ac:dyDescent="0.2">
      <c r="A3282" s="735" t="s">
        <v>7733</v>
      </c>
      <c r="B3282" s="735" t="s">
        <v>2170</v>
      </c>
      <c r="C3282" s="735" t="s">
        <v>451</v>
      </c>
      <c r="D3282" s="644" t="s">
        <v>7779</v>
      </c>
      <c r="E3282" s="736">
        <v>4000</v>
      </c>
      <c r="F3282" s="737" t="s">
        <v>9710</v>
      </c>
      <c r="G3282" s="636" t="s">
        <v>9711</v>
      </c>
      <c r="H3282" s="636" t="s">
        <v>8000</v>
      </c>
      <c r="I3282" s="636" t="s">
        <v>2478</v>
      </c>
      <c r="J3282" s="644" t="s">
        <v>642</v>
      </c>
      <c r="K3282" s="739"/>
      <c r="L3282" s="754"/>
      <c r="M3282" s="735"/>
      <c r="N3282" s="753">
        <v>6</v>
      </c>
      <c r="O3282" s="754">
        <v>6</v>
      </c>
      <c r="P3282" s="736">
        <v>26689.8</v>
      </c>
      <c r="Q3282" s="214"/>
    </row>
    <row r="3283" spans="1:17" ht="12" customHeight="1" x14ac:dyDescent="0.2">
      <c r="A3283" s="735" t="s">
        <v>7733</v>
      </c>
      <c r="B3283" s="735" t="s">
        <v>2170</v>
      </c>
      <c r="C3283" s="735" t="s">
        <v>451</v>
      </c>
      <c r="D3283" s="644" t="s">
        <v>7855</v>
      </c>
      <c r="E3283" s="736">
        <v>2200</v>
      </c>
      <c r="F3283" s="737" t="s">
        <v>9640</v>
      </c>
      <c r="G3283" s="636" t="s">
        <v>9641</v>
      </c>
      <c r="H3283" s="636" t="s">
        <v>7904</v>
      </c>
      <c r="I3283" s="636" t="s">
        <v>7858</v>
      </c>
      <c r="J3283" s="644" t="s">
        <v>644</v>
      </c>
      <c r="K3283" s="739"/>
      <c r="L3283" s="754"/>
      <c r="M3283" s="735"/>
      <c r="N3283" s="753">
        <v>4</v>
      </c>
      <c r="O3283" s="754">
        <v>6</v>
      </c>
      <c r="P3283" s="736">
        <v>15889.8</v>
      </c>
      <c r="Q3283" s="214"/>
    </row>
    <row r="3284" spans="1:17" ht="12" customHeight="1" x14ac:dyDescent="0.2">
      <c r="A3284" s="735" t="s">
        <v>7733</v>
      </c>
      <c r="B3284" s="735" t="s">
        <v>2170</v>
      </c>
      <c r="C3284" s="735" t="s">
        <v>451</v>
      </c>
      <c r="D3284" s="644" t="s">
        <v>8285</v>
      </c>
      <c r="E3284" s="736">
        <v>3500</v>
      </c>
      <c r="F3284" s="737" t="s">
        <v>9997</v>
      </c>
      <c r="G3284" s="636" t="s">
        <v>9998</v>
      </c>
      <c r="H3284" s="636" t="s">
        <v>8022</v>
      </c>
      <c r="I3284" s="636" t="s">
        <v>8462</v>
      </c>
      <c r="J3284" s="644" t="s">
        <v>644</v>
      </c>
      <c r="K3284" s="739"/>
      <c r="L3284" s="754"/>
      <c r="M3284" s="735"/>
      <c r="N3284" s="753">
        <v>4</v>
      </c>
      <c r="O3284" s="754">
        <v>6</v>
      </c>
      <c r="P3284" s="736">
        <v>23689.8</v>
      </c>
      <c r="Q3284" s="214"/>
    </row>
    <row r="3285" spans="1:17" ht="12" customHeight="1" x14ac:dyDescent="0.2">
      <c r="A3285" s="735" t="s">
        <v>7733</v>
      </c>
      <c r="B3285" s="735" t="s">
        <v>2170</v>
      </c>
      <c r="C3285" s="735" t="s">
        <v>451</v>
      </c>
      <c r="D3285" s="644" t="s">
        <v>2261</v>
      </c>
      <c r="E3285" s="736">
        <v>3500</v>
      </c>
      <c r="F3285" s="737" t="s">
        <v>9791</v>
      </c>
      <c r="G3285" s="636" t="s">
        <v>9792</v>
      </c>
      <c r="H3285" s="636" t="s">
        <v>6848</v>
      </c>
      <c r="I3285" s="636" t="s">
        <v>2602</v>
      </c>
      <c r="J3285" s="644" t="s">
        <v>643</v>
      </c>
      <c r="K3285" s="739"/>
      <c r="L3285" s="754"/>
      <c r="M3285" s="735"/>
      <c r="N3285" s="753">
        <v>4</v>
      </c>
      <c r="O3285" s="754">
        <v>6</v>
      </c>
      <c r="P3285" s="736">
        <v>23689.8</v>
      </c>
      <c r="Q3285" s="214"/>
    </row>
    <row r="3286" spans="1:17" ht="12" customHeight="1" x14ac:dyDescent="0.2">
      <c r="A3286" s="735" t="s">
        <v>7733</v>
      </c>
      <c r="B3286" s="735" t="s">
        <v>2170</v>
      </c>
      <c r="C3286" s="735" t="s">
        <v>451</v>
      </c>
      <c r="D3286" s="644" t="s">
        <v>8285</v>
      </c>
      <c r="E3286" s="736">
        <v>3500</v>
      </c>
      <c r="F3286" s="737" t="s">
        <v>8642</v>
      </c>
      <c r="G3286" s="636" t="s">
        <v>8643</v>
      </c>
      <c r="H3286" s="636" t="s">
        <v>3915</v>
      </c>
      <c r="I3286" s="636" t="s">
        <v>8644</v>
      </c>
      <c r="J3286" s="644" t="s">
        <v>643</v>
      </c>
      <c r="K3286" s="739"/>
      <c r="L3286" s="754"/>
      <c r="M3286" s="735"/>
      <c r="N3286" s="753">
        <v>3</v>
      </c>
      <c r="O3286" s="754">
        <v>3</v>
      </c>
      <c r="P3286" s="736">
        <v>13189.8</v>
      </c>
      <c r="Q3286" s="214"/>
    </row>
    <row r="3287" spans="1:17" ht="12" customHeight="1" x14ac:dyDescent="0.2">
      <c r="A3287" s="735" t="s">
        <v>7733</v>
      </c>
      <c r="B3287" s="735" t="s">
        <v>2170</v>
      </c>
      <c r="C3287" s="735" t="s">
        <v>451</v>
      </c>
      <c r="D3287" s="644" t="s">
        <v>9279</v>
      </c>
      <c r="E3287" s="736">
        <v>5000</v>
      </c>
      <c r="F3287" s="737" t="s">
        <v>9280</v>
      </c>
      <c r="G3287" s="636" t="s">
        <v>9281</v>
      </c>
      <c r="H3287" s="636" t="s">
        <v>9282</v>
      </c>
      <c r="I3287" s="636" t="s">
        <v>7879</v>
      </c>
      <c r="J3287" s="644" t="s">
        <v>643</v>
      </c>
      <c r="K3287" s="739"/>
      <c r="L3287" s="754"/>
      <c r="M3287" s="735"/>
      <c r="N3287" s="753">
        <v>4</v>
      </c>
      <c r="O3287" s="754">
        <v>6</v>
      </c>
      <c r="P3287" s="736">
        <v>32689.8</v>
      </c>
      <c r="Q3287" s="214"/>
    </row>
    <row r="3288" spans="1:17" ht="12" customHeight="1" x14ac:dyDescent="0.2">
      <c r="A3288" s="735" t="s">
        <v>7733</v>
      </c>
      <c r="B3288" s="735" t="s">
        <v>2170</v>
      </c>
      <c r="C3288" s="735" t="s">
        <v>451</v>
      </c>
      <c r="D3288" s="644" t="s">
        <v>9304</v>
      </c>
      <c r="E3288" s="736">
        <v>3800</v>
      </c>
      <c r="F3288" s="737" t="s">
        <v>9305</v>
      </c>
      <c r="G3288" s="636" t="s">
        <v>9306</v>
      </c>
      <c r="H3288" s="636" t="s">
        <v>3522</v>
      </c>
      <c r="I3288" s="636" t="s">
        <v>2346</v>
      </c>
      <c r="J3288" s="644" t="s">
        <v>643</v>
      </c>
      <c r="K3288" s="739"/>
      <c r="L3288" s="754"/>
      <c r="M3288" s="735"/>
      <c r="N3288" s="753">
        <v>4</v>
      </c>
      <c r="O3288" s="754">
        <v>6</v>
      </c>
      <c r="P3288" s="736">
        <v>25489.8</v>
      </c>
      <c r="Q3288" s="214"/>
    </row>
    <row r="3289" spans="1:17" ht="12" customHeight="1" x14ac:dyDescent="0.2">
      <c r="A3289" s="735" t="s">
        <v>7733</v>
      </c>
      <c r="B3289" s="735" t="s">
        <v>2170</v>
      </c>
      <c r="C3289" s="735" t="s">
        <v>451</v>
      </c>
      <c r="D3289" s="644" t="s">
        <v>8794</v>
      </c>
      <c r="E3289" s="736">
        <v>3000</v>
      </c>
      <c r="F3289" s="737" t="s">
        <v>9973</v>
      </c>
      <c r="G3289" s="636" t="s">
        <v>9974</v>
      </c>
      <c r="H3289" s="636" t="s">
        <v>6571</v>
      </c>
      <c r="I3289" s="636" t="s">
        <v>8344</v>
      </c>
      <c r="J3289" s="644" t="s">
        <v>642</v>
      </c>
      <c r="K3289" s="739"/>
      <c r="L3289" s="754"/>
      <c r="M3289" s="735"/>
      <c r="N3289" s="753">
        <v>4</v>
      </c>
      <c r="O3289" s="754">
        <v>6</v>
      </c>
      <c r="P3289" s="736">
        <v>20689.8</v>
      </c>
      <c r="Q3289" s="214"/>
    </row>
    <row r="3290" spans="1:17" ht="12" customHeight="1" x14ac:dyDescent="0.2">
      <c r="A3290" s="735" t="s">
        <v>7733</v>
      </c>
      <c r="B3290" s="735" t="s">
        <v>2170</v>
      </c>
      <c r="C3290" s="735" t="s">
        <v>451</v>
      </c>
      <c r="D3290" s="644" t="s">
        <v>2261</v>
      </c>
      <c r="E3290" s="736">
        <v>2500</v>
      </c>
      <c r="F3290" s="737" t="s">
        <v>8878</v>
      </c>
      <c r="G3290" s="636" t="s">
        <v>8879</v>
      </c>
      <c r="H3290" s="636" t="s">
        <v>3754</v>
      </c>
      <c r="I3290" s="636" t="s">
        <v>2979</v>
      </c>
      <c r="J3290" s="644" t="s">
        <v>643</v>
      </c>
      <c r="K3290" s="739"/>
      <c r="L3290" s="754"/>
      <c r="M3290" s="735"/>
      <c r="N3290" s="753">
        <v>4</v>
      </c>
      <c r="O3290" s="754">
        <v>6</v>
      </c>
      <c r="P3290" s="736">
        <v>17689.8</v>
      </c>
      <c r="Q3290" s="214"/>
    </row>
    <row r="3291" spans="1:17" ht="12" customHeight="1" x14ac:dyDescent="0.2">
      <c r="A3291" s="735" t="s">
        <v>7733</v>
      </c>
      <c r="B3291" s="735" t="s">
        <v>2170</v>
      </c>
      <c r="C3291" s="735" t="s">
        <v>451</v>
      </c>
      <c r="D3291" s="644" t="s">
        <v>8906</v>
      </c>
      <c r="E3291" s="736">
        <v>6000</v>
      </c>
      <c r="F3291" s="737" t="s">
        <v>8907</v>
      </c>
      <c r="G3291" s="636" t="s">
        <v>8908</v>
      </c>
      <c r="H3291" s="636" t="s">
        <v>6571</v>
      </c>
      <c r="I3291" s="636"/>
      <c r="J3291" s="644" t="s">
        <v>642</v>
      </c>
      <c r="K3291" s="739"/>
      <c r="L3291" s="754"/>
      <c r="M3291" s="735"/>
      <c r="N3291" s="753">
        <v>4</v>
      </c>
      <c r="O3291" s="754">
        <v>6</v>
      </c>
      <c r="P3291" s="736">
        <v>38689.800000000003</v>
      </c>
      <c r="Q3291" s="214"/>
    </row>
    <row r="3292" spans="1:17" ht="12" customHeight="1" x14ac:dyDescent="0.2">
      <c r="A3292" s="735" t="s">
        <v>7733</v>
      </c>
      <c r="B3292" s="735" t="s">
        <v>2170</v>
      </c>
      <c r="C3292" s="735" t="s">
        <v>451</v>
      </c>
      <c r="D3292" s="644" t="s">
        <v>8486</v>
      </c>
      <c r="E3292" s="736">
        <v>7500</v>
      </c>
      <c r="F3292" s="737" t="s">
        <v>9771</v>
      </c>
      <c r="G3292" s="636" t="s">
        <v>9772</v>
      </c>
      <c r="H3292" s="636" t="s">
        <v>6571</v>
      </c>
      <c r="I3292" s="636" t="s">
        <v>2179</v>
      </c>
      <c r="J3292" s="644" t="s">
        <v>642</v>
      </c>
      <c r="K3292" s="739"/>
      <c r="L3292" s="754"/>
      <c r="M3292" s="735"/>
      <c r="N3292" s="753">
        <v>2</v>
      </c>
      <c r="O3292" s="754">
        <v>2</v>
      </c>
      <c r="P3292" s="736">
        <v>17689.8</v>
      </c>
      <c r="Q3292" s="214"/>
    </row>
    <row r="3293" spans="1:17" ht="12" customHeight="1" x14ac:dyDescent="0.2">
      <c r="A3293" s="735" t="s">
        <v>7733</v>
      </c>
      <c r="B3293" s="735" t="s">
        <v>2170</v>
      </c>
      <c r="C3293" s="735" t="s">
        <v>451</v>
      </c>
      <c r="D3293" s="644" t="s">
        <v>9265</v>
      </c>
      <c r="E3293" s="736">
        <v>3000</v>
      </c>
      <c r="F3293" s="737" t="s">
        <v>9266</v>
      </c>
      <c r="G3293" s="636" t="s">
        <v>9267</v>
      </c>
      <c r="H3293" s="636" t="s">
        <v>8089</v>
      </c>
      <c r="I3293" s="636" t="s">
        <v>8559</v>
      </c>
      <c r="J3293" s="644" t="s">
        <v>642</v>
      </c>
      <c r="K3293" s="739"/>
      <c r="L3293" s="754"/>
      <c r="M3293" s="735"/>
      <c r="N3293" s="753">
        <v>4</v>
      </c>
      <c r="O3293" s="754">
        <v>6</v>
      </c>
      <c r="P3293" s="736">
        <v>20689.8</v>
      </c>
      <c r="Q3293" s="214"/>
    </row>
    <row r="3294" spans="1:17" ht="12" customHeight="1" x14ac:dyDescent="0.2">
      <c r="A3294" s="735" t="s">
        <v>7733</v>
      </c>
      <c r="B3294" s="735" t="s">
        <v>2170</v>
      </c>
      <c r="C3294" s="735" t="s">
        <v>451</v>
      </c>
      <c r="D3294" s="644" t="s">
        <v>2190</v>
      </c>
      <c r="E3294" s="736">
        <v>2200</v>
      </c>
      <c r="F3294" s="737" t="s">
        <v>7852</v>
      </c>
      <c r="G3294" s="636" t="s">
        <v>7853</v>
      </c>
      <c r="H3294" s="636" t="s">
        <v>7854</v>
      </c>
      <c r="I3294" s="636" t="s">
        <v>7854</v>
      </c>
      <c r="J3294" s="644" t="s">
        <v>643</v>
      </c>
      <c r="K3294" s="739"/>
      <c r="L3294" s="754"/>
      <c r="M3294" s="735"/>
      <c r="N3294" s="753">
        <v>4</v>
      </c>
      <c r="O3294" s="754">
        <v>6</v>
      </c>
      <c r="P3294" s="736">
        <v>15889.8</v>
      </c>
      <c r="Q3294" s="214"/>
    </row>
    <row r="3295" spans="1:17" ht="12" customHeight="1" x14ac:dyDescent="0.2">
      <c r="A3295" s="735" t="s">
        <v>7733</v>
      </c>
      <c r="B3295" s="735" t="s">
        <v>2170</v>
      </c>
      <c r="C3295" s="735" t="s">
        <v>451</v>
      </c>
      <c r="D3295" s="644" t="s">
        <v>8310</v>
      </c>
      <c r="E3295" s="736">
        <v>4000</v>
      </c>
      <c r="F3295" s="737" t="s">
        <v>8311</v>
      </c>
      <c r="G3295" s="636" t="s">
        <v>8312</v>
      </c>
      <c r="H3295" s="636" t="s">
        <v>7752</v>
      </c>
      <c r="I3295" s="636" t="s">
        <v>2179</v>
      </c>
      <c r="J3295" s="644" t="s">
        <v>642</v>
      </c>
      <c r="K3295" s="739"/>
      <c r="L3295" s="754"/>
      <c r="M3295" s="735"/>
      <c r="N3295" s="753">
        <v>4</v>
      </c>
      <c r="O3295" s="754">
        <v>6</v>
      </c>
      <c r="P3295" s="736">
        <v>26689.8</v>
      </c>
      <c r="Q3295" s="214"/>
    </row>
    <row r="3296" spans="1:17" ht="12" customHeight="1" x14ac:dyDescent="0.2">
      <c r="A3296" s="735" t="s">
        <v>7733</v>
      </c>
      <c r="B3296" s="735" t="s">
        <v>2170</v>
      </c>
      <c r="C3296" s="735" t="s">
        <v>451</v>
      </c>
      <c r="D3296" s="644" t="s">
        <v>7740</v>
      </c>
      <c r="E3296" s="736">
        <v>2500</v>
      </c>
      <c r="F3296" s="737" t="s">
        <v>9673</v>
      </c>
      <c r="G3296" s="636" t="s">
        <v>9674</v>
      </c>
      <c r="H3296" s="636" t="s">
        <v>7782</v>
      </c>
      <c r="I3296" s="636" t="s">
        <v>2766</v>
      </c>
      <c r="J3296" s="644" t="s">
        <v>643</v>
      </c>
      <c r="K3296" s="739"/>
      <c r="L3296" s="754"/>
      <c r="M3296" s="735"/>
      <c r="N3296" s="753">
        <v>4</v>
      </c>
      <c r="O3296" s="754">
        <v>6</v>
      </c>
      <c r="P3296" s="736">
        <v>17689.8</v>
      </c>
      <c r="Q3296" s="214"/>
    </row>
    <row r="3297" spans="1:17" ht="12" customHeight="1" x14ac:dyDescent="0.2">
      <c r="A3297" s="735" t="s">
        <v>7733</v>
      </c>
      <c r="B3297" s="735" t="s">
        <v>2170</v>
      </c>
      <c r="C3297" s="735" t="s">
        <v>451</v>
      </c>
      <c r="D3297" s="644" t="s">
        <v>7855</v>
      </c>
      <c r="E3297" s="736">
        <v>2200</v>
      </c>
      <c r="F3297" s="737" t="s">
        <v>9418</v>
      </c>
      <c r="G3297" s="636" t="s">
        <v>9419</v>
      </c>
      <c r="H3297" s="636" t="s">
        <v>8813</v>
      </c>
      <c r="I3297" s="636" t="s">
        <v>3760</v>
      </c>
      <c r="J3297" s="644" t="s">
        <v>644</v>
      </c>
      <c r="K3297" s="739"/>
      <c r="L3297" s="754"/>
      <c r="M3297" s="735"/>
      <c r="N3297" s="753">
        <v>4</v>
      </c>
      <c r="O3297" s="754">
        <v>6</v>
      </c>
      <c r="P3297" s="736">
        <v>15889.8</v>
      </c>
      <c r="Q3297" s="214"/>
    </row>
    <row r="3298" spans="1:17" ht="12" customHeight="1" x14ac:dyDescent="0.2">
      <c r="A3298" s="735" t="s">
        <v>7733</v>
      </c>
      <c r="B3298" s="735" t="s">
        <v>2170</v>
      </c>
      <c r="C3298" s="735" t="s">
        <v>451</v>
      </c>
      <c r="D3298" s="644" t="s">
        <v>7868</v>
      </c>
      <c r="E3298" s="736">
        <v>4000</v>
      </c>
      <c r="F3298" s="737" t="s">
        <v>9634</v>
      </c>
      <c r="G3298" s="636" t="s">
        <v>9635</v>
      </c>
      <c r="H3298" s="636" t="s">
        <v>6571</v>
      </c>
      <c r="I3298" s="636" t="s">
        <v>2179</v>
      </c>
      <c r="J3298" s="644" t="s">
        <v>642</v>
      </c>
      <c r="K3298" s="739"/>
      <c r="L3298" s="754"/>
      <c r="M3298" s="735"/>
      <c r="N3298" s="753">
        <v>4</v>
      </c>
      <c r="O3298" s="754">
        <v>6</v>
      </c>
      <c r="P3298" s="736">
        <v>26689.8</v>
      </c>
      <c r="Q3298" s="214"/>
    </row>
    <row r="3299" spans="1:17" ht="12" customHeight="1" x14ac:dyDescent="0.2">
      <c r="A3299" s="735" t="s">
        <v>7733</v>
      </c>
      <c r="B3299" s="735" t="s">
        <v>2170</v>
      </c>
      <c r="C3299" s="735" t="s">
        <v>451</v>
      </c>
      <c r="D3299" s="644" t="s">
        <v>7932</v>
      </c>
      <c r="E3299" s="736">
        <v>3000</v>
      </c>
      <c r="F3299" s="737" t="s">
        <v>8175</v>
      </c>
      <c r="G3299" s="636" t="s">
        <v>8176</v>
      </c>
      <c r="H3299" s="636" t="s">
        <v>8000</v>
      </c>
      <c r="I3299" s="636"/>
      <c r="J3299" s="644" t="s">
        <v>642</v>
      </c>
      <c r="K3299" s="739"/>
      <c r="L3299" s="754"/>
      <c r="M3299" s="735"/>
      <c r="N3299" s="753">
        <v>4</v>
      </c>
      <c r="O3299" s="754">
        <v>6</v>
      </c>
      <c r="P3299" s="736">
        <v>20689.8</v>
      </c>
      <c r="Q3299" s="214"/>
    </row>
    <row r="3300" spans="1:17" ht="12" customHeight="1" x14ac:dyDescent="0.2">
      <c r="A3300" s="735" t="s">
        <v>7733</v>
      </c>
      <c r="B3300" s="735" t="s">
        <v>2170</v>
      </c>
      <c r="C3300" s="735" t="s">
        <v>451</v>
      </c>
      <c r="D3300" s="644" t="s">
        <v>8236</v>
      </c>
      <c r="E3300" s="736">
        <v>4000</v>
      </c>
      <c r="F3300" s="737" t="s">
        <v>8237</v>
      </c>
      <c r="G3300" s="636" t="s">
        <v>8238</v>
      </c>
      <c r="H3300" s="636" t="s">
        <v>7782</v>
      </c>
      <c r="I3300" s="636" t="s">
        <v>2208</v>
      </c>
      <c r="J3300" s="644" t="s">
        <v>642</v>
      </c>
      <c r="K3300" s="739"/>
      <c r="L3300" s="754"/>
      <c r="M3300" s="735"/>
      <c r="N3300" s="753">
        <v>4</v>
      </c>
      <c r="O3300" s="754">
        <v>6</v>
      </c>
      <c r="P3300" s="736">
        <v>26689.8</v>
      </c>
      <c r="Q3300" s="214"/>
    </row>
    <row r="3301" spans="1:17" ht="12" customHeight="1" x14ac:dyDescent="0.2">
      <c r="A3301" s="735" t="s">
        <v>7733</v>
      </c>
      <c r="B3301" s="735" t="s">
        <v>2170</v>
      </c>
      <c r="C3301" s="735" t="s">
        <v>451</v>
      </c>
      <c r="D3301" s="644" t="s">
        <v>8328</v>
      </c>
      <c r="E3301" s="736">
        <v>4500</v>
      </c>
      <c r="F3301" s="737" t="s">
        <v>8365</v>
      </c>
      <c r="G3301" s="636" t="s">
        <v>8366</v>
      </c>
      <c r="H3301" s="636" t="s">
        <v>8000</v>
      </c>
      <c r="I3301" s="636" t="s">
        <v>2478</v>
      </c>
      <c r="J3301" s="644" t="s">
        <v>642</v>
      </c>
      <c r="K3301" s="739"/>
      <c r="L3301" s="754"/>
      <c r="M3301" s="735"/>
      <c r="N3301" s="753">
        <v>5</v>
      </c>
      <c r="O3301" s="754">
        <v>6</v>
      </c>
      <c r="P3301" s="736">
        <v>29689.8</v>
      </c>
      <c r="Q3301" s="214"/>
    </row>
    <row r="3302" spans="1:17" ht="12" customHeight="1" x14ac:dyDescent="0.2">
      <c r="A3302" s="735" t="s">
        <v>7733</v>
      </c>
      <c r="B3302" s="735" t="s">
        <v>2170</v>
      </c>
      <c r="C3302" s="735" t="s">
        <v>451</v>
      </c>
      <c r="D3302" s="644" t="s">
        <v>8298</v>
      </c>
      <c r="E3302" s="736">
        <v>1200</v>
      </c>
      <c r="F3302" s="737" t="s">
        <v>10009</v>
      </c>
      <c r="G3302" s="636" t="s">
        <v>10010</v>
      </c>
      <c r="H3302" s="636" t="s">
        <v>10194</v>
      </c>
      <c r="I3302" s="636"/>
      <c r="J3302" s="644" t="s">
        <v>644</v>
      </c>
      <c r="K3302" s="739"/>
      <c r="L3302" s="754"/>
      <c r="M3302" s="735"/>
      <c r="N3302" s="753">
        <v>4</v>
      </c>
      <c r="O3302" s="754">
        <v>6</v>
      </c>
      <c r="P3302" s="736">
        <v>9096</v>
      </c>
      <c r="Q3302" s="214"/>
    </row>
    <row r="3303" spans="1:17" ht="12" customHeight="1" x14ac:dyDescent="0.2">
      <c r="A3303" s="735" t="s">
        <v>7733</v>
      </c>
      <c r="B3303" s="735" t="s">
        <v>2170</v>
      </c>
      <c r="C3303" s="735" t="s">
        <v>451</v>
      </c>
      <c r="D3303" s="644" t="s">
        <v>8032</v>
      </c>
      <c r="E3303" s="736">
        <v>3200</v>
      </c>
      <c r="F3303" s="737" t="s">
        <v>8698</v>
      </c>
      <c r="G3303" s="636" t="s">
        <v>8699</v>
      </c>
      <c r="H3303" s="636" t="s">
        <v>8700</v>
      </c>
      <c r="I3303" s="636" t="s">
        <v>7874</v>
      </c>
      <c r="J3303" s="644" t="s">
        <v>643</v>
      </c>
      <c r="K3303" s="739"/>
      <c r="L3303" s="754"/>
      <c r="M3303" s="735"/>
      <c r="N3303" s="753">
        <v>6</v>
      </c>
      <c r="O3303" s="754">
        <v>6</v>
      </c>
      <c r="P3303" s="736">
        <v>21889.8</v>
      </c>
      <c r="Q3303" s="214"/>
    </row>
    <row r="3304" spans="1:17" ht="12" customHeight="1" x14ac:dyDescent="0.2">
      <c r="A3304" s="735" t="s">
        <v>7733</v>
      </c>
      <c r="B3304" s="735" t="s">
        <v>2170</v>
      </c>
      <c r="C3304" s="735" t="s">
        <v>451</v>
      </c>
      <c r="D3304" s="644" t="s">
        <v>9316</v>
      </c>
      <c r="E3304" s="736">
        <v>4000</v>
      </c>
      <c r="F3304" s="737" t="s">
        <v>9317</v>
      </c>
      <c r="G3304" s="636" t="s">
        <v>9318</v>
      </c>
      <c r="H3304" s="636" t="s">
        <v>8349</v>
      </c>
      <c r="I3304" s="636" t="s">
        <v>9319</v>
      </c>
      <c r="J3304" s="644" t="s">
        <v>643</v>
      </c>
      <c r="K3304" s="739"/>
      <c r="L3304" s="754"/>
      <c r="M3304" s="735"/>
      <c r="N3304" s="753">
        <v>4</v>
      </c>
      <c r="O3304" s="754">
        <v>6</v>
      </c>
      <c r="P3304" s="736">
        <v>26689.8</v>
      </c>
      <c r="Q3304" s="214"/>
    </row>
    <row r="3305" spans="1:17" ht="12" customHeight="1" x14ac:dyDescent="0.2">
      <c r="A3305" s="735" t="s">
        <v>7733</v>
      </c>
      <c r="B3305" s="735" t="s">
        <v>2170</v>
      </c>
      <c r="C3305" s="735" t="s">
        <v>451</v>
      </c>
      <c r="D3305" s="644" t="s">
        <v>9325</v>
      </c>
      <c r="E3305" s="736">
        <v>6000</v>
      </c>
      <c r="F3305" s="737" t="s">
        <v>9326</v>
      </c>
      <c r="G3305" s="636" t="s">
        <v>9327</v>
      </c>
      <c r="H3305" s="636" t="s">
        <v>6633</v>
      </c>
      <c r="I3305" s="636" t="s">
        <v>2189</v>
      </c>
      <c r="J3305" s="644" t="s">
        <v>642</v>
      </c>
      <c r="K3305" s="739"/>
      <c r="L3305" s="754"/>
      <c r="M3305" s="735"/>
      <c r="N3305" s="753">
        <v>4</v>
      </c>
      <c r="O3305" s="754">
        <v>6</v>
      </c>
      <c r="P3305" s="736">
        <v>38689.800000000003</v>
      </c>
      <c r="Q3305" s="214"/>
    </row>
    <row r="3306" spans="1:17" ht="12" customHeight="1" x14ac:dyDescent="0.2">
      <c r="A3306" s="735" t="s">
        <v>7733</v>
      </c>
      <c r="B3306" s="735" t="s">
        <v>2170</v>
      </c>
      <c r="C3306" s="735" t="s">
        <v>451</v>
      </c>
      <c r="D3306" s="644" t="s">
        <v>8463</v>
      </c>
      <c r="E3306" s="736">
        <v>4000</v>
      </c>
      <c r="F3306" s="737" t="s">
        <v>8464</v>
      </c>
      <c r="G3306" s="636" t="s">
        <v>8465</v>
      </c>
      <c r="H3306" s="636"/>
      <c r="I3306" s="636"/>
      <c r="J3306" s="644" t="s">
        <v>644</v>
      </c>
      <c r="K3306" s="739"/>
      <c r="L3306" s="754"/>
      <c r="M3306" s="735"/>
      <c r="N3306" s="753">
        <v>4</v>
      </c>
      <c r="O3306" s="754">
        <v>6</v>
      </c>
      <c r="P3306" s="736">
        <v>26689.8</v>
      </c>
      <c r="Q3306" s="214"/>
    </row>
    <row r="3307" spans="1:17" ht="12" customHeight="1" x14ac:dyDescent="0.2">
      <c r="A3307" s="735" t="s">
        <v>7733</v>
      </c>
      <c r="B3307" s="735" t="s">
        <v>2170</v>
      </c>
      <c r="C3307" s="735" t="s">
        <v>451</v>
      </c>
      <c r="D3307" s="644" t="s">
        <v>7786</v>
      </c>
      <c r="E3307" s="736">
        <v>6000</v>
      </c>
      <c r="F3307" s="737" t="s">
        <v>9667</v>
      </c>
      <c r="G3307" s="636" t="s">
        <v>9668</v>
      </c>
      <c r="H3307" s="636" t="s">
        <v>6571</v>
      </c>
      <c r="I3307" s="636" t="s">
        <v>2179</v>
      </c>
      <c r="J3307" s="644" t="s">
        <v>642</v>
      </c>
      <c r="K3307" s="739"/>
      <c r="L3307" s="754"/>
      <c r="M3307" s="735"/>
      <c r="N3307" s="753">
        <v>4</v>
      </c>
      <c r="O3307" s="754">
        <v>6</v>
      </c>
      <c r="P3307" s="736">
        <v>38689.800000000003</v>
      </c>
      <c r="Q3307" s="214"/>
    </row>
    <row r="3308" spans="1:17" ht="12" customHeight="1" x14ac:dyDescent="0.2">
      <c r="A3308" s="735" t="s">
        <v>7733</v>
      </c>
      <c r="B3308" s="735" t="s">
        <v>2170</v>
      </c>
      <c r="C3308" s="735" t="s">
        <v>451</v>
      </c>
      <c r="D3308" s="644" t="s">
        <v>8704</v>
      </c>
      <c r="E3308" s="736">
        <v>2200</v>
      </c>
      <c r="F3308" s="737" t="s">
        <v>8937</v>
      </c>
      <c r="G3308" s="636" t="s">
        <v>8938</v>
      </c>
      <c r="H3308" s="636" t="s">
        <v>10194</v>
      </c>
      <c r="I3308" s="636"/>
      <c r="J3308" s="644" t="s">
        <v>644</v>
      </c>
      <c r="K3308" s="739"/>
      <c r="L3308" s="754"/>
      <c r="M3308" s="735"/>
      <c r="N3308" s="753">
        <v>4</v>
      </c>
      <c r="O3308" s="754">
        <v>6</v>
      </c>
      <c r="P3308" s="736">
        <v>15889.8</v>
      </c>
      <c r="Q3308" s="214"/>
    </row>
    <row r="3309" spans="1:17" ht="12" customHeight="1" x14ac:dyDescent="0.2">
      <c r="A3309" s="735" t="s">
        <v>7733</v>
      </c>
      <c r="B3309" s="735" t="s">
        <v>2170</v>
      </c>
      <c r="C3309" s="735" t="s">
        <v>451</v>
      </c>
      <c r="D3309" s="644" t="s">
        <v>2560</v>
      </c>
      <c r="E3309" s="736">
        <v>2500</v>
      </c>
      <c r="F3309" s="737" t="s">
        <v>9162</v>
      </c>
      <c r="G3309" s="636" t="s">
        <v>9163</v>
      </c>
      <c r="H3309" s="636" t="s">
        <v>8067</v>
      </c>
      <c r="I3309" s="636" t="s">
        <v>6668</v>
      </c>
      <c r="J3309" s="644" t="s">
        <v>643</v>
      </c>
      <c r="K3309" s="739"/>
      <c r="L3309" s="754"/>
      <c r="M3309" s="735"/>
      <c r="N3309" s="753">
        <v>4</v>
      </c>
      <c r="O3309" s="754">
        <v>6</v>
      </c>
      <c r="P3309" s="736">
        <v>17689.8</v>
      </c>
      <c r="Q3309" s="214"/>
    </row>
    <row r="3310" spans="1:17" ht="12" customHeight="1" x14ac:dyDescent="0.2">
      <c r="A3310" s="735" t="s">
        <v>7733</v>
      </c>
      <c r="B3310" s="735" t="s">
        <v>2170</v>
      </c>
      <c r="C3310" s="735" t="s">
        <v>451</v>
      </c>
      <c r="D3310" s="644" t="s">
        <v>8122</v>
      </c>
      <c r="E3310" s="736">
        <v>4500</v>
      </c>
      <c r="F3310" s="737" t="s">
        <v>8123</v>
      </c>
      <c r="G3310" s="636" t="s">
        <v>8124</v>
      </c>
      <c r="H3310" s="636" t="s">
        <v>6778</v>
      </c>
      <c r="I3310" s="636" t="s">
        <v>2174</v>
      </c>
      <c r="J3310" s="644" t="s">
        <v>642</v>
      </c>
      <c r="K3310" s="739"/>
      <c r="L3310" s="754"/>
      <c r="M3310" s="735"/>
      <c r="N3310" s="753">
        <v>3</v>
      </c>
      <c r="O3310" s="754">
        <v>3</v>
      </c>
      <c r="P3310" s="736">
        <v>16189.8</v>
      </c>
      <c r="Q3310" s="214"/>
    </row>
    <row r="3311" spans="1:17" ht="12" customHeight="1" x14ac:dyDescent="0.2">
      <c r="A3311" s="735" t="s">
        <v>7733</v>
      </c>
      <c r="B3311" s="735" t="s">
        <v>2170</v>
      </c>
      <c r="C3311" s="735" t="s">
        <v>451</v>
      </c>
      <c r="D3311" s="644" t="s">
        <v>9468</v>
      </c>
      <c r="E3311" s="736">
        <v>2300</v>
      </c>
      <c r="F3311" s="737" t="s">
        <v>9469</v>
      </c>
      <c r="G3311" s="636" t="s">
        <v>9470</v>
      </c>
      <c r="H3311" s="636" t="s">
        <v>7782</v>
      </c>
      <c r="I3311" s="636" t="s">
        <v>7874</v>
      </c>
      <c r="J3311" s="644" t="s">
        <v>642</v>
      </c>
      <c r="K3311" s="739"/>
      <c r="L3311" s="754"/>
      <c r="M3311" s="735"/>
      <c r="N3311" s="753">
        <v>4</v>
      </c>
      <c r="O3311" s="754">
        <v>6</v>
      </c>
      <c r="P3311" s="736">
        <v>16489.8</v>
      </c>
      <c r="Q3311" s="214"/>
    </row>
    <row r="3312" spans="1:17" ht="12" customHeight="1" x14ac:dyDescent="0.2">
      <c r="A3312" s="735" t="s">
        <v>7733</v>
      </c>
      <c r="B3312" s="735" t="s">
        <v>2170</v>
      </c>
      <c r="C3312" s="735" t="s">
        <v>451</v>
      </c>
      <c r="D3312" s="644" t="s">
        <v>7758</v>
      </c>
      <c r="E3312" s="736">
        <v>3000</v>
      </c>
      <c r="F3312" s="737" t="s">
        <v>8593</v>
      </c>
      <c r="G3312" s="636" t="s">
        <v>8594</v>
      </c>
      <c r="H3312" s="636" t="s">
        <v>7752</v>
      </c>
      <c r="I3312" s="636" t="s">
        <v>3760</v>
      </c>
      <c r="J3312" s="644" t="s">
        <v>642</v>
      </c>
      <c r="K3312" s="739"/>
      <c r="L3312" s="754"/>
      <c r="M3312" s="735"/>
      <c r="N3312" s="753">
        <v>4</v>
      </c>
      <c r="O3312" s="754">
        <v>6</v>
      </c>
      <c r="P3312" s="736">
        <v>20689.8</v>
      </c>
      <c r="Q3312" s="214"/>
    </row>
    <row r="3313" spans="1:17" ht="12" customHeight="1" x14ac:dyDescent="0.2">
      <c r="A3313" s="735" t="s">
        <v>7733</v>
      </c>
      <c r="B3313" s="735" t="s">
        <v>2170</v>
      </c>
      <c r="C3313" s="735" t="s">
        <v>451</v>
      </c>
      <c r="D3313" s="644" t="s">
        <v>8298</v>
      </c>
      <c r="E3313" s="736">
        <v>1200</v>
      </c>
      <c r="F3313" s="737" t="s">
        <v>9344</v>
      </c>
      <c r="G3313" s="636" t="s">
        <v>9345</v>
      </c>
      <c r="H3313" s="636" t="s">
        <v>10194</v>
      </c>
      <c r="I3313" s="636"/>
      <c r="J3313" s="644" t="s">
        <v>644</v>
      </c>
      <c r="K3313" s="739"/>
      <c r="L3313" s="754"/>
      <c r="M3313" s="735"/>
      <c r="N3313" s="753">
        <v>4</v>
      </c>
      <c r="O3313" s="754">
        <v>6</v>
      </c>
      <c r="P3313" s="736">
        <v>9096</v>
      </c>
      <c r="Q3313" s="214"/>
    </row>
    <row r="3314" spans="1:17" ht="12" customHeight="1" x14ac:dyDescent="0.2">
      <c r="A3314" s="735" t="s">
        <v>7733</v>
      </c>
      <c r="B3314" s="735" t="s">
        <v>2170</v>
      </c>
      <c r="C3314" s="735" t="s">
        <v>451</v>
      </c>
      <c r="D3314" s="644" t="s">
        <v>2778</v>
      </c>
      <c r="E3314" s="736">
        <v>4500</v>
      </c>
      <c r="F3314" s="737" t="s">
        <v>8020</v>
      </c>
      <c r="G3314" s="636" t="s">
        <v>8021</v>
      </c>
      <c r="H3314" s="636" t="s">
        <v>8022</v>
      </c>
      <c r="I3314" s="636" t="s">
        <v>2766</v>
      </c>
      <c r="J3314" s="644" t="s">
        <v>644</v>
      </c>
      <c r="K3314" s="739"/>
      <c r="L3314" s="754"/>
      <c r="M3314" s="735"/>
      <c r="N3314" s="753">
        <v>4</v>
      </c>
      <c r="O3314" s="754">
        <v>6</v>
      </c>
      <c r="P3314" s="736">
        <v>29689.8</v>
      </c>
      <c r="Q3314" s="214"/>
    </row>
    <row r="3315" spans="1:17" ht="12" customHeight="1" x14ac:dyDescent="0.2">
      <c r="A3315" s="735" t="s">
        <v>7733</v>
      </c>
      <c r="B3315" s="735" t="s">
        <v>2170</v>
      </c>
      <c r="C3315" s="735" t="s">
        <v>451</v>
      </c>
      <c r="D3315" s="644" t="s">
        <v>8026</v>
      </c>
      <c r="E3315" s="736">
        <v>5000</v>
      </c>
      <c r="F3315" s="737" t="s">
        <v>8027</v>
      </c>
      <c r="G3315" s="636" t="s">
        <v>8028</v>
      </c>
      <c r="H3315" s="636" t="s">
        <v>6571</v>
      </c>
      <c r="I3315" s="636" t="s">
        <v>2179</v>
      </c>
      <c r="J3315" s="644" t="s">
        <v>642</v>
      </c>
      <c r="K3315" s="739"/>
      <c r="L3315" s="754"/>
      <c r="M3315" s="735"/>
      <c r="N3315" s="753">
        <v>4</v>
      </c>
      <c r="O3315" s="754">
        <v>6</v>
      </c>
      <c r="P3315" s="736">
        <v>32689.8</v>
      </c>
      <c r="Q3315" s="214"/>
    </row>
    <row r="3316" spans="1:17" ht="12" customHeight="1" x14ac:dyDescent="0.2">
      <c r="A3316" s="735" t="s">
        <v>7733</v>
      </c>
      <c r="B3316" s="735" t="s">
        <v>2170</v>
      </c>
      <c r="C3316" s="735" t="s">
        <v>451</v>
      </c>
      <c r="D3316" s="644" t="s">
        <v>2179</v>
      </c>
      <c r="E3316" s="736">
        <v>8000</v>
      </c>
      <c r="F3316" s="737" t="s">
        <v>9659</v>
      </c>
      <c r="G3316" s="636" t="s">
        <v>9660</v>
      </c>
      <c r="H3316" s="636" t="s">
        <v>6571</v>
      </c>
      <c r="I3316" s="636" t="s">
        <v>2179</v>
      </c>
      <c r="J3316" s="644" t="s">
        <v>642</v>
      </c>
      <c r="K3316" s="739"/>
      <c r="L3316" s="754"/>
      <c r="M3316" s="735"/>
      <c r="N3316" s="753">
        <v>4</v>
      </c>
      <c r="O3316" s="754">
        <v>6</v>
      </c>
      <c r="P3316" s="736">
        <v>50689.8</v>
      </c>
      <c r="Q3316" s="214"/>
    </row>
    <row r="3317" spans="1:17" ht="12" customHeight="1" x14ac:dyDescent="0.2">
      <c r="A3317" s="735" t="s">
        <v>7733</v>
      </c>
      <c r="B3317" s="735" t="s">
        <v>2170</v>
      </c>
      <c r="C3317" s="735" t="s">
        <v>451</v>
      </c>
      <c r="D3317" s="644" t="s">
        <v>9143</v>
      </c>
      <c r="E3317" s="736">
        <v>2500</v>
      </c>
      <c r="F3317" s="737" t="s">
        <v>9144</v>
      </c>
      <c r="G3317" s="636" t="s">
        <v>9145</v>
      </c>
      <c r="H3317" s="636" t="s">
        <v>6613</v>
      </c>
      <c r="I3317" s="636" t="s">
        <v>2745</v>
      </c>
      <c r="J3317" s="644" t="s">
        <v>643</v>
      </c>
      <c r="K3317" s="739"/>
      <c r="L3317" s="754"/>
      <c r="M3317" s="735"/>
      <c r="N3317" s="753">
        <v>4</v>
      </c>
      <c r="O3317" s="754">
        <v>6</v>
      </c>
      <c r="P3317" s="736">
        <v>17689.8</v>
      </c>
      <c r="Q3317" s="214"/>
    </row>
    <row r="3318" spans="1:17" ht="12" customHeight="1" x14ac:dyDescent="0.2">
      <c r="A3318" s="735" t="s">
        <v>7733</v>
      </c>
      <c r="B3318" s="735" t="s">
        <v>2170</v>
      </c>
      <c r="C3318" s="735" t="s">
        <v>451</v>
      </c>
      <c r="D3318" s="644" t="s">
        <v>7843</v>
      </c>
      <c r="E3318" s="736">
        <v>4000</v>
      </c>
      <c r="F3318" s="737" t="s">
        <v>8825</v>
      </c>
      <c r="G3318" s="636" t="s">
        <v>8826</v>
      </c>
      <c r="H3318" s="636" t="s">
        <v>7752</v>
      </c>
      <c r="I3318" s="636" t="s">
        <v>2179</v>
      </c>
      <c r="J3318" s="644" t="s">
        <v>642</v>
      </c>
      <c r="K3318" s="739"/>
      <c r="L3318" s="754"/>
      <c r="M3318" s="735"/>
      <c r="N3318" s="753">
        <v>6</v>
      </c>
      <c r="O3318" s="754">
        <v>6</v>
      </c>
      <c r="P3318" s="736">
        <v>26689.8</v>
      </c>
      <c r="Q3318" s="214"/>
    </row>
    <row r="3319" spans="1:17" ht="12" customHeight="1" x14ac:dyDescent="0.2">
      <c r="A3319" s="735" t="s">
        <v>7733</v>
      </c>
      <c r="B3319" s="735" t="s">
        <v>2170</v>
      </c>
      <c r="C3319" s="735" t="s">
        <v>451</v>
      </c>
      <c r="D3319" s="644" t="s">
        <v>8995</v>
      </c>
      <c r="E3319" s="736">
        <v>4000</v>
      </c>
      <c r="F3319" s="737" t="s">
        <v>9570</v>
      </c>
      <c r="G3319" s="636" t="s">
        <v>9571</v>
      </c>
      <c r="H3319" s="636" t="s">
        <v>7752</v>
      </c>
      <c r="I3319" s="636" t="s">
        <v>2179</v>
      </c>
      <c r="J3319" s="644" t="s">
        <v>642</v>
      </c>
      <c r="K3319" s="739"/>
      <c r="L3319" s="754"/>
      <c r="M3319" s="735"/>
      <c r="N3319" s="753">
        <v>4</v>
      </c>
      <c r="O3319" s="754">
        <v>6</v>
      </c>
      <c r="P3319" s="736">
        <v>26689.8</v>
      </c>
      <c r="Q3319" s="214"/>
    </row>
    <row r="3320" spans="1:17" ht="12" customHeight="1" x14ac:dyDescent="0.2">
      <c r="A3320" s="735" t="s">
        <v>7733</v>
      </c>
      <c r="B3320" s="735" t="s">
        <v>2170</v>
      </c>
      <c r="C3320" s="735" t="s">
        <v>451</v>
      </c>
      <c r="D3320" s="644" t="s">
        <v>2179</v>
      </c>
      <c r="E3320" s="736">
        <v>6000</v>
      </c>
      <c r="F3320" s="737" t="s">
        <v>8439</v>
      </c>
      <c r="G3320" s="636" t="s">
        <v>8440</v>
      </c>
      <c r="H3320" s="636" t="s">
        <v>7752</v>
      </c>
      <c r="I3320" s="636" t="s">
        <v>2179</v>
      </c>
      <c r="J3320" s="644" t="s">
        <v>642</v>
      </c>
      <c r="K3320" s="739"/>
      <c r="L3320" s="754"/>
      <c r="M3320" s="735"/>
      <c r="N3320" s="753">
        <v>4</v>
      </c>
      <c r="O3320" s="754">
        <v>6</v>
      </c>
      <c r="P3320" s="736">
        <v>38689.800000000003</v>
      </c>
      <c r="Q3320" s="214"/>
    </row>
    <row r="3321" spans="1:17" ht="12" customHeight="1" x14ac:dyDescent="0.2">
      <c r="A3321" s="735" t="s">
        <v>7733</v>
      </c>
      <c r="B3321" s="735" t="s">
        <v>2170</v>
      </c>
      <c r="C3321" s="735" t="s">
        <v>451</v>
      </c>
      <c r="D3321" s="644" t="s">
        <v>9526</v>
      </c>
      <c r="E3321" s="736">
        <v>6000</v>
      </c>
      <c r="F3321" s="737" t="s">
        <v>9527</v>
      </c>
      <c r="G3321" s="636" t="s">
        <v>9528</v>
      </c>
      <c r="H3321" s="636"/>
      <c r="I3321" s="636"/>
      <c r="J3321" s="644" t="s">
        <v>642</v>
      </c>
      <c r="K3321" s="739"/>
      <c r="L3321" s="754"/>
      <c r="M3321" s="735"/>
      <c r="N3321" s="753">
        <v>4</v>
      </c>
      <c r="O3321" s="754">
        <v>6</v>
      </c>
      <c r="P3321" s="736">
        <v>38689.800000000003</v>
      </c>
      <c r="Q3321" s="214"/>
    </row>
    <row r="3322" spans="1:17" ht="12" customHeight="1" x14ac:dyDescent="0.2">
      <c r="A3322" s="735" t="s">
        <v>7733</v>
      </c>
      <c r="B3322" s="735" t="s">
        <v>2170</v>
      </c>
      <c r="C3322" s="735" t="s">
        <v>451</v>
      </c>
      <c r="D3322" s="644" t="s">
        <v>7968</v>
      </c>
      <c r="E3322" s="736">
        <v>4000</v>
      </c>
      <c r="F3322" s="737" t="s">
        <v>10162</v>
      </c>
      <c r="G3322" s="636" t="s">
        <v>10163</v>
      </c>
      <c r="H3322" s="636" t="s">
        <v>6571</v>
      </c>
      <c r="I3322" s="636" t="s">
        <v>7835</v>
      </c>
      <c r="J3322" s="644" t="s">
        <v>642</v>
      </c>
      <c r="K3322" s="739"/>
      <c r="L3322" s="754"/>
      <c r="M3322" s="735"/>
      <c r="N3322" s="753">
        <v>2</v>
      </c>
      <c r="O3322" s="754">
        <v>2</v>
      </c>
      <c r="P3322" s="736">
        <v>10689.8</v>
      </c>
      <c r="Q3322" s="214"/>
    </row>
    <row r="3323" spans="1:17" ht="12" customHeight="1" x14ac:dyDescent="0.2">
      <c r="A3323" s="735" t="s">
        <v>7733</v>
      </c>
      <c r="B3323" s="735" t="s">
        <v>2170</v>
      </c>
      <c r="C3323" s="735" t="s">
        <v>451</v>
      </c>
      <c r="D3323" s="644" t="s">
        <v>3345</v>
      </c>
      <c r="E3323" s="736">
        <v>4000</v>
      </c>
      <c r="F3323" s="737" t="s">
        <v>8234</v>
      </c>
      <c r="G3323" s="636" t="s">
        <v>8235</v>
      </c>
      <c r="H3323" s="636" t="s">
        <v>8022</v>
      </c>
      <c r="I3323" s="636" t="s">
        <v>2712</v>
      </c>
      <c r="J3323" s="644" t="s">
        <v>642</v>
      </c>
      <c r="K3323" s="739"/>
      <c r="L3323" s="754"/>
      <c r="M3323" s="735"/>
      <c r="N3323" s="753">
        <v>4</v>
      </c>
      <c r="O3323" s="754">
        <v>6</v>
      </c>
      <c r="P3323" s="736">
        <v>26689.8</v>
      </c>
      <c r="Q3323" s="214"/>
    </row>
    <row r="3324" spans="1:17" ht="12" customHeight="1" x14ac:dyDescent="0.2">
      <c r="A3324" s="735" t="s">
        <v>7733</v>
      </c>
      <c r="B3324" s="735" t="s">
        <v>2170</v>
      </c>
      <c r="C3324" s="735" t="s">
        <v>451</v>
      </c>
      <c r="D3324" s="644" t="s">
        <v>8791</v>
      </c>
      <c r="E3324" s="736">
        <v>2500</v>
      </c>
      <c r="F3324" s="737" t="s">
        <v>7818</v>
      </c>
      <c r="G3324" s="636" t="s">
        <v>7819</v>
      </c>
      <c r="H3324" s="636" t="s">
        <v>7820</v>
      </c>
      <c r="I3324" s="636" t="s">
        <v>7821</v>
      </c>
      <c r="J3324" s="644" t="s">
        <v>643</v>
      </c>
      <c r="K3324" s="739"/>
      <c r="L3324" s="754"/>
      <c r="M3324" s="735"/>
      <c r="N3324" s="753">
        <v>4</v>
      </c>
      <c r="O3324" s="754">
        <v>6</v>
      </c>
      <c r="P3324" s="736">
        <v>17689.8</v>
      </c>
      <c r="Q3324" s="214"/>
    </row>
    <row r="3325" spans="1:17" ht="12" customHeight="1" x14ac:dyDescent="0.2">
      <c r="A3325" s="735" t="s">
        <v>7733</v>
      </c>
      <c r="B3325" s="735" t="s">
        <v>2170</v>
      </c>
      <c r="C3325" s="735" t="s">
        <v>451</v>
      </c>
      <c r="D3325" s="644" t="s">
        <v>7968</v>
      </c>
      <c r="E3325" s="736">
        <v>4000</v>
      </c>
      <c r="F3325" s="737" t="s">
        <v>9851</v>
      </c>
      <c r="G3325" s="636" t="s">
        <v>9852</v>
      </c>
      <c r="H3325" s="636" t="s">
        <v>7152</v>
      </c>
      <c r="I3325" s="636"/>
      <c r="J3325" s="644" t="s">
        <v>642</v>
      </c>
      <c r="K3325" s="739"/>
      <c r="L3325" s="754"/>
      <c r="M3325" s="735"/>
      <c r="N3325" s="753">
        <v>4</v>
      </c>
      <c r="O3325" s="754">
        <v>6</v>
      </c>
      <c r="P3325" s="736">
        <v>26689.8</v>
      </c>
      <c r="Q3325" s="214"/>
    </row>
    <row r="3326" spans="1:17" ht="12" customHeight="1" x14ac:dyDescent="0.2">
      <c r="A3326" s="735" t="s">
        <v>7733</v>
      </c>
      <c r="B3326" s="735" t="s">
        <v>2170</v>
      </c>
      <c r="C3326" s="735" t="s">
        <v>451</v>
      </c>
      <c r="D3326" s="644" t="s">
        <v>7803</v>
      </c>
      <c r="E3326" s="736">
        <v>4000</v>
      </c>
      <c r="F3326" s="737" t="s">
        <v>9314</v>
      </c>
      <c r="G3326" s="636" t="s">
        <v>9315</v>
      </c>
      <c r="H3326" s="636" t="s">
        <v>8000</v>
      </c>
      <c r="I3326" s="636"/>
      <c r="J3326" s="644" t="s">
        <v>642</v>
      </c>
      <c r="K3326" s="739"/>
      <c r="L3326" s="754"/>
      <c r="M3326" s="735"/>
      <c r="N3326" s="753">
        <v>4</v>
      </c>
      <c r="O3326" s="754">
        <v>6</v>
      </c>
      <c r="P3326" s="736">
        <v>26689.8</v>
      </c>
      <c r="Q3326" s="214"/>
    </row>
    <row r="3327" spans="1:17" ht="12" customHeight="1" x14ac:dyDescent="0.2">
      <c r="A3327" s="735" t="s">
        <v>7733</v>
      </c>
      <c r="B3327" s="735" t="s">
        <v>2170</v>
      </c>
      <c r="C3327" s="735" t="s">
        <v>451</v>
      </c>
      <c r="D3327" s="644" t="s">
        <v>7769</v>
      </c>
      <c r="E3327" s="736">
        <v>3000</v>
      </c>
      <c r="F3327" s="737" t="s">
        <v>8437</v>
      </c>
      <c r="G3327" s="636" t="s">
        <v>8438</v>
      </c>
      <c r="H3327" s="636" t="s">
        <v>7152</v>
      </c>
      <c r="I3327" s="636" t="s">
        <v>2317</v>
      </c>
      <c r="J3327" s="644" t="s">
        <v>642</v>
      </c>
      <c r="K3327" s="739"/>
      <c r="L3327" s="754"/>
      <c r="M3327" s="735"/>
      <c r="N3327" s="753">
        <v>6</v>
      </c>
      <c r="O3327" s="754">
        <v>6</v>
      </c>
      <c r="P3327" s="736">
        <v>20689.8</v>
      </c>
      <c r="Q3327" s="214"/>
    </row>
    <row r="3328" spans="1:17" ht="12" customHeight="1" x14ac:dyDescent="0.2">
      <c r="A3328" s="735" t="s">
        <v>7733</v>
      </c>
      <c r="B3328" s="735" t="s">
        <v>2170</v>
      </c>
      <c r="C3328" s="735" t="s">
        <v>451</v>
      </c>
      <c r="D3328" s="644" t="s">
        <v>8820</v>
      </c>
      <c r="E3328" s="736">
        <v>3000</v>
      </c>
      <c r="F3328" s="737" t="s">
        <v>9488</v>
      </c>
      <c r="G3328" s="636" t="s">
        <v>9489</v>
      </c>
      <c r="H3328" s="636" t="s">
        <v>9490</v>
      </c>
      <c r="I3328" s="636" t="s">
        <v>9490</v>
      </c>
      <c r="J3328" s="644" t="s">
        <v>643</v>
      </c>
      <c r="K3328" s="739"/>
      <c r="L3328" s="754"/>
      <c r="M3328" s="735"/>
      <c r="N3328" s="753">
        <v>4</v>
      </c>
      <c r="O3328" s="754">
        <v>6</v>
      </c>
      <c r="P3328" s="736">
        <v>20689.8</v>
      </c>
      <c r="Q3328" s="214"/>
    </row>
    <row r="3329" spans="1:17" ht="12" customHeight="1" x14ac:dyDescent="0.2">
      <c r="A3329" s="735" t="s">
        <v>7733</v>
      </c>
      <c r="B3329" s="735" t="s">
        <v>2170</v>
      </c>
      <c r="C3329" s="735" t="s">
        <v>451</v>
      </c>
      <c r="D3329" s="644" t="s">
        <v>8097</v>
      </c>
      <c r="E3329" s="736">
        <v>6000</v>
      </c>
      <c r="F3329" s="737" t="s">
        <v>9312</v>
      </c>
      <c r="G3329" s="636" t="s">
        <v>9313</v>
      </c>
      <c r="H3329" s="636" t="s">
        <v>6571</v>
      </c>
      <c r="I3329" s="636"/>
      <c r="J3329" s="644" t="s">
        <v>642</v>
      </c>
      <c r="K3329" s="739"/>
      <c r="L3329" s="754"/>
      <c r="M3329" s="735"/>
      <c r="N3329" s="753">
        <v>4</v>
      </c>
      <c r="O3329" s="754">
        <v>6</v>
      </c>
      <c r="P3329" s="736">
        <v>38689.800000000003</v>
      </c>
      <c r="Q3329" s="214"/>
    </row>
    <row r="3330" spans="1:17" ht="12" customHeight="1" x14ac:dyDescent="0.2">
      <c r="A3330" s="735" t="s">
        <v>7733</v>
      </c>
      <c r="B3330" s="735" t="s">
        <v>2170</v>
      </c>
      <c r="C3330" s="735" t="s">
        <v>451</v>
      </c>
      <c r="D3330" s="644" t="s">
        <v>9030</v>
      </c>
      <c r="E3330" s="736">
        <v>2500</v>
      </c>
      <c r="F3330" s="737" t="s">
        <v>9031</v>
      </c>
      <c r="G3330" s="636" t="s">
        <v>9032</v>
      </c>
      <c r="H3330" s="636" t="s">
        <v>7854</v>
      </c>
      <c r="I3330" s="636" t="s">
        <v>9033</v>
      </c>
      <c r="J3330" s="644" t="s">
        <v>644</v>
      </c>
      <c r="K3330" s="739"/>
      <c r="L3330" s="754"/>
      <c r="M3330" s="735"/>
      <c r="N3330" s="753">
        <v>4</v>
      </c>
      <c r="O3330" s="754">
        <v>6</v>
      </c>
      <c r="P3330" s="736">
        <v>17689.8</v>
      </c>
      <c r="Q3330" s="214"/>
    </row>
    <row r="3331" spans="1:17" ht="12" customHeight="1" x14ac:dyDescent="0.2">
      <c r="A3331" s="735" t="s">
        <v>7733</v>
      </c>
      <c r="B3331" s="735" t="s">
        <v>2170</v>
      </c>
      <c r="C3331" s="735" t="s">
        <v>451</v>
      </c>
      <c r="D3331" s="644" t="s">
        <v>8288</v>
      </c>
      <c r="E3331" s="736">
        <v>2800</v>
      </c>
      <c r="F3331" s="737" t="s">
        <v>9473</v>
      </c>
      <c r="G3331" s="636" t="s">
        <v>9474</v>
      </c>
      <c r="H3331" s="636" t="s">
        <v>9475</v>
      </c>
      <c r="I3331" s="636" t="s">
        <v>9475</v>
      </c>
      <c r="J3331" s="644" t="s">
        <v>643</v>
      </c>
      <c r="K3331" s="739"/>
      <c r="L3331" s="754"/>
      <c r="M3331" s="735"/>
      <c r="N3331" s="753">
        <v>4</v>
      </c>
      <c r="O3331" s="754">
        <v>6</v>
      </c>
      <c r="P3331" s="736">
        <v>19489.8</v>
      </c>
      <c r="Q3331" s="214"/>
    </row>
    <row r="3332" spans="1:17" ht="12" customHeight="1" x14ac:dyDescent="0.2">
      <c r="A3332" s="735" t="s">
        <v>7733</v>
      </c>
      <c r="B3332" s="735" t="s">
        <v>2170</v>
      </c>
      <c r="C3332" s="735" t="s">
        <v>451</v>
      </c>
      <c r="D3332" s="644" t="s">
        <v>7897</v>
      </c>
      <c r="E3332" s="736">
        <v>4000</v>
      </c>
      <c r="F3332" s="737" t="s">
        <v>9336</v>
      </c>
      <c r="G3332" s="636" t="s">
        <v>9337</v>
      </c>
      <c r="H3332" s="636" t="s">
        <v>8000</v>
      </c>
      <c r="I3332" s="636" t="s">
        <v>2478</v>
      </c>
      <c r="J3332" s="644" t="s">
        <v>643</v>
      </c>
      <c r="K3332" s="739"/>
      <c r="L3332" s="754"/>
      <c r="M3332" s="735"/>
      <c r="N3332" s="753">
        <v>6</v>
      </c>
      <c r="O3332" s="754">
        <v>6</v>
      </c>
      <c r="P3332" s="736">
        <v>26689.8</v>
      </c>
      <c r="Q3332" s="214"/>
    </row>
    <row r="3333" spans="1:17" ht="12" customHeight="1" x14ac:dyDescent="0.2">
      <c r="A3333" s="735" t="s">
        <v>7733</v>
      </c>
      <c r="B3333" s="735" t="s">
        <v>2170</v>
      </c>
      <c r="C3333" s="735" t="s">
        <v>451</v>
      </c>
      <c r="D3333" s="644" t="s">
        <v>8029</v>
      </c>
      <c r="E3333" s="736">
        <v>4000</v>
      </c>
      <c r="F3333" s="737" t="s">
        <v>10063</v>
      </c>
      <c r="G3333" s="636" t="s">
        <v>10064</v>
      </c>
      <c r="H3333" s="636" t="s">
        <v>6571</v>
      </c>
      <c r="I3333" s="636" t="s">
        <v>2179</v>
      </c>
      <c r="J3333" s="644" t="s">
        <v>642</v>
      </c>
      <c r="K3333" s="739"/>
      <c r="L3333" s="754"/>
      <c r="M3333" s="735"/>
      <c r="N3333" s="753">
        <v>6</v>
      </c>
      <c r="O3333" s="754">
        <v>6</v>
      </c>
      <c r="P3333" s="736">
        <v>26689.8</v>
      </c>
      <c r="Q3333" s="214"/>
    </row>
    <row r="3334" spans="1:17" ht="12" customHeight="1" x14ac:dyDescent="0.2">
      <c r="A3334" s="735" t="s">
        <v>7733</v>
      </c>
      <c r="B3334" s="735" t="s">
        <v>2170</v>
      </c>
      <c r="C3334" s="735" t="s">
        <v>451</v>
      </c>
      <c r="D3334" s="644" t="s">
        <v>7921</v>
      </c>
      <c r="E3334" s="736">
        <v>4000</v>
      </c>
      <c r="F3334" s="737" t="s">
        <v>7998</v>
      </c>
      <c r="G3334" s="636" t="s">
        <v>7999</v>
      </c>
      <c r="H3334" s="636" t="s">
        <v>8000</v>
      </c>
      <c r="I3334" s="636" t="s">
        <v>2478</v>
      </c>
      <c r="J3334" s="644" t="s">
        <v>642</v>
      </c>
      <c r="K3334" s="739"/>
      <c r="L3334" s="754"/>
      <c r="M3334" s="735"/>
      <c r="N3334" s="753">
        <v>4</v>
      </c>
      <c r="O3334" s="754">
        <v>6</v>
      </c>
      <c r="P3334" s="736">
        <v>26689.8</v>
      </c>
      <c r="Q3334" s="214"/>
    </row>
    <row r="3335" spans="1:17" ht="12" customHeight="1" x14ac:dyDescent="0.2">
      <c r="A3335" s="735" t="s">
        <v>7733</v>
      </c>
      <c r="B3335" s="735" t="s">
        <v>2170</v>
      </c>
      <c r="C3335" s="735" t="s">
        <v>451</v>
      </c>
      <c r="D3335" s="644" t="s">
        <v>8182</v>
      </c>
      <c r="E3335" s="736">
        <v>6000</v>
      </c>
      <c r="F3335" s="737" t="s">
        <v>9424</v>
      </c>
      <c r="G3335" s="636" t="s">
        <v>9425</v>
      </c>
      <c r="H3335" s="636" t="s">
        <v>6571</v>
      </c>
      <c r="I3335" s="636" t="s">
        <v>2179</v>
      </c>
      <c r="J3335" s="644" t="s">
        <v>642</v>
      </c>
      <c r="K3335" s="739"/>
      <c r="L3335" s="754"/>
      <c r="M3335" s="735"/>
      <c r="N3335" s="753">
        <v>4</v>
      </c>
      <c r="O3335" s="754">
        <v>6</v>
      </c>
      <c r="P3335" s="736">
        <v>38689.800000000003</v>
      </c>
      <c r="Q3335" s="214"/>
    </row>
    <row r="3336" spans="1:17" ht="12" customHeight="1" x14ac:dyDescent="0.2">
      <c r="A3336" s="735" t="s">
        <v>7733</v>
      </c>
      <c r="B3336" s="735" t="s">
        <v>2170</v>
      </c>
      <c r="C3336" s="735" t="s">
        <v>451</v>
      </c>
      <c r="D3336" s="644" t="s">
        <v>8158</v>
      </c>
      <c r="E3336" s="736">
        <v>2000</v>
      </c>
      <c r="F3336" s="737" t="s">
        <v>8159</v>
      </c>
      <c r="G3336" s="636" t="s">
        <v>8160</v>
      </c>
      <c r="H3336" s="636"/>
      <c r="I3336" s="636"/>
      <c r="J3336" s="644" t="s">
        <v>643</v>
      </c>
      <c r="K3336" s="739"/>
      <c r="L3336" s="754"/>
      <c r="M3336" s="735"/>
      <c r="N3336" s="753">
        <v>4</v>
      </c>
      <c r="O3336" s="754">
        <v>6</v>
      </c>
      <c r="P3336" s="736">
        <v>14689.8</v>
      </c>
      <c r="Q3336" s="214"/>
    </row>
    <row r="3337" spans="1:17" ht="12" customHeight="1" x14ac:dyDescent="0.2">
      <c r="A3337" s="735" t="s">
        <v>7733</v>
      </c>
      <c r="B3337" s="735" t="s">
        <v>2170</v>
      </c>
      <c r="C3337" s="735" t="s">
        <v>451</v>
      </c>
      <c r="D3337" s="644" t="s">
        <v>8010</v>
      </c>
      <c r="E3337" s="736">
        <v>2000</v>
      </c>
      <c r="F3337" s="737" t="s">
        <v>9878</v>
      </c>
      <c r="G3337" s="636" t="s">
        <v>9879</v>
      </c>
      <c r="H3337" s="636" t="s">
        <v>10194</v>
      </c>
      <c r="I3337" s="636"/>
      <c r="J3337" s="644" t="s">
        <v>643</v>
      </c>
      <c r="K3337" s="739"/>
      <c r="L3337" s="754"/>
      <c r="M3337" s="735"/>
      <c r="N3337" s="753">
        <v>4</v>
      </c>
      <c r="O3337" s="754">
        <v>6</v>
      </c>
      <c r="P3337" s="736">
        <v>14689.8</v>
      </c>
      <c r="Q3337" s="214"/>
    </row>
    <row r="3338" spans="1:17" ht="12" customHeight="1" x14ac:dyDescent="0.2">
      <c r="A3338" s="735" t="s">
        <v>7733</v>
      </c>
      <c r="B3338" s="735" t="s">
        <v>2170</v>
      </c>
      <c r="C3338" s="735" t="s">
        <v>451</v>
      </c>
      <c r="D3338" s="644" t="s">
        <v>10087</v>
      </c>
      <c r="E3338" s="736">
        <v>4500</v>
      </c>
      <c r="F3338" s="737" t="s">
        <v>10088</v>
      </c>
      <c r="G3338" s="636" t="s">
        <v>10089</v>
      </c>
      <c r="H3338" s="636" t="s">
        <v>8000</v>
      </c>
      <c r="I3338" s="636" t="s">
        <v>2478</v>
      </c>
      <c r="J3338" s="644" t="s">
        <v>642</v>
      </c>
      <c r="K3338" s="739"/>
      <c r="L3338" s="754"/>
      <c r="M3338" s="735"/>
      <c r="N3338" s="753">
        <v>4</v>
      </c>
      <c r="O3338" s="754">
        <v>6</v>
      </c>
      <c r="P3338" s="736">
        <v>29689.8</v>
      </c>
      <c r="Q3338" s="214"/>
    </row>
    <row r="3339" spans="1:17" ht="12" customHeight="1" x14ac:dyDescent="0.2">
      <c r="A3339" s="735" t="s">
        <v>7733</v>
      </c>
      <c r="B3339" s="735" t="s">
        <v>2170</v>
      </c>
      <c r="C3339" s="735" t="s">
        <v>451</v>
      </c>
      <c r="D3339" s="644" t="s">
        <v>2261</v>
      </c>
      <c r="E3339" s="736">
        <v>3200</v>
      </c>
      <c r="F3339" s="737" t="s">
        <v>8530</v>
      </c>
      <c r="G3339" s="636" t="s">
        <v>8531</v>
      </c>
      <c r="H3339" s="636" t="s">
        <v>2745</v>
      </c>
      <c r="I3339" s="636" t="s">
        <v>7974</v>
      </c>
      <c r="J3339" s="644" t="s">
        <v>643</v>
      </c>
      <c r="K3339" s="739"/>
      <c r="L3339" s="754"/>
      <c r="M3339" s="735"/>
      <c r="N3339" s="753">
        <v>4</v>
      </c>
      <c r="O3339" s="754">
        <v>6</v>
      </c>
      <c r="P3339" s="736">
        <v>21889.8</v>
      </c>
      <c r="Q3339" s="214"/>
    </row>
    <row r="3340" spans="1:17" ht="12" customHeight="1" x14ac:dyDescent="0.2">
      <c r="A3340" s="735" t="s">
        <v>7733</v>
      </c>
      <c r="B3340" s="735" t="s">
        <v>2170</v>
      </c>
      <c r="C3340" s="735" t="s">
        <v>451</v>
      </c>
      <c r="D3340" s="644" t="s">
        <v>8125</v>
      </c>
      <c r="E3340" s="736">
        <v>3500</v>
      </c>
      <c r="F3340" s="737" t="s">
        <v>8126</v>
      </c>
      <c r="G3340" s="636" t="s">
        <v>8127</v>
      </c>
      <c r="H3340" s="636" t="s">
        <v>7752</v>
      </c>
      <c r="I3340" s="636" t="s">
        <v>2569</v>
      </c>
      <c r="J3340" s="644" t="s">
        <v>642</v>
      </c>
      <c r="K3340" s="739"/>
      <c r="L3340" s="754"/>
      <c r="M3340" s="735"/>
      <c r="N3340" s="753">
        <v>4</v>
      </c>
      <c r="O3340" s="754">
        <v>6</v>
      </c>
      <c r="P3340" s="736">
        <v>23689.8</v>
      </c>
      <c r="Q3340" s="214"/>
    </row>
    <row r="3341" spans="1:17" ht="12" customHeight="1" x14ac:dyDescent="0.2">
      <c r="A3341" s="735" t="s">
        <v>7733</v>
      </c>
      <c r="B3341" s="735" t="s">
        <v>2170</v>
      </c>
      <c r="C3341" s="735" t="s">
        <v>451</v>
      </c>
      <c r="D3341" s="644" t="s">
        <v>9461</v>
      </c>
      <c r="E3341" s="736">
        <v>3200</v>
      </c>
      <c r="F3341" s="737" t="s">
        <v>9462</v>
      </c>
      <c r="G3341" s="636" t="s">
        <v>9463</v>
      </c>
      <c r="H3341" s="636" t="s">
        <v>2690</v>
      </c>
      <c r="I3341" s="636" t="s">
        <v>8036</v>
      </c>
      <c r="J3341" s="644" t="s">
        <v>643</v>
      </c>
      <c r="K3341" s="739"/>
      <c r="L3341" s="754"/>
      <c r="M3341" s="735"/>
      <c r="N3341" s="753">
        <v>4</v>
      </c>
      <c r="O3341" s="754">
        <v>6</v>
      </c>
      <c r="P3341" s="736">
        <v>21889.8</v>
      </c>
      <c r="Q3341" s="214"/>
    </row>
    <row r="3342" spans="1:17" ht="12" customHeight="1" x14ac:dyDescent="0.2">
      <c r="A3342" s="735" t="s">
        <v>7733</v>
      </c>
      <c r="B3342" s="735" t="s">
        <v>2170</v>
      </c>
      <c r="C3342" s="735" t="s">
        <v>451</v>
      </c>
      <c r="D3342" s="644" t="s">
        <v>10092</v>
      </c>
      <c r="E3342" s="736">
        <v>4000</v>
      </c>
      <c r="F3342" s="737" t="s">
        <v>10093</v>
      </c>
      <c r="G3342" s="636" t="s">
        <v>10094</v>
      </c>
      <c r="H3342" s="636" t="s">
        <v>6778</v>
      </c>
      <c r="I3342" s="636" t="s">
        <v>7835</v>
      </c>
      <c r="J3342" s="644" t="s">
        <v>642</v>
      </c>
      <c r="K3342" s="739"/>
      <c r="L3342" s="754"/>
      <c r="M3342" s="735"/>
      <c r="N3342" s="753">
        <v>1</v>
      </c>
      <c r="O3342" s="754">
        <v>1</v>
      </c>
      <c r="P3342" s="736">
        <v>6689.8</v>
      </c>
      <c r="Q3342" s="214"/>
    </row>
    <row r="3343" spans="1:17" ht="12" customHeight="1" x14ac:dyDescent="0.2">
      <c r="A3343" s="735" t="s">
        <v>7733</v>
      </c>
      <c r="B3343" s="735" t="s">
        <v>2170</v>
      </c>
      <c r="C3343" s="735" t="s">
        <v>451</v>
      </c>
      <c r="D3343" s="644" t="s">
        <v>2636</v>
      </c>
      <c r="E3343" s="736">
        <v>5000</v>
      </c>
      <c r="F3343" s="737" t="s">
        <v>8497</v>
      </c>
      <c r="G3343" s="636" t="s">
        <v>8498</v>
      </c>
      <c r="H3343" s="636"/>
      <c r="I3343" s="636"/>
      <c r="J3343" s="644" t="s">
        <v>642</v>
      </c>
      <c r="K3343" s="739"/>
      <c r="L3343" s="754"/>
      <c r="M3343" s="735"/>
      <c r="N3343" s="753">
        <v>4</v>
      </c>
      <c r="O3343" s="754">
        <v>6</v>
      </c>
      <c r="P3343" s="736">
        <v>32689.8</v>
      </c>
      <c r="Q3343" s="214"/>
    </row>
    <row r="3344" spans="1:17" ht="12" customHeight="1" x14ac:dyDescent="0.2">
      <c r="A3344" s="735" t="s">
        <v>7733</v>
      </c>
      <c r="B3344" s="735" t="s">
        <v>2170</v>
      </c>
      <c r="C3344" s="735" t="s">
        <v>451</v>
      </c>
      <c r="D3344" s="644" t="s">
        <v>7960</v>
      </c>
      <c r="E3344" s="736">
        <v>4500</v>
      </c>
      <c r="F3344" s="737" t="s">
        <v>7961</v>
      </c>
      <c r="G3344" s="636" t="s">
        <v>7962</v>
      </c>
      <c r="H3344" s="636" t="s">
        <v>7752</v>
      </c>
      <c r="I3344" s="636" t="s">
        <v>2179</v>
      </c>
      <c r="J3344" s="644" t="s">
        <v>642</v>
      </c>
      <c r="K3344" s="739"/>
      <c r="L3344" s="754"/>
      <c r="M3344" s="735"/>
      <c r="N3344" s="753">
        <v>4</v>
      </c>
      <c r="O3344" s="754">
        <v>6</v>
      </c>
      <c r="P3344" s="736">
        <v>29689.8</v>
      </c>
      <c r="Q3344" s="214"/>
    </row>
    <row r="3345" spans="1:17" ht="12" customHeight="1" x14ac:dyDescent="0.2">
      <c r="A3345" s="735" t="s">
        <v>7733</v>
      </c>
      <c r="B3345" s="735" t="s">
        <v>2170</v>
      </c>
      <c r="C3345" s="735" t="s">
        <v>451</v>
      </c>
      <c r="D3345" s="644" t="s">
        <v>10117</v>
      </c>
      <c r="E3345" s="736">
        <v>3500</v>
      </c>
      <c r="F3345" s="737" t="s">
        <v>10118</v>
      </c>
      <c r="G3345" s="636" t="s">
        <v>10119</v>
      </c>
      <c r="H3345" s="636" t="s">
        <v>8000</v>
      </c>
      <c r="I3345" s="636" t="s">
        <v>8246</v>
      </c>
      <c r="J3345" s="644" t="s">
        <v>642</v>
      </c>
      <c r="K3345" s="739"/>
      <c r="L3345" s="754"/>
      <c r="M3345" s="735"/>
      <c r="N3345" s="753">
        <v>4</v>
      </c>
      <c r="O3345" s="754">
        <v>6</v>
      </c>
      <c r="P3345" s="736">
        <v>23689.8</v>
      </c>
      <c r="Q3345" s="214"/>
    </row>
    <row r="3346" spans="1:17" ht="12" customHeight="1" x14ac:dyDescent="0.2">
      <c r="A3346" s="735" t="s">
        <v>7733</v>
      </c>
      <c r="B3346" s="735" t="s">
        <v>2170</v>
      </c>
      <c r="C3346" s="735" t="s">
        <v>451</v>
      </c>
      <c r="D3346" s="644" t="s">
        <v>9506</v>
      </c>
      <c r="E3346" s="736">
        <v>3500</v>
      </c>
      <c r="F3346" s="737" t="s">
        <v>9507</v>
      </c>
      <c r="G3346" s="636" t="s">
        <v>9508</v>
      </c>
      <c r="H3346" s="636" t="s">
        <v>8000</v>
      </c>
      <c r="I3346" s="636" t="s">
        <v>2766</v>
      </c>
      <c r="J3346" s="644" t="s">
        <v>642</v>
      </c>
      <c r="K3346" s="739"/>
      <c r="L3346" s="754"/>
      <c r="M3346" s="735"/>
      <c r="N3346" s="753">
        <v>4</v>
      </c>
      <c r="O3346" s="754">
        <v>6</v>
      </c>
      <c r="P3346" s="736">
        <v>23689.8</v>
      </c>
      <c r="Q3346" s="214"/>
    </row>
    <row r="3347" spans="1:17" ht="12" customHeight="1" x14ac:dyDescent="0.2">
      <c r="A3347" s="735" t="s">
        <v>7733</v>
      </c>
      <c r="B3347" s="735" t="s">
        <v>2170</v>
      </c>
      <c r="C3347" s="735" t="s">
        <v>451</v>
      </c>
      <c r="D3347" s="644" t="s">
        <v>7965</v>
      </c>
      <c r="E3347" s="736">
        <v>4000</v>
      </c>
      <c r="F3347" s="737" t="s">
        <v>9769</v>
      </c>
      <c r="G3347" s="636" t="s">
        <v>9770</v>
      </c>
      <c r="H3347" s="636" t="s">
        <v>6571</v>
      </c>
      <c r="I3347" s="636" t="s">
        <v>2179</v>
      </c>
      <c r="J3347" s="644" t="s">
        <v>642</v>
      </c>
      <c r="K3347" s="739"/>
      <c r="L3347" s="754"/>
      <c r="M3347" s="735"/>
      <c r="N3347" s="753">
        <v>6</v>
      </c>
      <c r="O3347" s="754">
        <v>6</v>
      </c>
      <c r="P3347" s="736">
        <v>26689.8</v>
      </c>
      <c r="Q3347" s="214"/>
    </row>
    <row r="3348" spans="1:17" ht="12" customHeight="1" x14ac:dyDescent="0.2">
      <c r="A3348" s="735" t="s">
        <v>7733</v>
      </c>
      <c r="B3348" s="735" t="s">
        <v>2170</v>
      </c>
      <c r="C3348" s="735" t="s">
        <v>451</v>
      </c>
      <c r="D3348" s="644" t="s">
        <v>7746</v>
      </c>
      <c r="E3348" s="736">
        <v>2200</v>
      </c>
      <c r="F3348" s="737" t="s">
        <v>7848</v>
      </c>
      <c r="G3348" s="636" t="s">
        <v>7849</v>
      </c>
      <c r="H3348" s="636" t="s">
        <v>7850</v>
      </c>
      <c r="I3348" s="636" t="s">
        <v>7851</v>
      </c>
      <c r="J3348" s="644" t="s">
        <v>643</v>
      </c>
      <c r="K3348" s="739"/>
      <c r="L3348" s="754"/>
      <c r="M3348" s="735"/>
      <c r="N3348" s="753">
        <v>4</v>
      </c>
      <c r="O3348" s="754">
        <v>6</v>
      </c>
      <c r="P3348" s="736">
        <v>15889.8</v>
      </c>
      <c r="Q3348" s="214"/>
    </row>
    <row r="3349" spans="1:17" ht="12" customHeight="1" x14ac:dyDescent="0.2">
      <c r="A3349" s="735" t="s">
        <v>7733</v>
      </c>
      <c r="B3349" s="735" t="s">
        <v>2170</v>
      </c>
      <c r="C3349" s="735" t="s">
        <v>451</v>
      </c>
      <c r="D3349" s="644" t="s">
        <v>8998</v>
      </c>
      <c r="E3349" s="736">
        <v>4500</v>
      </c>
      <c r="F3349" s="737" t="s">
        <v>9482</v>
      </c>
      <c r="G3349" s="636" t="s">
        <v>9483</v>
      </c>
      <c r="H3349" s="636" t="s">
        <v>7752</v>
      </c>
      <c r="I3349" s="636" t="s">
        <v>2179</v>
      </c>
      <c r="J3349" s="644" t="s">
        <v>642</v>
      </c>
      <c r="K3349" s="739"/>
      <c r="L3349" s="754"/>
      <c r="M3349" s="735"/>
      <c r="N3349" s="753">
        <v>4</v>
      </c>
      <c r="O3349" s="754">
        <v>6</v>
      </c>
      <c r="P3349" s="736">
        <v>29689.8</v>
      </c>
      <c r="Q3349" s="214"/>
    </row>
    <row r="3350" spans="1:17" ht="12" customHeight="1" x14ac:dyDescent="0.2">
      <c r="A3350" s="735" t="s">
        <v>7733</v>
      </c>
      <c r="B3350" s="735" t="s">
        <v>2170</v>
      </c>
      <c r="C3350" s="735" t="s">
        <v>451</v>
      </c>
      <c r="D3350" s="644" t="s">
        <v>8285</v>
      </c>
      <c r="E3350" s="736">
        <v>3300</v>
      </c>
      <c r="F3350" s="737" t="s">
        <v>8286</v>
      </c>
      <c r="G3350" s="636" t="s">
        <v>8287</v>
      </c>
      <c r="H3350" s="636" t="s">
        <v>3915</v>
      </c>
      <c r="I3350" s="636" t="s">
        <v>2766</v>
      </c>
      <c r="J3350" s="644" t="s">
        <v>643</v>
      </c>
      <c r="K3350" s="739"/>
      <c r="L3350" s="754"/>
      <c r="M3350" s="735"/>
      <c r="N3350" s="753">
        <v>4</v>
      </c>
      <c r="O3350" s="754">
        <v>6</v>
      </c>
      <c r="P3350" s="736">
        <v>22489.8</v>
      </c>
      <c r="Q3350" s="214"/>
    </row>
    <row r="3351" spans="1:17" ht="12" customHeight="1" x14ac:dyDescent="0.2">
      <c r="A3351" s="735" t="s">
        <v>7733</v>
      </c>
      <c r="B3351" s="735" t="s">
        <v>2170</v>
      </c>
      <c r="C3351" s="735" t="s">
        <v>451</v>
      </c>
      <c r="D3351" s="644" t="s">
        <v>7985</v>
      </c>
      <c r="E3351" s="736">
        <v>3000</v>
      </c>
      <c r="F3351" s="737" t="s">
        <v>8363</v>
      </c>
      <c r="G3351" s="636" t="s">
        <v>8364</v>
      </c>
      <c r="H3351" s="636" t="s">
        <v>8000</v>
      </c>
      <c r="I3351" s="636" t="s">
        <v>2445</v>
      </c>
      <c r="J3351" s="644" t="s">
        <v>643</v>
      </c>
      <c r="K3351" s="739"/>
      <c r="L3351" s="754"/>
      <c r="M3351" s="735"/>
      <c r="N3351" s="753">
        <v>4</v>
      </c>
      <c r="O3351" s="754">
        <v>6</v>
      </c>
      <c r="P3351" s="736">
        <v>20689.8</v>
      </c>
      <c r="Q3351" s="214"/>
    </row>
    <row r="3352" spans="1:17" ht="12" customHeight="1" x14ac:dyDescent="0.2">
      <c r="A3352" s="735" t="s">
        <v>7733</v>
      </c>
      <c r="B3352" s="735" t="s">
        <v>2170</v>
      </c>
      <c r="C3352" s="735" t="s">
        <v>451</v>
      </c>
      <c r="D3352" s="644" t="s">
        <v>8371</v>
      </c>
      <c r="E3352" s="736">
        <v>3000</v>
      </c>
      <c r="F3352" s="737" t="s">
        <v>8372</v>
      </c>
      <c r="G3352" s="636" t="s">
        <v>8373</v>
      </c>
      <c r="H3352" s="636" t="s">
        <v>3754</v>
      </c>
      <c r="I3352" s="636" t="s">
        <v>2979</v>
      </c>
      <c r="J3352" s="644" t="s">
        <v>643</v>
      </c>
      <c r="K3352" s="739"/>
      <c r="L3352" s="754"/>
      <c r="M3352" s="735"/>
      <c r="N3352" s="753">
        <v>4</v>
      </c>
      <c r="O3352" s="754">
        <v>6</v>
      </c>
      <c r="P3352" s="736">
        <v>20689.8</v>
      </c>
      <c r="Q3352" s="214"/>
    </row>
    <row r="3353" spans="1:17" ht="12" customHeight="1" x14ac:dyDescent="0.2">
      <c r="A3353" s="735" t="s">
        <v>7733</v>
      </c>
      <c r="B3353" s="735" t="s">
        <v>2170</v>
      </c>
      <c r="C3353" s="735" t="s">
        <v>451</v>
      </c>
      <c r="D3353" s="644" t="s">
        <v>7746</v>
      </c>
      <c r="E3353" s="736">
        <v>2200</v>
      </c>
      <c r="F3353" s="737" t="s">
        <v>8448</v>
      </c>
      <c r="G3353" s="636" t="s">
        <v>8449</v>
      </c>
      <c r="H3353" s="636" t="s">
        <v>7850</v>
      </c>
      <c r="I3353" s="636" t="s">
        <v>7851</v>
      </c>
      <c r="J3353" s="644" t="s">
        <v>643</v>
      </c>
      <c r="K3353" s="739"/>
      <c r="L3353" s="754"/>
      <c r="M3353" s="735"/>
      <c r="N3353" s="753">
        <v>4</v>
      </c>
      <c r="O3353" s="754">
        <v>6</v>
      </c>
      <c r="P3353" s="736">
        <v>15889.8</v>
      </c>
      <c r="Q3353" s="214"/>
    </row>
    <row r="3354" spans="1:17" ht="12" customHeight="1" x14ac:dyDescent="0.2">
      <c r="A3354" s="735" t="s">
        <v>7733</v>
      </c>
      <c r="B3354" s="735" t="s">
        <v>2170</v>
      </c>
      <c r="C3354" s="735" t="s">
        <v>451</v>
      </c>
      <c r="D3354" s="644" t="s">
        <v>8158</v>
      </c>
      <c r="E3354" s="736">
        <v>2200</v>
      </c>
      <c r="F3354" s="737" t="s">
        <v>8920</v>
      </c>
      <c r="G3354" s="636" t="s">
        <v>8921</v>
      </c>
      <c r="H3354" s="636"/>
      <c r="I3354" s="636"/>
      <c r="J3354" s="644" t="s">
        <v>644</v>
      </c>
      <c r="K3354" s="739"/>
      <c r="L3354" s="754"/>
      <c r="M3354" s="735"/>
      <c r="N3354" s="753">
        <v>4</v>
      </c>
      <c r="O3354" s="754">
        <v>6</v>
      </c>
      <c r="P3354" s="736">
        <v>15889.8</v>
      </c>
      <c r="Q3354" s="214"/>
    </row>
    <row r="3355" spans="1:17" ht="12" customHeight="1" x14ac:dyDescent="0.2">
      <c r="A3355" s="735" t="s">
        <v>7733</v>
      </c>
      <c r="B3355" s="735" t="s">
        <v>2170</v>
      </c>
      <c r="C3355" s="735" t="s">
        <v>451</v>
      </c>
      <c r="D3355" s="644" t="s">
        <v>7954</v>
      </c>
      <c r="E3355" s="736">
        <v>4000</v>
      </c>
      <c r="F3355" s="737" t="s">
        <v>7955</v>
      </c>
      <c r="G3355" s="636" t="s">
        <v>7956</v>
      </c>
      <c r="H3355" s="636" t="s">
        <v>6571</v>
      </c>
      <c r="I3355" s="636" t="s">
        <v>2179</v>
      </c>
      <c r="J3355" s="644" t="s">
        <v>642</v>
      </c>
      <c r="K3355" s="739"/>
      <c r="L3355" s="754"/>
      <c r="M3355" s="735"/>
      <c r="N3355" s="753">
        <v>2</v>
      </c>
      <c r="O3355" s="754">
        <v>2</v>
      </c>
      <c r="P3355" s="736">
        <v>10689.8</v>
      </c>
      <c r="Q3355" s="214"/>
    </row>
    <row r="3356" spans="1:17" ht="12" customHeight="1" x14ac:dyDescent="0.2">
      <c r="A3356" s="735" t="s">
        <v>7733</v>
      </c>
      <c r="B3356" s="735" t="s">
        <v>2170</v>
      </c>
      <c r="C3356" s="735" t="s">
        <v>451</v>
      </c>
      <c r="D3356" s="644" t="s">
        <v>8600</v>
      </c>
      <c r="E3356" s="736">
        <v>4500</v>
      </c>
      <c r="F3356" s="737" t="s">
        <v>9328</v>
      </c>
      <c r="G3356" s="636" t="s">
        <v>9329</v>
      </c>
      <c r="H3356" s="636" t="s">
        <v>7772</v>
      </c>
      <c r="I3356" s="636" t="s">
        <v>2478</v>
      </c>
      <c r="J3356" s="644" t="s">
        <v>642</v>
      </c>
      <c r="K3356" s="739"/>
      <c r="L3356" s="754"/>
      <c r="M3356" s="735"/>
      <c r="N3356" s="753">
        <v>4</v>
      </c>
      <c r="O3356" s="754">
        <v>6</v>
      </c>
      <c r="P3356" s="736">
        <v>29689.8</v>
      </c>
      <c r="Q3356" s="214"/>
    </row>
    <row r="3357" spans="1:17" ht="12" customHeight="1" x14ac:dyDescent="0.2">
      <c r="A3357" s="735" t="s">
        <v>7733</v>
      </c>
      <c r="B3357" s="735" t="s">
        <v>2170</v>
      </c>
      <c r="C3357" s="735" t="s">
        <v>451</v>
      </c>
      <c r="D3357" s="644" t="s">
        <v>8631</v>
      </c>
      <c r="E3357" s="736">
        <v>7000</v>
      </c>
      <c r="F3357" s="737" t="s">
        <v>8632</v>
      </c>
      <c r="G3357" s="636" t="s">
        <v>8633</v>
      </c>
      <c r="H3357" s="636"/>
      <c r="I3357" s="636"/>
      <c r="J3357" s="644" t="s">
        <v>642</v>
      </c>
      <c r="K3357" s="739"/>
      <c r="L3357" s="754"/>
      <c r="M3357" s="735"/>
      <c r="N3357" s="753">
        <v>4</v>
      </c>
      <c r="O3357" s="754">
        <v>6</v>
      </c>
      <c r="P3357" s="736">
        <v>44689.8</v>
      </c>
      <c r="Q3357" s="214"/>
    </row>
    <row r="3358" spans="1:17" ht="12" customHeight="1" x14ac:dyDescent="0.2">
      <c r="A3358" s="735" t="s">
        <v>7733</v>
      </c>
      <c r="B3358" s="735" t="s">
        <v>2170</v>
      </c>
      <c r="C3358" s="735" t="s">
        <v>451</v>
      </c>
      <c r="D3358" s="644" t="s">
        <v>7746</v>
      </c>
      <c r="E3358" s="736">
        <v>2200</v>
      </c>
      <c r="F3358" s="737" t="s">
        <v>7753</v>
      </c>
      <c r="G3358" s="636" t="s">
        <v>7754</v>
      </c>
      <c r="H3358" s="636" t="s">
        <v>10194</v>
      </c>
      <c r="I3358" s="636"/>
      <c r="J3358" s="644" t="s">
        <v>643</v>
      </c>
      <c r="K3358" s="739"/>
      <c r="L3358" s="754"/>
      <c r="M3358" s="735"/>
      <c r="N3358" s="753">
        <v>4</v>
      </c>
      <c r="O3358" s="754">
        <v>6</v>
      </c>
      <c r="P3358" s="736">
        <v>15889.8</v>
      </c>
      <c r="Q3358" s="214"/>
    </row>
    <row r="3359" spans="1:17" ht="12" customHeight="1" x14ac:dyDescent="0.2">
      <c r="A3359" s="735" t="s">
        <v>7733</v>
      </c>
      <c r="B3359" s="735" t="s">
        <v>2170</v>
      </c>
      <c r="C3359" s="735" t="s">
        <v>451</v>
      </c>
      <c r="D3359" s="644" t="s">
        <v>8894</v>
      </c>
      <c r="E3359" s="736">
        <v>11000</v>
      </c>
      <c r="F3359" s="737" t="s">
        <v>8895</v>
      </c>
      <c r="G3359" s="636" t="s">
        <v>8896</v>
      </c>
      <c r="H3359" s="636" t="s">
        <v>6633</v>
      </c>
      <c r="I3359" s="636" t="s">
        <v>7835</v>
      </c>
      <c r="J3359" s="644" t="s">
        <v>642</v>
      </c>
      <c r="K3359" s="739"/>
      <c r="L3359" s="754"/>
      <c r="M3359" s="735"/>
      <c r="N3359" s="753">
        <v>1</v>
      </c>
      <c r="O3359" s="754">
        <v>0</v>
      </c>
      <c r="P3359" s="736">
        <v>2689.8</v>
      </c>
      <c r="Q3359" s="214"/>
    </row>
    <row r="3360" spans="1:17" ht="12" customHeight="1" x14ac:dyDescent="0.2">
      <c r="A3360" s="735" t="s">
        <v>7733</v>
      </c>
      <c r="B3360" s="735" t="s">
        <v>2170</v>
      </c>
      <c r="C3360" s="735" t="s">
        <v>451</v>
      </c>
      <c r="D3360" s="644" t="s">
        <v>2179</v>
      </c>
      <c r="E3360" s="736">
        <v>7000</v>
      </c>
      <c r="F3360" s="737" t="s">
        <v>8851</v>
      </c>
      <c r="G3360" s="636" t="s">
        <v>8852</v>
      </c>
      <c r="H3360" s="636" t="s">
        <v>6571</v>
      </c>
      <c r="I3360" s="636" t="s">
        <v>2179</v>
      </c>
      <c r="J3360" s="644" t="s">
        <v>642</v>
      </c>
      <c r="K3360" s="739"/>
      <c r="L3360" s="754"/>
      <c r="M3360" s="735"/>
      <c r="N3360" s="753">
        <v>4</v>
      </c>
      <c r="O3360" s="754">
        <v>6</v>
      </c>
      <c r="P3360" s="736">
        <v>44689.8</v>
      </c>
      <c r="Q3360" s="214"/>
    </row>
    <row r="3361" spans="1:17" ht="12" customHeight="1" x14ac:dyDescent="0.2">
      <c r="A3361" s="735" t="s">
        <v>7733</v>
      </c>
      <c r="B3361" s="735" t="s">
        <v>2170</v>
      </c>
      <c r="C3361" s="735" t="s">
        <v>451</v>
      </c>
      <c r="D3361" s="644" t="s">
        <v>8247</v>
      </c>
      <c r="E3361" s="736">
        <v>4000</v>
      </c>
      <c r="F3361" s="737" t="s">
        <v>10109</v>
      </c>
      <c r="G3361" s="636" t="s">
        <v>10110</v>
      </c>
      <c r="H3361" s="636" t="s">
        <v>10236</v>
      </c>
      <c r="I3361" s="636" t="s">
        <v>7835</v>
      </c>
      <c r="J3361" s="644" t="s">
        <v>642</v>
      </c>
      <c r="K3361" s="739"/>
      <c r="L3361" s="754"/>
      <c r="M3361" s="735"/>
      <c r="N3361" s="753">
        <v>1</v>
      </c>
      <c r="O3361" s="754">
        <v>2</v>
      </c>
      <c r="P3361" s="736">
        <v>10689.8</v>
      </c>
      <c r="Q3361" s="214"/>
    </row>
    <row r="3362" spans="1:17" ht="12" customHeight="1" x14ac:dyDescent="0.2">
      <c r="A3362" s="735" t="s">
        <v>7733</v>
      </c>
      <c r="B3362" s="735" t="s">
        <v>2170</v>
      </c>
      <c r="C3362" s="735" t="s">
        <v>451</v>
      </c>
      <c r="D3362" s="644" t="s">
        <v>7786</v>
      </c>
      <c r="E3362" s="736">
        <v>6000</v>
      </c>
      <c r="F3362" s="737" t="s">
        <v>7935</v>
      </c>
      <c r="G3362" s="636" t="s">
        <v>7936</v>
      </c>
      <c r="H3362" s="636" t="s">
        <v>6571</v>
      </c>
      <c r="I3362" s="636" t="s">
        <v>2179</v>
      </c>
      <c r="J3362" s="644" t="s">
        <v>642</v>
      </c>
      <c r="K3362" s="739"/>
      <c r="L3362" s="754"/>
      <c r="M3362" s="735"/>
      <c r="N3362" s="753">
        <v>4</v>
      </c>
      <c r="O3362" s="754">
        <v>6</v>
      </c>
      <c r="P3362" s="736">
        <v>38689.800000000003</v>
      </c>
      <c r="Q3362" s="214"/>
    </row>
    <row r="3363" spans="1:17" ht="12" customHeight="1" x14ac:dyDescent="0.2">
      <c r="A3363" s="735" t="s">
        <v>7733</v>
      </c>
      <c r="B3363" s="735" t="s">
        <v>2170</v>
      </c>
      <c r="C3363" s="735" t="s">
        <v>451</v>
      </c>
      <c r="D3363" s="644" t="s">
        <v>8420</v>
      </c>
      <c r="E3363" s="736">
        <v>10000</v>
      </c>
      <c r="F3363" s="737" t="s">
        <v>8421</v>
      </c>
      <c r="G3363" s="636" t="s">
        <v>8422</v>
      </c>
      <c r="H3363" s="636" t="s">
        <v>6633</v>
      </c>
      <c r="I3363" s="636" t="s">
        <v>2189</v>
      </c>
      <c r="J3363" s="644" t="s">
        <v>642</v>
      </c>
      <c r="K3363" s="739"/>
      <c r="L3363" s="754"/>
      <c r="M3363" s="735"/>
      <c r="N3363" s="753">
        <v>4</v>
      </c>
      <c r="O3363" s="754">
        <v>6</v>
      </c>
      <c r="P3363" s="736">
        <v>62689.8</v>
      </c>
      <c r="Q3363" s="214"/>
    </row>
    <row r="3364" spans="1:17" ht="12" customHeight="1" x14ac:dyDescent="0.2">
      <c r="A3364" s="735" t="s">
        <v>7733</v>
      </c>
      <c r="B3364" s="735" t="s">
        <v>2170</v>
      </c>
      <c r="C3364" s="735" t="s">
        <v>451</v>
      </c>
      <c r="D3364" s="644" t="s">
        <v>2608</v>
      </c>
      <c r="E3364" s="736">
        <v>3200</v>
      </c>
      <c r="F3364" s="737" t="s">
        <v>9092</v>
      </c>
      <c r="G3364" s="636" t="s">
        <v>9093</v>
      </c>
      <c r="H3364" s="636" t="s">
        <v>9094</v>
      </c>
      <c r="I3364" s="636" t="s">
        <v>4732</v>
      </c>
      <c r="J3364" s="644" t="s">
        <v>642</v>
      </c>
      <c r="K3364" s="739"/>
      <c r="L3364" s="754"/>
      <c r="M3364" s="735"/>
      <c r="N3364" s="753">
        <v>4</v>
      </c>
      <c r="O3364" s="754">
        <v>6</v>
      </c>
      <c r="P3364" s="736">
        <v>21889.8</v>
      </c>
      <c r="Q3364" s="214"/>
    </row>
    <row r="3365" spans="1:17" ht="12" customHeight="1" x14ac:dyDescent="0.2">
      <c r="A3365" s="735" t="s">
        <v>7733</v>
      </c>
      <c r="B3365" s="735" t="s">
        <v>2170</v>
      </c>
      <c r="C3365" s="735" t="s">
        <v>451</v>
      </c>
      <c r="D3365" s="644" t="s">
        <v>8032</v>
      </c>
      <c r="E3365" s="736">
        <v>3200</v>
      </c>
      <c r="F3365" s="737" t="s">
        <v>10079</v>
      </c>
      <c r="G3365" s="636" t="s">
        <v>10080</v>
      </c>
      <c r="H3365" s="636" t="s">
        <v>10081</v>
      </c>
      <c r="I3365" s="636" t="s">
        <v>10082</v>
      </c>
      <c r="J3365" s="644" t="s">
        <v>643</v>
      </c>
      <c r="K3365" s="739"/>
      <c r="L3365" s="754"/>
      <c r="M3365" s="735"/>
      <c r="N3365" s="753">
        <v>4</v>
      </c>
      <c r="O3365" s="754">
        <v>6</v>
      </c>
      <c r="P3365" s="736">
        <v>21889.8</v>
      </c>
      <c r="Q3365" s="214"/>
    </row>
    <row r="3366" spans="1:17" ht="12" customHeight="1" x14ac:dyDescent="0.2">
      <c r="A3366" s="735" t="s">
        <v>7733</v>
      </c>
      <c r="B3366" s="735" t="s">
        <v>2170</v>
      </c>
      <c r="C3366" s="735" t="s">
        <v>451</v>
      </c>
      <c r="D3366" s="644" t="s">
        <v>8459</v>
      </c>
      <c r="E3366" s="736">
        <v>4000</v>
      </c>
      <c r="F3366" s="737" t="s">
        <v>8460</v>
      </c>
      <c r="G3366" s="636" t="s">
        <v>8461</v>
      </c>
      <c r="H3366" s="636" t="s">
        <v>8022</v>
      </c>
      <c r="I3366" s="636" t="s">
        <v>8462</v>
      </c>
      <c r="J3366" s="644" t="s">
        <v>642</v>
      </c>
      <c r="K3366" s="739"/>
      <c r="L3366" s="754"/>
      <c r="M3366" s="735"/>
      <c r="N3366" s="753">
        <v>3</v>
      </c>
      <c r="O3366" s="754">
        <v>6</v>
      </c>
      <c r="P3366" s="736">
        <v>26689.8</v>
      </c>
      <c r="Q3366" s="214"/>
    </row>
    <row r="3367" spans="1:17" ht="12" customHeight="1" x14ac:dyDescent="0.2">
      <c r="A3367" s="735" t="s">
        <v>7733</v>
      </c>
      <c r="B3367" s="735" t="s">
        <v>2170</v>
      </c>
      <c r="C3367" s="735" t="s">
        <v>451</v>
      </c>
      <c r="D3367" s="644" t="s">
        <v>8298</v>
      </c>
      <c r="E3367" s="736">
        <v>1200</v>
      </c>
      <c r="F3367" s="737" t="s">
        <v>8299</v>
      </c>
      <c r="G3367" s="636" t="s">
        <v>8300</v>
      </c>
      <c r="H3367" s="636" t="s">
        <v>10194</v>
      </c>
      <c r="I3367" s="636"/>
      <c r="J3367" s="644" t="s">
        <v>644</v>
      </c>
      <c r="K3367" s="739"/>
      <c r="L3367" s="754"/>
      <c r="M3367" s="735"/>
      <c r="N3367" s="753">
        <v>4</v>
      </c>
      <c r="O3367" s="754">
        <v>6</v>
      </c>
      <c r="P3367" s="736">
        <v>9096</v>
      </c>
      <c r="Q3367" s="214"/>
    </row>
    <row r="3368" spans="1:17" ht="12" customHeight="1" x14ac:dyDescent="0.2">
      <c r="A3368" s="735" t="s">
        <v>7733</v>
      </c>
      <c r="B3368" s="735" t="s">
        <v>2170</v>
      </c>
      <c r="C3368" s="735" t="s">
        <v>451</v>
      </c>
      <c r="D3368" s="644" t="s">
        <v>9105</v>
      </c>
      <c r="E3368" s="736">
        <v>4000</v>
      </c>
      <c r="F3368" s="737" t="s">
        <v>9106</v>
      </c>
      <c r="G3368" s="636" t="s">
        <v>9107</v>
      </c>
      <c r="H3368" s="636" t="s">
        <v>8000</v>
      </c>
      <c r="I3368" s="636" t="s">
        <v>2478</v>
      </c>
      <c r="J3368" s="644" t="s">
        <v>642</v>
      </c>
      <c r="K3368" s="739"/>
      <c r="L3368" s="754"/>
      <c r="M3368" s="735"/>
      <c r="N3368" s="753">
        <v>4</v>
      </c>
      <c r="O3368" s="754">
        <v>6</v>
      </c>
      <c r="P3368" s="736">
        <v>26689.8</v>
      </c>
      <c r="Q3368" s="214"/>
    </row>
    <row r="3369" spans="1:17" ht="12" customHeight="1" x14ac:dyDescent="0.2">
      <c r="A3369" s="735" t="s">
        <v>7733</v>
      </c>
      <c r="B3369" s="735" t="s">
        <v>2170</v>
      </c>
      <c r="C3369" s="735" t="s">
        <v>451</v>
      </c>
      <c r="D3369" s="644" t="s">
        <v>8647</v>
      </c>
      <c r="E3369" s="736">
        <v>2300</v>
      </c>
      <c r="F3369" s="737" t="s">
        <v>8687</v>
      </c>
      <c r="G3369" s="636" t="s">
        <v>8688</v>
      </c>
      <c r="H3369" s="636" t="s">
        <v>3915</v>
      </c>
      <c r="I3369" s="636" t="s">
        <v>8689</v>
      </c>
      <c r="J3369" s="644" t="s">
        <v>643</v>
      </c>
      <c r="K3369" s="739"/>
      <c r="L3369" s="754"/>
      <c r="M3369" s="735"/>
      <c r="N3369" s="753">
        <v>4</v>
      </c>
      <c r="O3369" s="754">
        <v>6</v>
      </c>
      <c r="P3369" s="736">
        <v>16489.8</v>
      </c>
      <c r="Q3369" s="214"/>
    </row>
    <row r="3370" spans="1:17" ht="12" customHeight="1" x14ac:dyDescent="0.2">
      <c r="A3370" s="735" t="s">
        <v>7733</v>
      </c>
      <c r="B3370" s="735" t="s">
        <v>2170</v>
      </c>
      <c r="C3370" s="735" t="s">
        <v>451</v>
      </c>
      <c r="D3370" s="644" t="s">
        <v>9248</v>
      </c>
      <c r="E3370" s="736">
        <v>8000</v>
      </c>
      <c r="F3370" s="737" t="s">
        <v>9903</v>
      </c>
      <c r="G3370" s="636" t="s">
        <v>9904</v>
      </c>
      <c r="H3370" s="636" t="s">
        <v>6571</v>
      </c>
      <c r="I3370" s="636" t="s">
        <v>7835</v>
      </c>
      <c r="J3370" s="644" t="s">
        <v>642</v>
      </c>
      <c r="K3370" s="739"/>
      <c r="L3370" s="754"/>
      <c r="M3370" s="735"/>
      <c r="N3370" s="753">
        <v>1</v>
      </c>
      <c r="O3370" s="754">
        <v>0</v>
      </c>
      <c r="P3370" s="736">
        <v>2689.8</v>
      </c>
      <c r="Q3370" s="214"/>
    </row>
    <row r="3371" spans="1:17" ht="12" customHeight="1" x14ac:dyDescent="0.2">
      <c r="A3371" s="735" t="s">
        <v>7733</v>
      </c>
      <c r="B3371" s="735" t="s">
        <v>2170</v>
      </c>
      <c r="C3371" s="735" t="s">
        <v>451</v>
      </c>
      <c r="D3371" s="644" t="s">
        <v>10122</v>
      </c>
      <c r="E3371" s="736">
        <v>5000</v>
      </c>
      <c r="F3371" s="737" t="s">
        <v>10123</v>
      </c>
      <c r="G3371" s="636" t="s">
        <v>10124</v>
      </c>
      <c r="H3371" s="636" t="s">
        <v>7245</v>
      </c>
      <c r="I3371" s="636" t="s">
        <v>3760</v>
      </c>
      <c r="J3371" s="644" t="s">
        <v>642</v>
      </c>
      <c r="K3371" s="739"/>
      <c r="L3371" s="754"/>
      <c r="M3371" s="735"/>
      <c r="N3371" s="753">
        <v>4</v>
      </c>
      <c r="O3371" s="754">
        <v>6</v>
      </c>
      <c r="P3371" s="736">
        <v>32689.8</v>
      </c>
      <c r="Q3371" s="214"/>
    </row>
    <row r="3372" spans="1:17" ht="12" customHeight="1" x14ac:dyDescent="0.2">
      <c r="A3372" s="735" t="s">
        <v>7733</v>
      </c>
      <c r="B3372" s="735" t="s">
        <v>2170</v>
      </c>
      <c r="C3372" s="735" t="s">
        <v>451</v>
      </c>
      <c r="D3372" s="644" t="s">
        <v>8367</v>
      </c>
      <c r="E3372" s="736">
        <v>2300</v>
      </c>
      <c r="F3372" s="737" t="s">
        <v>9103</v>
      </c>
      <c r="G3372" s="636" t="s">
        <v>9104</v>
      </c>
      <c r="H3372" s="636" t="s">
        <v>3522</v>
      </c>
      <c r="I3372" s="636" t="s">
        <v>2346</v>
      </c>
      <c r="J3372" s="644" t="s">
        <v>643</v>
      </c>
      <c r="K3372" s="739"/>
      <c r="L3372" s="754"/>
      <c r="M3372" s="735"/>
      <c r="N3372" s="753">
        <v>4</v>
      </c>
      <c r="O3372" s="754">
        <v>6</v>
      </c>
      <c r="P3372" s="736">
        <v>16489.8</v>
      </c>
      <c r="Q3372" s="214"/>
    </row>
    <row r="3373" spans="1:17" ht="12" customHeight="1" x14ac:dyDescent="0.2">
      <c r="A3373" s="735" t="s">
        <v>7733</v>
      </c>
      <c r="B3373" s="735" t="s">
        <v>2170</v>
      </c>
      <c r="C3373" s="735" t="s">
        <v>451</v>
      </c>
      <c r="D3373" s="644" t="s">
        <v>8367</v>
      </c>
      <c r="E3373" s="736">
        <v>2300</v>
      </c>
      <c r="F3373" s="737" t="s">
        <v>9350</v>
      </c>
      <c r="G3373" s="636" t="s">
        <v>9351</v>
      </c>
      <c r="H3373" s="636" t="s">
        <v>7752</v>
      </c>
      <c r="I3373" s="636" t="s">
        <v>2179</v>
      </c>
      <c r="J3373" s="644" t="s">
        <v>643</v>
      </c>
      <c r="K3373" s="739"/>
      <c r="L3373" s="754"/>
      <c r="M3373" s="735"/>
      <c r="N3373" s="753">
        <v>4</v>
      </c>
      <c r="O3373" s="754">
        <v>6</v>
      </c>
      <c r="P3373" s="736">
        <v>16489.8</v>
      </c>
      <c r="Q3373" s="214"/>
    </row>
    <row r="3374" spans="1:17" ht="12" customHeight="1" x14ac:dyDescent="0.2">
      <c r="A3374" s="735" t="s">
        <v>7733</v>
      </c>
      <c r="B3374" s="735" t="s">
        <v>2170</v>
      </c>
      <c r="C3374" s="735" t="s">
        <v>451</v>
      </c>
      <c r="D3374" s="644" t="s">
        <v>7758</v>
      </c>
      <c r="E3374" s="736">
        <v>3000</v>
      </c>
      <c r="F3374" s="737" t="s">
        <v>7759</v>
      </c>
      <c r="G3374" s="636" t="s">
        <v>7760</v>
      </c>
      <c r="H3374" s="636" t="s">
        <v>7752</v>
      </c>
      <c r="I3374" s="636" t="s">
        <v>2179</v>
      </c>
      <c r="J3374" s="644" t="s">
        <v>643</v>
      </c>
      <c r="K3374" s="739"/>
      <c r="L3374" s="754"/>
      <c r="M3374" s="735"/>
      <c r="N3374" s="753">
        <v>4</v>
      </c>
      <c r="O3374" s="754">
        <v>6</v>
      </c>
      <c r="P3374" s="736">
        <v>20689.8</v>
      </c>
      <c r="Q3374" s="214"/>
    </row>
    <row r="3375" spans="1:17" ht="12" customHeight="1" x14ac:dyDescent="0.2">
      <c r="A3375" s="735" t="s">
        <v>7733</v>
      </c>
      <c r="B3375" s="735" t="s">
        <v>2170</v>
      </c>
      <c r="C3375" s="735" t="s">
        <v>451</v>
      </c>
      <c r="D3375" s="644" t="s">
        <v>8600</v>
      </c>
      <c r="E3375" s="736">
        <v>6000</v>
      </c>
      <c r="F3375" s="737" t="s">
        <v>8601</v>
      </c>
      <c r="G3375" s="636" t="s">
        <v>8602</v>
      </c>
      <c r="H3375" s="636" t="s">
        <v>8000</v>
      </c>
      <c r="I3375" s="636" t="s">
        <v>2478</v>
      </c>
      <c r="J3375" s="644" t="s">
        <v>642</v>
      </c>
      <c r="K3375" s="739"/>
      <c r="L3375" s="754"/>
      <c r="M3375" s="735"/>
      <c r="N3375" s="753">
        <v>4</v>
      </c>
      <c r="O3375" s="754">
        <v>6</v>
      </c>
      <c r="P3375" s="736">
        <v>38689.800000000003</v>
      </c>
      <c r="Q3375" s="214"/>
    </row>
    <row r="3376" spans="1:17" ht="12" customHeight="1" x14ac:dyDescent="0.2">
      <c r="A3376" s="735" t="s">
        <v>7733</v>
      </c>
      <c r="B3376" s="735" t="s">
        <v>2170</v>
      </c>
      <c r="C3376" s="735" t="s">
        <v>451</v>
      </c>
      <c r="D3376" s="644" t="s">
        <v>2788</v>
      </c>
      <c r="E3376" s="736">
        <v>1600</v>
      </c>
      <c r="F3376" s="737" t="s">
        <v>8398</v>
      </c>
      <c r="G3376" s="636" t="s">
        <v>8399</v>
      </c>
      <c r="H3376" s="636" t="s">
        <v>3754</v>
      </c>
      <c r="I3376" s="636" t="s">
        <v>8400</v>
      </c>
      <c r="J3376" s="644" t="s">
        <v>643</v>
      </c>
      <c r="K3376" s="739"/>
      <c r="L3376" s="754"/>
      <c r="M3376" s="735"/>
      <c r="N3376" s="753">
        <v>2</v>
      </c>
      <c r="O3376" s="754">
        <v>2</v>
      </c>
      <c r="P3376" s="736">
        <v>5528</v>
      </c>
      <c r="Q3376" s="214"/>
    </row>
    <row r="3377" spans="1:17" ht="12" customHeight="1" x14ac:dyDescent="0.2">
      <c r="A3377" s="735" t="s">
        <v>7733</v>
      </c>
      <c r="B3377" s="735" t="s">
        <v>2170</v>
      </c>
      <c r="C3377" s="735" t="s">
        <v>451</v>
      </c>
      <c r="D3377" s="644" t="s">
        <v>7901</v>
      </c>
      <c r="E3377" s="736">
        <v>2500</v>
      </c>
      <c r="F3377" s="737" t="s">
        <v>8589</v>
      </c>
      <c r="G3377" s="636" t="s">
        <v>8590</v>
      </c>
      <c r="H3377" s="636" t="s">
        <v>8089</v>
      </c>
      <c r="I3377" s="636" t="s">
        <v>8036</v>
      </c>
      <c r="J3377" s="644" t="s">
        <v>643</v>
      </c>
      <c r="K3377" s="739"/>
      <c r="L3377" s="754"/>
      <c r="M3377" s="735"/>
      <c r="N3377" s="753">
        <v>3</v>
      </c>
      <c r="O3377" s="754">
        <v>5</v>
      </c>
      <c r="P3377" s="736">
        <v>15189.8</v>
      </c>
      <c r="Q3377" s="214"/>
    </row>
    <row r="3378" spans="1:17" ht="12" customHeight="1" x14ac:dyDescent="0.2">
      <c r="A3378" s="735" t="s">
        <v>7733</v>
      </c>
      <c r="B3378" s="735" t="s">
        <v>2170</v>
      </c>
      <c r="C3378" s="735" t="s">
        <v>451</v>
      </c>
      <c r="D3378" s="644" t="s">
        <v>8875</v>
      </c>
      <c r="E3378" s="736">
        <v>2000</v>
      </c>
      <c r="F3378" s="737" t="s">
        <v>8876</v>
      </c>
      <c r="G3378" s="636" t="s">
        <v>8877</v>
      </c>
      <c r="H3378" s="636" t="s">
        <v>6778</v>
      </c>
      <c r="I3378" s="636" t="s">
        <v>3092</v>
      </c>
      <c r="J3378" s="644" t="s">
        <v>643</v>
      </c>
      <c r="K3378" s="739"/>
      <c r="L3378" s="754"/>
      <c r="M3378" s="735"/>
      <c r="N3378" s="753">
        <v>5</v>
      </c>
      <c r="O3378" s="754">
        <v>6</v>
      </c>
      <c r="P3378" s="736">
        <v>14689.8</v>
      </c>
      <c r="Q3378" s="214"/>
    </row>
    <row r="3379" spans="1:17" ht="12" customHeight="1" x14ac:dyDescent="0.2">
      <c r="A3379" s="735" t="s">
        <v>7733</v>
      </c>
      <c r="B3379" s="735" t="s">
        <v>2170</v>
      </c>
      <c r="C3379" s="735" t="s">
        <v>451</v>
      </c>
      <c r="D3379" s="644" t="s">
        <v>9020</v>
      </c>
      <c r="E3379" s="736">
        <v>4000</v>
      </c>
      <c r="F3379" s="737" t="s">
        <v>9021</v>
      </c>
      <c r="G3379" s="636" t="s">
        <v>9022</v>
      </c>
      <c r="H3379" s="636" t="s">
        <v>3754</v>
      </c>
      <c r="I3379" s="636" t="s">
        <v>3754</v>
      </c>
      <c r="J3379" s="644" t="s">
        <v>642</v>
      </c>
      <c r="K3379" s="739"/>
      <c r="L3379" s="754"/>
      <c r="M3379" s="735"/>
      <c r="N3379" s="753">
        <v>4</v>
      </c>
      <c r="O3379" s="754">
        <v>6</v>
      </c>
      <c r="P3379" s="736">
        <v>26689.8</v>
      </c>
      <c r="Q3379" s="214"/>
    </row>
    <row r="3380" spans="1:17" ht="12" customHeight="1" x14ac:dyDescent="0.2">
      <c r="A3380" s="735" t="s">
        <v>7733</v>
      </c>
      <c r="B3380" s="735" t="s">
        <v>2170</v>
      </c>
      <c r="C3380" s="735" t="s">
        <v>451</v>
      </c>
      <c r="D3380" s="644" t="s">
        <v>9396</v>
      </c>
      <c r="E3380" s="736">
        <v>4000</v>
      </c>
      <c r="F3380" s="737" t="s">
        <v>9397</v>
      </c>
      <c r="G3380" s="636" t="s">
        <v>9398</v>
      </c>
      <c r="H3380" s="636" t="s">
        <v>7752</v>
      </c>
      <c r="I3380" s="636" t="s">
        <v>2179</v>
      </c>
      <c r="J3380" s="644" t="s">
        <v>642</v>
      </c>
      <c r="K3380" s="739"/>
      <c r="L3380" s="754"/>
      <c r="M3380" s="735"/>
      <c r="N3380" s="753">
        <v>6</v>
      </c>
      <c r="O3380" s="754">
        <v>6</v>
      </c>
      <c r="P3380" s="736">
        <v>26689.8</v>
      </c>
      <c r="Q3380" s="214"/>
    </row>
    <row r="3381" spans="1:17" ht="12" customHeight="1" x14ac:dyDescent="0.2">
      <c r="A3381" s="735" t="s">
        <v>7733</v>
      </c>
      <c r="B3381" s="735" t="s">
        <v>2170</v>
      </c>
      <c r="C3381" s="735" t="s">
        <v>451</v>
      </c>
      <c r="D3381" s="644" t="s">
        <v>8834</v>
      </c>
      <c r="E3381" s="736">
        <v>7500</v>
      </c>
      <c r="F3381" s="737" t="s">
        <v>8835</v>
      </c>
      <c r="G3381" s="636" t="s">
        <v>8836</v>
      </c>
      <c r="H3381" s="636" t="s">
        <v>7752</v>
      </c>
      <c r="I3381" s="636" t="s">
        <v>2179</v>
      </c>
      <c r="J3381" s="644" t="s">
        <v>642</v>
      </c>
      <c r="K3381" s="739"/>
      <c r="L3381" s="754"/>
      <c r="M3381" s="735"/>
      <c r="N3381" s="753">
        <v>4</v>
      </c>
      <c r="O3381" s="754">
        <v>6</v>
      </c>
      <c r="P3381" s="736">
        <v>47689.8</v>
      </c>
      <c r="Q3381" s="214"/>
    </row>
    <row r="3382" spans="1:17" ht="12" customHeight="1" x14ac:dyDescent="0.2">
      <c r="A3382" s="735" t="s">
        <v>7733</v>
      </c>
      <c r="B3382" s="735" t="s">
        <v>2170</v>
      </c>
      <c r="C3382" s="735" t="s">
        <v>451</v>
      </c>
      <c r="D3382" s="644" t="s">
        <v>8288</v>
      </c>
      <c r="E3382" s="736">
        <v>3000</v>
      </c>
      <c r="F3382" s="737" t="s">
        <v>8736</v>
      </c>
      <c r="G3382" s="636" t="s">
        <v>8737</v>
      </c>
      <c r="H3382" s="636" t="s">
        <v>8135</v>
      </c>
      <c r="I3382" s="636" t="s">
        <v>7874</v>
      </c>
      <c r="J3382" s="644" t="s">
        <v>644</v>
      </c>
      <c r="K3382" s="739"/>
      <c r="L3382" s="754"/>
      <c r="M3382" s="735"/>
      <c r="N3382" s="753">
        <v>4</v>
      </c>
      <c r="O3382" s="754">
        <v>6</v>
      </c>
      <c r="P3382" s="736">
        <v>20689.8</v>
      </c>
      <c r="Q3382" s="214"/>
    </row>
    <row r="3383" spans="1:17" ht="12" customHeight="1" x14ac:dyDescent="0.2">
      <c r="A3383" s="735" t="s">
        <v>7733</v>
      </c>
      <c r="B3383" s="735" t="s">
        <v>2170</v>
      </c>
      <c r="C3383" s="735" t="s">
        <v>451</v>
      </c>
      <c r="D3383" s="644" t="s">
        <v>7779</v>
      </c>
      <c r="E3383" s="736">
        <v>4000</v>
      </c>
      <c r="F3383" s="737" t="s">
        <v>8244</v>
      </c>
      <c r="G3383" s="636" t="s">
        <v>8245</v>
      </c>
      <c r="H3383" s="636" t="s">
        <v>8000</v>
      </c>
      <c r="I3383" s="636" t="s">
        <v>8246</v>
      </c>
      <c r="J3383" s="644" t="s">
        <v>642</v>
      </c>
      <c r="K3383" s="739"/>
      <c r="L3383" s="754"/>
      <c r="M3383" s="735"/>
      <c r="N3383" s="753">
        <v>4</v>
      </c>
      <c r="O3383" s="754">
        <v>6</v>
      </c>
      <c r="P3383" s="736">
        <v>26689.8</v>
      </c>
      <c r="Q3383" s="214"/>
    </row>
    <row r="3384" spans="1:17" ht="12" customHeight="1" x14ac:dyDescent="0.2">
      <c r="A3384" s="735" t="s">
        <v>7733</v>
      </c>
      <c r="B3384" s="735" t="s">
        <v>2170</v>
      </c>
      <c r="C3384" s="735" t="s">
        <v>451</v>
      </c>
      <c r="D3384" s="644" t="s">
        <v>7977</v>
      </c>
      <c r="E3384" s="736">
        <v>4000</v>
      </c>
      <c r="F3384" s="737" t="s">
        <v>8520</v>
      </c>
      <c r="G3384" s="636" t="s">
        <v>8521</v>
      </c>
      <c r="H3384" s="636" t="s">
        <v>8000</v>
      </c>
      <c r="I3384" s="636" t="s">
        <v>2478</v>
      </c>
      <c r="J3384" s="644" t="s">
        <v>642</v>
      </c>
      <c r="K3384" s="739"/>
      <c r="L3384" s="754"/>
      <c r="M3384" s="735"/>
      <c r="N3384" s="753">
        <v>4</v>
      </c>
      <c r="O3384" s="754">
        <v>6</v>
      </c>
      <c r="P3384" s="736">
        <v>26689.8</v>
      </c>
      <c r="Q3384" s="214"/>
    </row>
    <row r="3385" spans="1:17" ht="12" customHeight="1" x14ac:dyDescent="0.2">
      <c r="A3385" s="735" t="s">
        <v>7733</v>
      </c>
      <c r="B3385" s="735" t="s">
        <v>2170</v>
      </c>
      <c r="C3385" s="735" t="s">
        <v>451</v>
      </c>
      <c r="D3385" s="644" t="s">
        <v>7843</v>
      </c>
      <c r="E3385" s="736">
        <v>4000</v>
      </c>
      <c r="F3385" s="737" t="s">
        <v>9744</v>
      </c>
      <c r="G3385" s="636" t="s">
        <v>9745</v>
      </c>
      <c r="H3385" s="636" t="s">
        <v>6613</v>
      </c>
      <c r="I3385" s="636" t="s">
        <v>7974</v>
      </c>
      <c r="J3385" s="644" t="s">
        <v>642</v>
      </c>
      <c r="K3385" s="739"/>
      <c r="L3385" s="754"/>
      <c r="M3385" s="735"/>
      <c r="N3385" s="753">
        <v>4</v>
      </c>
      <c r="O3385" s="754">
        <v>6</v>
      </c>
      <c r="P3385" s="736">
        <v>26689.8</v>
      </c>
      <c r="Q3385" s="214"/>
    </row>
    <row r="3386" spans="1:17" ht="12" customHeight="1" x14ac:dyDescent="0.2">
      <c r="A3386" s="735" t="s">
        <v>7733</v>
      </c>
      <c r="B3386" s="735" t="s">
        <v>2170</v>
      </c>
      <c r="C3386" s="735" t="s">
        <v>451</v>
      </c>
      <c r="D3386" s="644" t="s">
        <v>9987</v>
      </c>
      <c r="E3386" s="736">
        <v>4000</v>
      </c>
      <c r="F3386" s="737" t="s">
        <v>9988</v>
      </c>
      <c r="G3386" s="636" t="s">
        <v>9989</v>
      </c>
      <c r="H3386" s="636" t="s">
        <v>7752</v>
      </c>
      <c r="I3386" s="636" t="s">
        <v>2179</v>
      </c>
      <c r="J3386" s="644" t="s">
        <v>642</v>
      </c>
      <c r="K3386" s="739"/>
      <c r="L3386" s="754"/>
      <c r="M3386" s="735"/>
      <c r="N3386" s="753">
        <v>4</v>
      </c>
      <c r="O3386" s="754">
        <v>6</v>
      </c>
      <c r="P3386" s="736">
        <v>26689.8</v>
      </c>
      <c r="Q3386" s="214"/>
    </row>
    <row r="3387" spans="1:17" ht="12" customHeight="1" x14ac:dyDescent="0.2">
      <c r="A3387" s="735" t="s">
        <v>7733</v>
      </c>
      <c r="B3387" s="735" t="s">
        <v>2170</v>
      </c>
      <c r="C3387" s="735" t="s">
        <v>451</v>
      </c>
      <c r="D3387" s="644" t="s">
        <v>7904</v>
      </c>
      <c r="E3387" s="736">
        <v>3000</v>
      </c>
      <c r="F3387" s="737" t="s">
        <v>9825</v>
      </c>
      <c r="G3387" s="636" t="s">
        <v>9826</v>
      </c>
      <c r="H3387" s="636" t="s">
        <v>8000</v>
      </c>
      <c r="I3387" s="636" t="s">
        <v>8036</v>
      </c>
      <c r="J3387" s="644" t="s">
        <v>643</v>
      </c>
      <c r="K3387" s="739"/>
      <c r="L3387" s="754"/>
      <c r="M3387" s="735"/>
      <c r="N3387" s="753">
        <v>4</v>
      </c>
      <c r="O3387" s="754">
        <v>6</v>
      </c>
      <c r="P3387" s="736">
        <v>20689.8</v>
      </c>
      <c r="Q3387" s="214"/>
    </row>
    <row r="3388" spans="1:17" ht="12" customHeight="1" x14ac:dyDescent="0.2">
      <c r="A3388" s="735" t="s">
        <v>7733</v>
      </c>
      <c r="B3388" s="735" t="s">
        <v>2170</v>
      </c>
      <c r="C3388" s="735" t="s">
        <v>451</v>
      </c>
      <c r="D3388" s="644" t="s">
        <v>9372</v>
      </c>
      <c r="E3388" s="736">
        <v>6000</v>
      </c>
      <c r="F3388" s="737" t="s">
        <v>10190</v>
      </c>
      <c r="G3388" s="636" t="s">
        <v>10191</v>
      </c>
      <c r="H3388" s="636"/>
      <c r="I3388" s="636"/>
      <c r="J3388" s="644"/>
      <c r="K3388" s="739"/>
      <c r="L3388" s="754"/>
      <c r="M3388" s="735"/>
      <c r="N3388" s="753">
        <v>1</v>
      </c>
      <c r="O3388" s="754">
        <v>1</v>
      </c>
      <c r="P3388" s="736">
        <v>8689.7999999999993</v>
      </c>
      <c r="Q3388" s="214"/>
    </row>
    <row r="3389" spans="1:17" ht="12" customHeight="1" x14ac:dyDescent="0.2">
      <c r="A3389" s="735" t="s">
        <v>7733</v>
      </c>
      <c r="B3389" s="735" t="s">
        <v>2170</v>
      </c>
      <c r="C3389" s="735" t="s">
        <v>451</v>
      </c>
      <c r="D3389" s="644" t="s">
        <v>2261</v>
      </c>
      <c r="E3389" s="736">
        <v>2500</v>
      </c>
      <c r="F3389" s="737" t="s">
        <v>9046</v>
      </c>
      <c r="G3389" s="636" t="s">
        <v>9047</v>
      </c>
      <c r="H3389" s="636" t="s">
        <v>9048</v>
      </c>
      <c r="I3389" s="636" t="s">
        <v>3760</v>
      </c>
      <c r="J3389" s="644" t="s">
        <v>644</v>
      </c>
      <c r="K3389" s="739"/>
      <c r="L3389" s="754"/>
      <c r="M3389" s="735"/>
      <c r="N3389" s="753">
        <v>4</v>
      </c>
      <c r="O3389" s="754">
        <v>6</v>
      </c>
      <c r="P3389" s="736">
        <v>17689.8</v>
      </c>
      <c r="Q3389" s="214"/>
    </row>
    <row r="3390" spans="1:17" ht="12" customHeight="1" x14ac:dyDescent="0.2">
      <c r="A3390" s="735" t="s">
        <v>7733</v>
      </c>
      <c r="B3390" s="735" t="s">
        <v>2170</v>
      </c>
      <c r="C3390" s="735" t="s">
        <v>451</v>
      </c>
      <c r="D3390" s="644" t="s">
        <v>8301</v>
      </c>
      <c r="E3390" s="736">
        <v>1600</v>
      </c>
      <c r="F3390" s="737" t="s">
        <v>8970</v>
      </c>
      <c r="G3390" s="636" t="s">
        <v>8971</v>
      </c>
      <c r="H3390" s="636" t="s">
        <v>3522</v>
      </c>
      <c r="I3390" s="636" t="s">
        <v>7874</v>
      </c>
      <c r="J3390" s="644" t="s">
        <v>643</v>
      </c>
      <c r="K3390" s="739"/>
      <c r="L3390" s="754"/>
      <c r="M3390" s="735"/>
      <c r="N3390" s="753">
        <v>6</v>
      </c>
      <c r="O3390" s="754">
        <v>6</v>
      </c>
      <c r="P3390" s="736">
        <v>11928</v>
      </c>
      <c r="Q3390" s="214"/>
    </row>
    <row r="3391" spans="1:17" ht="12" customHeight="1" x14ac:dyDescent="0.2">
      <c r="A3391" s="735" t="s">
        <v>7733</v>
      </c>
      <c r="B3391" s="735" t="s">
        <v>2170</v>
      </c>
      <c r="C3391" s="735" t="s">
        <v>451</v>
      </c>
      <c r="D3391" s="644" t="s">
        <v>2261</v>
      </c>
      <c r="E3391" s="736">
        <v>3000</v>
      </c>
      <c r="F3391" s="737" t="s">
        <v>8308</v>
      </c>
      <c r="G3391" s="636" t="s">
        <v>8309</v>
      </c>
      <c r="H3391" s="636" t="s">
        <v>6778</v>
      </c>
      <c r="I3391" s="636" t="s">
        <v>6778</v>
      </c>
      <c r="J3391" s="644" t="s">
        <v>642</v>
      </c>
      <c r="K3391" s="739"/>
      <c r="L3391" s="754"/>
      <c r="M3391" s="735"/>
      <c r="N3391" s="753">
        <v>2</v>
      </c>
      <c r="O3391" s="754">
        <v>2</v>
      </c>
      <c r="P3391" s="736">
        <v>8689.7999999999993</v>
      </c>
      <c r="Q3391" s="214"/>
    </row>
    <row r="3392" spans="1:17" ht="12" customHeight="1" x14ac:dyDescent="0.2">
      <c r="A3392" s="735" t="s">
        <v>7733</v>
      </c>
      <c r="B3392" s="735" t="s">
        <v>2170</v>
      </c>
      <c r="C3392" s="735" t="s">
        <v>451</v>
      </c>
      <c r="D3392" s="644" t="s">
        <v>2261</v>
      </c>
      <c r="E3392" s="736">
        <v>3500</v>
      </c>
      <c r="F3392" s="737" t="s">
        <v>8112</v>
      </c>
      <c r="G3392" s="636" t="s">
        <v>8113</v>
      </c>
      <c r="H3392" s="636" t="s">
        <v>2745</v>
      </c>
      <c r="I3392" s="636" t="s">
        <v>8036</v>
      </c>
      <c r="J3392" s="644" t="s">
        <v>643</v>
      </c>
      <c r="K3392" s="739"/>
      <c r="L3392" s="754"/>
      <c r="M3392" s="735"/>
      <c r="N3392" s="753">
        <v>4</v>
      </c>
      <c r="O3392" s="754">
        <v>6</v>
      </c>
      <c r="P3392" s="736">
        <v>23689.8</v>
      </c>
      <c r="Q3392" s="214"/>
    </row>
    <row r="3393" spans="1:17" ht="12" customHeight="1" x14ac:dyDescent="0.2">
      <c r="A3393" s="735" t="s">
        <v>7733</v>
      </c>
      <c r="B3393" s="735" t="s">
        <v>2170</v>
      </c>
      <c r="C3393" s="735" t="s">
        <v>451</v>
      </c>
      <c r="D3393" s="644" t="s">
        <v>8207</v>
      </c>
      <c r="E3393" s="736">
        <v>5500</v>
      </c>
      <c r="F3393" s="737" t="s">
        <v>8208</v>
      </c>
      <c r="G3393" s="636" t="s">
        <v>8209</v>
      </c>
      <c r="H3393" s="636" t="s">
        <v>6778</v>
      </c>
      <c r="I3393" s="636" t="s">
        <v>8210</v>
      </c>
      <c r="J3393" s="644" t="s">
        <v>642</v>
      </c>
      <c r="K3393" s="739"/>
      <c r="L3393" s="754"/>
      <c r="M3393" s="735"/>
      <c r="N3393" s="753">
        <v>4</v>
      </c>
      <c r="O3393" s="754">
        <v>6</v>
      </c>
      <c r="P3393" s="736">
        <v>35689.800000000003</v>
      </c>
      <c r="Q3393" s="214"/>
    </row>
    <row r="3394" spans="1:17" ht="12" customHeight="1" x14ac:dyDescent="0.2">
      <c r="A3394" s="735" t="s">
        <v>7733</v>
      </c>
      <c r="B3394" s="735" t="s">
        <v>2170</v>
      </c>
      <c r="C3394" s="735" t="s">
        <v>451</v>
      </c>
      <c r="D3394" s="644" t="s">
        <v>8032</v>
      </c>
      <c r="E3394" s="736">
        <v>3200</v>
      </c>
      <c r="F3394" s="737" t="s">
        <v>9363</v>
      </c>
      <c r="G3394" s="636" t="s">
        <v>9364</v>
      </c>
      <c r="H3394" s="636" t="s">
        <v>10194</v>
      </c>
      <c r="I3394" s="636"/>
      <c r="J3394" s="644" t="s">
        <v>644</v>
      </c>
      <c r="K3394" s="739"/>
      <c r="L3394" s="754"/>
      <c r="M3394" s="735"/>
      <c r="N3394" s="753">
        <v>4</v>
      </c>
      <c r="O3394" s="754">
        <v>6</v>
      </c>
      <c r="P3394" s="736">
        <v>21889.8</v>
      </c>
      <c r="Q3394" s="214"/>
    </row>
    <row r="3395" spans="1:17" ht="12" customHeight="1" x14ac:dyDescent="0.2">
      <c r="A3395" s="735" t="s">
        <v>7733</v>
      </c>
      <c r="B3395" s="735" t="s">
        <v>2170</v>
      </c>
      <c r="C3395" s="735" t="s">
        <v>451</v>
      </c>
      <c r="D3395" s="644" t="s">
        <v>9338</v>
      </c>
      <c r="E3395" s="736">
        <v>1000</v>
      </c>
      <c r="F3395" s="737" t="s">
        <v>9339</v>
      </c>
      <c r="G3395" s="636" t="s">
        <v>9340</v>
      </c>
      <c r="H3395" s="636"/>
      <c r="I3395" s="636"/>
      <c r="J3395" s="644" t="s">
        <v>644</v>
      </c>
      <c r="K3395" s="739"/>
      <c r="L3395" s="754"/>
      <c r="M3395" s="735"/>
      <c r="N3395" s="753">
        <v>4</v>
      </c>
      <c r="O3395" s="754">
        <v>6</v>
      </c>
      <c r="P3395" s="736">
        <v>7680</v>
      </c>
      <c r="Q3395" s="214"/>
    </row>
    <row r="3396" spans="1:17" ht="12" customHeight="1" x14ac:dyDescent="0.2">
      <c r="A3396" s="735" t="s">
        <v>7733</v>
      </c>
      <c r="B3396" s="735" t="s">
        <v>2170</v>
      </c>
      <c r="C3396" s="735" t="s">
        <v>451</v>
      </c>
      <c r="D3396" s="644" t="s">
        <v>7779</v>
      </c>
      <c r="E3396" s="736">
        <v>4000</v>
      </c>
      <c r="F3396" s="737" t="s">
        <v>8526</v>
      </c>
      <c r="G3396" s="636" t="s">
        <v>8527</v>
      </c>
      <c r="H3396" s="636" t="s">
        <v>8528</v>
      </c>
      <c r="I3396" s="636" t="s">
        <v>8529</v>
      </c>
      <c r="J3396" s="644" t="s">
        <v>642</v>
      </c>
      <c r="K3396" s="739"/>
      <c r="L3396" s="754"/>
      <c r="M3396" s="735"/>
      <c r="N3396" s="753">
        <v>4</v>
      </c>
      <c r="O3396" s="754">
        <v>6</v>
      </c>
      <c r="P3396" s="736">
        <v>26689.8</v>
      </c>
      <c r="Q3396" s="214"/>
    </row>
    <row r="3397" spans="1:17" ht="12" customHeight="1" x14ac:dyDescent="0.2">
      <c r="A3397" s="735" t="s">
        <v>7733</v>
      </c>
      <c r="B3397" s="735" t="s">
        <v>2170</v>
      </c>
      <c r="C3397" s="735" t="s">
        <v>451</v>
      </c>
      <c r="D3397" s="644" t="s">
        <v>2208</v>
      </c>
      <c r="E3397" s="736">
        <v>3000</v>
      </c>
      <c r="F3397" s="737" t="s">
        <v>8161</v>
      </c>
      <c r="G3397" s="636" t="s">
        <v>8162</v>
      </c>
      <c r="H3397" s="636" t="s">
        <v>7782</v>
      </c>
      <c r="I3397" s="636" t="s">
        <v>2208</v>
      </c>
      <c r="J3397" s="644" t="s">
        <v>642</v>
      </c>
      <c r="K3397" s="739"/>
      <c r="L3397" s="754"/>
      <c r="M3397" s="735"/>
      <c r="N3397" s="753">
        <v>4</v>
      </c>
      <c r="O3397" s="754">
        <v>6</v>
      </c>
      <c r="P3397" s="736">
        <v>20689.8</v>
      </c>
      <c r="Q3397" s="214"/>
    </row>
    <row r="3398" spans="1:17" ht="12" customHeight="1" x14ac:dyDescent="0.2">
      <c r="A3398" s="735" t="s">
        <v>7733</v>
      </c>
      <c r="B3398" s="735" t="s">
        <v>2170</v>
      </c>
      <c r="C3398" s="735" t="s">
        <v>451</v>
      </c>
      <c r="D3398" s="644" t="s">
        <v>7897</v>
      </c>
      <c r="E3398" s="736">
        <v>3000</v>
      </c>
      <c r="F3398" s="737" t="s">
        <v>9789</v>
      </c>
      <c r="G3398" s="636" t="s">
        <v>9790</v>
      </c>
      <c r="H3398" s="636" t="s">
        <v>3754</v>
      </c>
      <c r="I3398" s="636" t="s">
        <v>2745</v>
      </c>
      <c r="J3398" s="644" t="s">
        <v>642</v>
      </c>
      <c r="K3398" s="739"/>
      <c r="L3398" s="754"/>
      <c r="M3398" s="735"/>
      <c r="N3398" s="753">
        <v>4</v>
      </c>
      <c r="O3398" s="754">
        <v>6</v>
      </c>
      <c r="P3398" s="736">
        <v>20689.8</v>
      </c>
      <c r="Q3398" s="214"/>
    </row>
    <row r="3399" spans="1:17" ht="12" customHeight="1" x14ac:dyDescent="0.2">
      <c r="A3399" s="735" t="s">
        <v>7733</v>
      </c>
      <c r="B3399" s="735" t="s">
        <v>2170</v>
      </c>
      <c r="C3399" s="735" t="s">
        <v>451</v>
      </c>
      <c r="D3399" s="644" t="s">
        <v>7977</v>
      </c>
      <c r="E3399" s="736">
        <v>4000</v>
      </c>
      <c r="F3399" s="737" t="s">
        <v>8777</v>
      </c>
      <c r="G3399" s="636" t="s">
        <v>8778</v>
      </c>
      <c r="H3399" s="636" t="s">
        <v>7782</v>
      </c>
      <c r="I3399" s="636" t="s">
        <v>2208</v>
      </c>
      <c r="J3399" s="644" t="s">
        <v>642</v>
      </c>
      <c r="K3399" s="739"/>
      <c r="L3399" s="754"/>
      <c r="M3399" s="735"/>
      <c r="N3399" s="753">
        <v>4</v>
      </c>
      <c r="O3399" s="754">
        <v>6</v>
      </c>
      <c r="P3399" s="736">
        <v>26689.8</v>
      </c>
      <c r="Q3399" s="214"/>
    </row>
    <row r="3400" spans="1:17" ht="12" customHeight="1" x14ac:dyDescent="0.2">
      <c r="A3400" s="735" t="s">
        <v>7733</v>
      </c>
      <c r="B3400" s="735" t="s">
        <v>2170</v>
      </c>
      <c r="C3400" s="735" t="s">
        <v>451</v>
      </c>
      <c r="D3400" s="644" t="s">
        <v>10237</v>
      </c>
      <c r="E3400" s="736">
        <v>5000</v>
      </c>
      <c r="F3400" s="737" t="s">
        <v>9118</v>
      </c>
      <c r="G3400" s="636" t="s">
        <v>9119</v>
      </c>
      <c r="H3400" s="636" t="s">
        <v>7782</v>
      </c>
      <c r="I3400" s="636" t="s">
        <v>2208</v>
      </c>
      <c r="J3400" s="644" t="s">
        <v>642</v>
      </c>
      <c r="K3400" s="739"/>
      <c r="L3400" s="754"/>
      <c r="M3400" s="735"/>
      <c r="N3400" s="753">
        <v>4</v>
      </c>
      <c r="O3400" s="754">
        <v>6</v>
      </c>
      <c r="P3400" s="736">
        <v>32689.8</v>
      </c>
      <c r="Q3400" s="214"/>
    </row>
    <row r="3401" spans="1:17" ht="12" customHeight="1" x14ac:dyDescent="0.2">
      <c r="A3401" s="735" t="s">
        <v>7733</v>
      </c>
      <c r="B3401" s="735" t="s">
        <v>2170</v>
      </c>
      <c r="C3401" s="735" t="s">
        <v>451</v>
      </c>
      <c r="D3401" s="644" t="s">
        <v>8041</v>
      </c>
      <c r="E3401" s="736">
        <v>2000</v>
      </c>
      <c r="F3401" s="737" t="s">
        <v>8042</v>
      </c>
      <c r="G3401" s="636" t="s">
        <v>8043</v>
      </c>
      <c r="H3401" s="636" t="s">
        <v>8044</v>
      </c>
      <c r="I3401" s="636" t="s">
        <v>7874</v>
      </c>
      <c r="J3401" s="644" t="s">
        <v>644</v>
      </c>
      <c r="K3401" s="739"/>
      <c r="L3401" s="754"/>
      <c r="M3401" s="735"/>
      <c r="N3401" s="753">
        <v>4</v>
      </c>
      <c r="O3401" s="754">
        <v>6</v>
      </c>
      <c r="P3401" s="736">
        <v>14689.8</v>
      </c>
      <c r="Q3401" s="214"/>
    </row>
    <row r="3402" spans="1:17" ht="12" customHeight="1" x14ac:dyDescent="0.2">
      <c r="A3402" s="735" t="s">
        <v>7733</v>
      </c>
      <c r="B3402" s="735" t="s">
        <v>2170</v>
      </c>
      <c r="C3402" s="735" t="s">
        <v>451</v>
      </c>
      <c r="D3402" s="644" t="s">
        <v>7843</v>
      </c>
      <c r="E3402" s="736">
        <v>4000</v>
      </c>
      <c r="F3402" s="737" t="s">
        <v>9242</v>
      </c>
      <c r="G3402" s="636" t="s">
        <v>9243</v>
      </c>
      <c r="H3402" s="636" t="s">
        <v>6571</v>
      </c>
      <c r="I3402" s="636" t="s">
        <v>2179</v>
      </c>
      <c r="J3402" s="644" t="s">
        <v>642</v>
      </c>
      <c r="K3402" s="739"/>
      <c r="L3402" s="754"/>
      <c r="M3402" s="735"/>
      <c r="N3402" s="753">
        <v>4</v>
      </c>
      <c r="O3402" s="754">
        <v>6</v>
      </c>
      <c r="P3402" s="736">
        <v>26689.8</v>
      </c>
      <c r="Q3402" s="214"/>
    </row>
    <row r="3403" spans="1:17" ht="12" customHeight="1" x14ac:dyDescent="0.2">
      <c r="A3403" s="735" t="s">
        <v>7733</v>
      </c>
      <c r="B3403" s="735" t="s">
        <v>2170</v>
      </c>
      <c r="C3403" s="735" t="s">
        <v>451</v>
      </c>
      <c r="D3403" s="644" t="s">
        <v>8041</v>
      </c>
      <c r="E3403" s="736">
        <v>2000</v>
      </c>
      <c r="F3403" s="737" t="s">
        <v>9689</v>
      </c>
      <c r="G3403" s="636" t="s">
        <v>9690</v>
      </c>
      <c r="H3403" s="636"/>
      <c r="I3403" s="636"/>
      <c r="J3403" s="644" t="s">
        <v>643</v>
      </c>
      <c r="K3403" s="739"/>
      <c r="L3403" s="754"/>
      <c r="M3403" s="735"/>
      <c r="N3403" s="753">
        <v>4</v>
      </c>
      <c r="O3403" s="754">
        <v>6</v>
      </c>
      <c r="P3403" s="736">
        <v>14689.8</v>
      </c>
      <c r="Q3403" s="214"/>
    </row>
    <row r="3404" spans="1:17" ht="12" customHeight="1" x14ac:dyDescent="0.2">
      <c r="A3404" s="735" t="s">
        <v>7733</v>
      </c>
      <c r="B3404" s="735" t="s">
        <v>2170</v>
      </c>
      <c r="C3404" s="735" t="s">
        <v>451</v>
      </c>
      <c r="D3404" s="644" t="s">
        <v>8328</v>
      </c>
      <c r="E3404" s="736">
        <v>4500</v>
      </c>
      <c r="F3404" s="737" t="s">
        <v>8329</v>
      </c>
      <c r="G3404" s="636" t="s">
        <v>8330</v>
      </c>
      <c r="H3404" s="636" t="s">
        <v>7782</v>
      </c>
      <c r="I3404" s="636" t="s">
        <v>2208</v>
      </c>
      <c r="J3404" s="644" t="s">
        <v>642</v>
      </c>
      <c r="K3404" s="739"/>
      <c r="L3404" s="754"/>
      <c r="M3404" s="735"/>
      <c r="N3404" s="753">
        <v>4</v>
      </c>
      <c r="O3404" s="754">
        <v>6</v>
      </c>
      <c r="P3404" s="736">
        <v>29689.8</v>
      </c>
      <c r="Q3404" s="214"/>
    </row>
    <row r="3405" spans="1:17" ht="12" customHeight="1" x14ac:dyDescent="0.2">
      <c r="A3405" s="735" t="s">
        <v>7733</v>
      </c>
      <c r="B3405" s="735" t="s">
        <v>2170</v>
      </c>
      <c r="C3405" s="735" t="s">
        <v>451</v>
      </c>
      <c r="D3405" s="644" t="s">
        <v>7965</v>
      </c>
      <c r="E3405" s="736">
        <v>4000</v>
      </c>
      <c r="F3405" s="737" t="s">
        <v>9067</v>
      </c>
      <c r="G3405" s="636" t="s">
        <v>9068</v>
      </c>
      <c r="H3405" s="636" t="s">
        <v>6571</v>
      </c>
      <c r="I3405" s="636" t="s">
        <v>2179</v>
      </c>
      <c r="J3405" s="644" t="s">
        <v>642</v>
      </c>
      <c r="K3405" s="739"/>
      <c r="L3405" s="754"/>
      <c r="M3405" s="735"/>
      <c r="N3405" s="753">
        <v>4</v>
      </c>
      <c r="O3405" s="754">
        <v>6</v>
      </c>
      <c r="P3405" s="736">
        <v>26689.8</v>
      </c>
      <c r="Q3405" s="214"/>
    </row>
    <row r="3406" spans="1:17" ht="12" customHeight="1" x14ac:dyDescent="0.2">
      <c r="A3406" s="735" t="s">
        <v>7733</v>
      </c>
      <c r="B3406" s="735" t="s">
        <v>2170</v>
      </c>
      <c r="C3406" s="735" t="s">
        <v>451</v>
      </c>
      <c r="D3406" s="644" t="s">
        <v>7843</v>
      </c>
      <c r="E3406" s="736">
        <v>3000</v>
      </c>
      <c r="F3406" s="737" t="s">
        <v>8471</v>
      </c>
      <c r="G3406" s="636" t="s">
        <v>8472</v>
      </c>
      <c r="H3406" s="636" t="s">
        <v>7752</v>
      </c>
      <c r="I3406" s="636" t="s">
        <v>3760</v>
      </c>
      <c r="J3406" s="644" t="s">
        <v>642</v>
      </c>
      <c r="K3406" s="739"/>
      <c r="L3406" s="754"/>
      <c r="M3406" s="735"/>
      <c r="N3406" s="753">
        <v>4</v>
      </c>
      <c r="O3406" s="754">
        <v>6</v>
      </c>
      <c r="P3406" s="736">
        <v>20689.8</v>
      </c>
      <c r="Q3406" s="214"/>
    </row>
    <row r="3407" spans="1:17" ht="12" customHeight="1" x14ac:dyDescent="0.2">
      <c r="A3407" s="735" t="s">
        <v>7733</v>
      </c>
      <c r="B3407" s="735" t="s">
        <v>2170</v>
      </c>
      <c r="C3407" s="735" t="s">
        <v>451</v>
      </c>
      <c r="D3407" s="644" t="s">
        <v>8268</v>
      </c>
      <c r="E3407" s="736">
        <v>2500</v>
      </c>
      <c r="F3407" s="737" t="s">
        <v>9837</v>
      </c>
      <c r="G3407" s="636" t="s">
        <v>9838</v>
      </c>
      <c r="H3407" s="636" t="s">
        <v>9490</v>
      </c>
      <c r="I3407" s="636" t="s">
        <v>9490</v>
      </c>
      <c r="J3407" s="644" t="s">
        <v>644</v>
      </c>
      <c r="K3407" s="739"/>
      <c r="L3407" s="754"/>
      <c r="M3407" s="735"/>
      <c r="N3407" s="753">
        <v>4</v>
      </c>
      <c r="O3407" s="754">
        <v>6</v>
      </c>
      <c r="P3407" s="736">
        <v>17689.8</v>
      </c>
      <c r="Q3407" s="214"/>
    </row>
    <row r="3408" spans="1:17" ht="12" customHeight="1" x14ac:dyDescent="0.2">
      <c r="A3408" s="735" t="s">
        <v>7733</v>
      </c>
      <c r="B3408" s="735" t="s">
        <v>2170</v>
      </c>
      <c r="C3408" s="735" t="s">
        <v>451</v>
      </c>
      <c r="D3408" s="644" t="s">
        <v>7779</v>
      </c>
      <c r="E3408" s="736">
        <v>4000</v>
      </c>
      <c r="F3408" s="737" t="s">
        <v>8147</v>
      </c>
      <c r="G3408" s="636" t="s">
        <v>8148</v>
      </c>
      <c r="H3408" s="636" t="s">
        <v>7152</v>
      </c>
      <c r="I3408" s="636" t="s">
        <v>2317</v>
      </c>
      <c r="J3408" s="644" t="s">
        <v>642</v>
      </c>
      <c r="K3408" s="739"/>
      <c r="L3408" s="754"/>
      <c r="M3408" s="735"/>
      <c r="N3408" s="753">
        <v>6</v>
      </c>
      <c r="O3408" s="754">
        <v>6</v>
      </c>
      <c r="P3408" s="736">
        <v>26689.8</v>
      </c>
      <c r="Q3408" s="214"/>
    </row>
    <row r="3409" spans="1:17" ht="12" customHeight="1" x14ac:dyDescent="0.2">
      <c r="A3409" s="735" t="s">
        <v>7733</v>
      </c>
      <c r="B3409" s="735" t="s">
        <v>2170</v>
      </c>
      <c r="C3409" s="735" t="s">
        <v>451</v>
      </c>
      <c r="D3409" s="644" t="s">
        <v>7971</v>
      </c>
      <c r="E3409" s="736">
        <v>3000</v>
      </c>
      <c r="F3409" s="737" t="s">
        <v>9231</v>
      </c>
      <c r="G3409" s="636" t="s">
        <v>9232</v>
      </c>
      <c r="H3409" s="636" t="s">
        <v>9233</v>
      </c>
      <c r="I3409" s="636" t="s">
        <v>7974</v>
      </c>
      <c r="J3409" s="644" t="s">
        <v>642</v>
      </c>
      <c r="K3409" s="739"/>
      <c r="L3409" s="754"/>
      <c r="M3409" s="735"/>
      <c r="N3409" s="753">
        <v>4</v>
      </c>
      <c r="O3409" s="754">
        <v>6</v>
      </c>
      <c r="P3409" s="736">
        <v>20689.8</v>
      </c>
      <c r="Q3409" s="214"/>
    </row>
    <row r="3410" spans="1:17" ht="12" customHeight="1" x14ac:dyDescent="0.2">
      <c r="A3410" s="735" t="s">
        <v>7733</v>
      </c>
      <c r="B3410" s="735" t="s">
        <v>2170</v>
      </c>
      <c r="C3410" s="735" t="s">
        <v>451</v>
      </c>
      <c r="D3410" s="644" t="s">
        <v>8007</v>
      </c>
      <c r="E3410" s="736">
        <v>4000</v>
      </c>
      <c r="F3410" s="737" t="s">
        <v>8985</v>
      </c>
      <c r="G3410" s="636" t="s">
        <v>8986</v>
      </c>
      <c r="H3410" s="636"/>
      <c r="I3410" s="636"/>
      <c r="J3410" s="644" t="s">
        <v>642</v>
      </c>
      <c r="K3410" s="739"/>
      <c r="L3410" s="754"/>
      <c r="M3410" s="735"/>
      <c r="N3410" s="753">
        <v>6</v>
      </c>
      <c r="O3410" s="754">
        <v>6</v>
      </c>
      <c r="P3410" s="736">
        <v>26689.8</v>
      </c>
      <c r="Q3410" s="214"/>
    </row>
    <row r="3411" spans="1:17" ht="12" customHeight="1" x14ac:dyDescent="0.2">
      <c r="A3411" s="735" t="s">
        <v>7733</v>
      </c>
      <c r="B3411" s="735" t="s">
        <v>2170</v>
      </c>
      <c r="C3411" s="735" t="s">
        <v>451</v>
      </c>
      <c r="D3411" s="644" t="s">
        <v>7838</v>
      </c>
      <c r="E3411" s="736">
        <v>2500</v>
      </c>
      <c r="F3411" s="737" t="s">
        <v>10040</v>
      </c>
      <c r="G3411" s="636" t="s">
        <v>10041</v>
      </c>
      <c r="H3411" s="636" t="s">
        <v>7782</v>
      </c>
      <c r="I3411" s="636" t="s">
        <v>3629</v>
      </c>
      <c r="J3411" s="644" t="s">
        <v>643</v>
      </c>
      <c r="K3411" s="739"/>
      <c r="L3411" s="754"/>
      <c r="M3411" s="735"/>
      <c r="N3411" s="753">
        <v>6</v>
      </c>
      <c r="O3411" s="754">
        <v>6</v>
      </c>
      <c r="P3411" s="736">
        <v>17689.8</v>
      </c>
      <c r="Q3411" s="214"/>
    </row>
    <row r="3412" spans="1:17" ht="12" customHeight="1" x14ac:dyDescent="0.2">
      <c r="A3412" s="735" t="s">
        <v>7733</v>
      </c>
      <c r="B3412" s="735" t="s">
        <v>2170</v>
      </c>
      <c r="C3412" s="735" t="s">
        <v>451</v>
      </c>
      <c r="D3412" s="644" t="s">
        <v>7746</v>
      </c>
      <c r="E3412" s="736">
        <v>2200</v>
      </c>
      <c r="F3412" s="737" t="s">
        <v>8685</v>
      </c>
      <c r="G3412" s="636" t="s">
        <v>8686</v>
      </c>
      <c r="H3412" s="636" t="s">
        <v>10194</v>
      </c>
      <c r="I3412" s="636"/>
      <c r="J3412" s="644" t="s">
        <v>643</v>
      </c>
      <c r="K3412" s="739"/>
      <c r="L3412" s="754"/>
      <c r="M3412" s="735"/>
      <c r="N3412" s="753">
        <v>6</v>
      </c>
      <c r="O3412" s="754">
        <v>6</v>
      </c>
      <c r="P3412" s="736">
        <v>15889.8</v>
      </c>
      <c r="Q3412" s="214"/>
    </row>
    <row r="3413" spans="1:17" ht="12" customHeight="1" x14ac:dyDescent="0.2">
      <c r="A3413" s="735" t="s">
        <v>7733</v>
      </c>
      <c r="B3413" s="735" t="s">
        <v>2170</v>
      </c>
      <c r="C3413" s="735" t="s">
        <v>451</v>
      </c>
      <c r="D3413" s="644" t="s">
        <v>7800</v>
      </c>
      <c r="E3413" s="736">
        <v>3500</v>
      </c>
      <c r="F3413" s="737" t="s">
        <v>8583</v>
      </c>
      <c r="G3413" s="636" t="s">
        <v>8584</v>
      </c>
      <c r="H3413" s="636"/>
      <c r="I3413" s="636"/>
      <c r="J3413" s="644" t="s">
        <v>642</v>
      </c>
      <c r="K3413" s="739"/>
      <c r="L3413" s="754"/>
      <c r="M3413" s="735"/>
      <c r="N3413" s="753">
        <v>4</v>
      </c>
      <c r="O3413" s="754">
        <v>6</v>
      </c>
      <c r="P3413" s="736">
        <v>23689.8</v>
      </c>
      <c r="Q3413" s="214"/>
    </row>
    <row r="3414" spans="1:17" ht="12" customHeight="1" x14ac:dyDescent="0.2">
      <c r="A3414" s="735" t="s">
        <v>7733</v>
      </c>
      <c r="B3414" s="735" t="s">
        <v>2170</v>
      </c>
      <c r="C3414" s="735" t="s">
        <v>451</v>
      </c>
      <c r="D3414" s="644" t="s">
        <v>7755</v>
      </c>
      <c r="E3414" s="736">
        <v>2500</v>
      </c>
      <c r="F3414" s="737" t="s">
        <v>9471</v>
      </c>
      <c r="G3414" s="636" t="s">
        <v>9472</v>
      </c>
      <c r="H3414" s="636" t="s">
        <v>8969</v>
      </c>
      <c r="I3414" s="636" t="s">
        <v>8969</v>
      </c>
      <c r="J3414" s="644" t="s">
        <v>643</v>
      </c>
      <c r="K3414" s="739"/>
      <c r="L3414" s="754"/>
      <c r="M3414" s="735"/>
      <c r="N3414" s="753">
        <v>6</v>
      </c>
      <c r="O3414" s="754">
        <v>6</v>
      </c>
      <c r="P3414" s="736">
        <v>17689.8</v>
      </c>
      <c r="Q3414" s="214"/>
    </row>
    <row r="3415" spans="1:17" ht="12" customHeight="1" x14ac:dyDescent="0.2">
      <c r="A3415" s="735" t="s">
        <v>7733</v>
      </c>
      <c r="B3415" s="735" t="s">
        <v>2170</v>
      </c>
      <c r="C3415" s="735" t="s">
        <v>451</v>
      </c>
      <c r="D3415" s="644" t="s">
        <v>7904</v>
      </c>
      <c r="E3415" s="736">
        <v>3000</v>
      </c>
      <c r="F3415" s="737" t="s">
        <v>8266</v>
      </c>
      <c r="G3415" s="636" t="s">
        <v>8267</v>
      </c>
      <c r="H3415" s="636" t="s">
        <v>7858</v>
      </c>
      <c r="I3415" s="636" t="s">
        <v>7859</v>
      </c>
      <c r="J3415" s="644" t="s">
        <v>643</v>
      </c>
      <c r="K3415" s="739"/>
      <c r="L3415" s="754"/>
      <c r="M3415" s="735"/>
      <c r="N3415" s="753">
        <v>6</v>
      </c>
      <c r="O3415" s="754">
        <v>6</v>
      </c>
      <c r="P3415" s="736">
        <v>20689.8</v>
      </c>
      <c r="Q3415" s="214"/>
    </row>
    <row r="3416" spans="1:17" ht="12" customHeight="1" x14ac:dyDescent="0.2">
      <c r="A3416" s="735" t="s">
        <v>7733</v>
      </c>
      <c r="B3416" s="735" t="s">
        <v>2170</v>
      </c>
      <c r="C3416" s="735" t="s">
        <v>451</v>
      </c>
      <c r="D3416" s="644" t="s">
        <v>2788</v>
      </c>
      <c r="E3416" s="736">
        <v>1600</v>
      </c>
      <c r="F3416" s="737" t="s">
        <v>10026</v>
      </c>
      <c r="G3416" s="636" t="s">
        <v>10027</v>
      </c>
      <c r="H3416" s="636" t="s">
        <v>9648</v>
      </c>
      <c r="I3416" s="636" t="s">
        <v>9648</v>
      </c>
      <c r="J3416" s="644" t="s">
        <v>643</v>
      </c>
      <c r="K3416" s="739"/>
      <c r="L3416" s="754"/>
      <c r="M3416" s="735"/>
      <c r="N3416" s="753">
        <v>6</v>
      </c>
      <c r="O3416" s="754">
        <v>6</v>
      </c>
      <c r="P3416" s="736">
        <v>11928</v>
      </c>
      <c r="Q3416" s="214"/>
    </row>
    <row r="3417" spans="1:17" ht="12" customHeight="1" x14ac:dyDescent="0.2">
      <c r="A3417" s="735" t="s">
        <v>7733</v>
      </c>
      <c r="B3417" s="735" t="s">
        <v>2170</v>
      </c>
      <c r="C3417" s="735" t="s">
        <v>451</v>
      </c>
      <c r="D3417" s="644" t="s">
        <v>7971</v>
      </c>
      <c r="E3417" s="736">
        <v>3000</v>
      </c>
      <c r="F3417" s="737" t="s">
        <v>9590</v>
      </c>
      <c r="G3417" s="636" t="s">
        <v>9591</v>
      </c>
      <c r="H3417" s="636" t="s">
        <v>7752</v>
      </c>
      <c r="I3417" s="636" t="s">
        <v>2179</v>
      </c>
      <c r="J3417" s="644" t="s">
        <v>642</v>
      </c>
      <c r="K3417" s="739"/>
      <c r="L3417" s="754"/>
      <c r="M3417" s="735"/>
      <c r="N3417" s="753">
        <v>6</v>
      </c>
      <c r="O3417" s="754">
        <v>6</v>
      </c>
      <c r="P3417" s="736">
        <v>20689.8</v>
      </c>
      <c r="Q3417" s="214"/>
    </row>
    <row r="3418" spans="1:17" ht="12" customHeight="1" x14ac:dyDescent="0.2">
      <c r="A3418" s="735" t="s">
        <v>7733</v>
      </c>
      <c r="B3418" s="735" t="s">
        <v>2170</v>
      </c>
      <c r="C3418" s="735" t="s">
        <v>451</v>
      </c>
      <c r="D3418" s="644" t="s">
        <v>8010</v>
      </c>
      <c r="E3418" s="736">
        <v>3000</v>
      </c>
      <c r="F3418" s="737" t="s">
        <v>9827</v>
      </c>
      <c r="G3418" s="636" t="s">
        <v>9828</v>
      </c>
      <c r="H3418" s="636" t="s">
        <v>9829</v>
      </c>
      <c r="I3418" s="636" t="s">
        <v>9830</v>
      </c>
      <c r="J3418" s="644" t="s">
        <v>643</v>
      </c>
      <c r="K3418" s="739"/>
      <c r="L3418" s="754"/>
      <c r="M3418" s="735"/>
      <c r="N3418" s="753">
        <v>4</v>
      </c>
      <c r="O3418" s="754">
        <v>6</v>
      </c>
      <c r="P3418" s="736">
        <v>20689.8</v>
      </c>
      <c r="Q3418" s="214"/>
    </row>
    <row r="3419" spans="1:17" ht="12" customHeight="1" x14ac:dyDescent="0.2">
      <c r="A3419" s="735" t="s">
        <v>7733</v>
      </c>
      <c r="B3419" s="735" t="s">
        <v>2170</v>
      </c>
      <c r="C3419" s="735" t="s">
        <v>451</v>
      </c>
      <c r="D3419" s="644" t="s">
        <v>7858</v>
      </c>
      <c r="E3419" s="736">
        <v>3000</v>
      </c>
      <c r="F3419" s="737" t="s">
        <v>9518</v>
      </c>
      <c r="G3419" s="636" t="s">
        <v>9519</v>
      </c>
      <c r="H3419" s="636" t="s">
        <v>7858</v>
      </c>
      <c r="I3419" s="636" t="s">
        <v>7859</v>
      </c>
      <c r="J3419" s="644" t="s">
        <v>644</v>
      </c>
      <c r="K3419" s="739"/>
      <c r="L3419" s="754"/>
      <c r="M3419" s="735"/>
      <c r="N3419" s="753">
        <v>6</v>
      </c>
      <c r="O3419" s="754">
        <v>6</v>
      </c>
      <c r="P3419" s="736">
        <v>20689.8</v>
      </c>
      <c r="Q3419" s="214"/>
    </row>
    <row r="3420" spans="1:17" ht="12" customHeight="1" x14ac:dyDescent="0.2">
      <c r="A3420" s="735" t="s">
        <v>7733</v>
      </c>
      <c r="B3420" s="735" t="s">
        <v>2170</v>
      </c>
      <c r="C3420" s="735" t="s">
        <v>451</v>
      </c>
      <c r="D3420" s="644" t="s">
        <v>7932</v>
      </c>
      <c r="E3420" s="736">
        <v>2500</v>
      </c>
      <c r="F3420" s="737" t="s">
        <v>8610</v>
      </c>
      <c r="G3420" s="636" t="s">
        <v>8611</v>
      </c>
      <c r="H3420" s="636" t="s">
        <v>3754</v>
      </c>
      <c r="I3420" s="636" t="s">
        <v>2979</v>
      </c>
      <c r="J3420" s="644" t="s">
        <v>643</v>
      </c>
      <c r="K3420" s="739"/>
      <c r="L3420" s="754"/>
      <c r="M3420" s="735"/>
      <c r="N3420" s="753">
        <v>4</v>
      </c>
      <c r="O3420" s="754">
        <v>6</v>
      </c>
      <c r="P3420" s="736">
        <v>17689.8</v>
      </c>
      <c r="Q3420" s="214"/>
    </row>
    <row r="3421" spans="1:17" ht="12" customHeight="1" x14ac:dyDescent="0.2">
      <c r="A3421" s="735" t="s">
        <v>7733</v>
      </c>
      <c r="B3421" s="735" t="s">
        <v>2170</v>
      </c>
      <c r="C3421" s="735" t="s">
        <v>451</v>
      </c>
      <c r="D3421" s="644" t="s">
        <v>8045</v>
      </c>
      <c r="E3421" s="736">
        <v>2200</v>
      </c>
      <c r="F3421" s="737" t="s">
        <v>10057</v>
      </c>
      <c r="G3421" s="636" t="s">
        <v>10058</v>
      </c>
      <c r="H3421" s="636" t="s">
        <v>3915</v>
      </c>
      <c r="I3421" s="636" t="s">
        <v>3760</v>
      </c>
      <c r="J3421" s="644" t="s">
        <v>644</v>
      </c>
      <c r="K3421" s="739"/>
      <c r="L3421" s="754"/>
      <c r="M3421" s="735"/>
      <c r="N3421" s="753">
        <v>4</v>
      </c>
      <c r="O3421" s="754">
        <v>6</v>
      </c>
      <c r="P3421" s="736">
        <v>15889.8</v>
      </c>
      <c r="Q3421" s="214"/>
    </row>
    <row r="3422" spans="1:17" ht="12" customHeight="1" x14ac:dyDescent="0.2">
      <c r="A3422" s="735" t="s">
        <v>7733</v>
      </c>
      <c r="B3422" s="735" t="s">
        <v>2170</v>
      </c>
      <c r="C3422" s="735" t="s">
        <v>451</v>
      </c>
      <c r="D3422" s="644" t="s">
        <v>7921</v>
      </c>
      <c r="E3422" s="736">
        <v>4000</v>
      </c>
      <c r="F3422" s="737" t="s">
        <v>8771</v>
      </c>
      <c r="G3422" s="636" t="s">
        <v>8772</v>
      </c>
      <c r="H3422" s="636" t="s">
        <v>7152</v>
      </c>
      <c r="I3422" s="636" t="s">
        <v>2317</v>
      </c>
      <c r="J3422" s="644" t="s">
        <v>642</v>
      </c>
      <c r="K3422" s="739"/>
      <c r="L3422" s="754"/>
      <c r="M3422" s="735"/>
      <c r="N3422" s="753">
        <v>4</v>
      </c>
      <c r="O3422" s="754">
        <v>6</v>
      </c>
      <c r="P3422" s="736">
        <v>26689.8</v>
      </c>
      <c r="Q3422" s="214"/>
    </row>
    <row r="3423" spans="1:17" ht="12" customHeight="1" x14ac:dyDescent="0.2">
      <c r="A3423" s="735" t="s">
        <v>7733</v>
      </c>
      <c r="B3423" s="735" t="s">
        <v>2170</v>
      </c>
      <c r="C3423" s="735" t="s">
        <v>451</v>
      </c>
      <c r="D3423" s="644" t="s">
        <v>7977</v>
      </c>
      <c r="E3423" s="736">
        <v>4000</v>
      </c>
      <c r="F3423" s="737" t="s">
        <v>9884</v>
      </c>
      <c r="G3423" s="636" t="s">
        <v>9885</v>
      </c>
      <c r="H3423" s="636" t="s">
        <v>7782</v>
      </c>
      <c r="I3423" s="636" t="s">
        <v>2208</v>
      </c>
      <c r="J3423" s="644" t="s">
        <v>642</v>
      </c>
      <c r="K3423" s="739"/>
      <c r="L3423" s="754"/>
      <c r="M3423" s="735"/>
      <c r="N3423" s="753">
        <v>4</v>
      </c>
      <c r="O3423" s="754">
        <v>6</v>
      </c>
      <c r="P3423" s="736">
        <v>26689.8</v>
      </c>
      <c r="Q3423" s="214"/>
    </row>
    <row r="3424" spans="1:17" ht="12" customHeight="1" x14ac:dyDescent="0.2">
      <c r="A3424" s="735" t="s">
        <v>7733</v>
      </c>
      <c r="B3424" s="735" t="s">
        <v>2170</v>
      </c>
      <c r="C3424" s="735" t="s">
        <v>451</v>
      </c>
      <c r="D3424" s="644" t="s">
        <v>8407</v>
      </c>
      <c r="E3424" s="736">
        <v>3000</v>
      </c>
      <c r="F3424" s="737" t="s">
        <v>8408</v>
      </c>
      <c r="G3424" s="636" t="s">
        <v>8409</v>
      </c>
      <c r="H3424" s="636"/>
      <c r="I3424" s="636"/>
      <c r="J3424" s="644" t="s">
        <v>642</v>
      </c>
      <c r="K3424" s="739"/>
      <c r="L3424" s="754"/>
      <c r="M3424" s="735"/>
      <c r="N3424" s="753">
        <v>4</v>
      </c>
      <c r="O3424" s="754">
        <v>6</v>
      </c>
      <c r="P3424" s="736">
        <v>20689.8</v>
      </c>
      <c r="Q3424" s="214"/>
    </row>
    <row r="3425" spans="1:17" ht="12" customHeight="1" x14ac:dyDescent="0.2">
      <c r="A3425" s="735" t="s">
        <v>7733</v>
      </c>
      <c r="B3425" s="735" t="s">
        <v>2170</v>
      </c>
      <c r="C3425" s="735" t="s">
        <v>451</v>
      </c>
      <c r="D3425" s="644" t="s">
        <v>8298</v>
      </c>
      <c r="E3425" s="736">
        <v>930</v>
      </c>
      <c r="F3425" s="737" t="s">
        <v>9204</v>
      </c>
      <c r="G3425" s="636" t="s">
        <v>9205</v>
      </c>
      <c r="H3425" s="636" t="s">
        <v>8089</v>
      </c>
      <c r="I3425" s="636" t="s">
        <v>8387</v>
      </c>
      <c r="J3425" s="644" t="s">
        <v>644</v>
      </c>
      <c r="K3425" s="739"/>
      <c r="L3425" s="754"/>
      <c r="M3425" s="735"/>
      <c r="N3425" s="753">
        <v>4</v>
      </c>
      <c r="O3425" s="754">
        <v>6</v>
      </c>
      <c r="P3425" s="736">
        <v>7184.4</v>
      </c>
      <c r="Q3425" s="214"/>
    </row>
    <row r="3426" spans="1:17" ht="12" customHeight="1" x14ac:dyDescent="0.2">
      <c r="A3426" s="735" t="s">
        <v>7733</v>
      </c>
      <c r="B3426" s="735" t="s">
        <v>2170</v>
      </c>
      <c r="C3426" s="735" t="s">
        <v>451</v>
      </c>
      <c r="D3426" s="644" t="s">
        <v>8911</v>
      </c>
      <c r="E3426" s="736">
        <v>4000</v>
      </c>
      <c r="F3426" s="737" t="s">
        <v>8912</v>
      </c>
      <c r="G3426" s="636" t="s">
        <v>8913</v>
      </c>
      <c r="H3426" s="636" t="s">
        <v>7782</v>
      </c>
      <c r="I3426" s="636" t="s">
        <v>2208</v>
      </c>
      <c r="J3426" s="644" t="s">
        <v>642</v>
      </c>
      <c r="K3426" s="739"/>
      <c r="L3426" s="754"/>
      <c r="M3426" s="735"/>
      <c r="N3426" s="753">
        <v>4</v>
      </c>
      <c r="O3426" s="754">
        <v>6</v>
      </c>
      <c r="P3426" s="736">
        <v>26689.8</v>
      </c>
      <c r="Q3426" s="214"/>
    </row>
    <row r="3427" spans="1:17" ht="12" customHeight="1" x14ac:dyDescent="0.2">
      <c r="A3427" s="735" t="s">
        <v>7733</v>
      </c>
      <c r="B3427" s="735" t="s">
        <v>2170</v>
      </c>
      <c r="C3427" s="735" t="s">
        <v>451</v>
      </c>
      <c r="D3427" s="644" t="s">
        <v>9295</v>
      </c>
      <c r="E3427" s="736">
        <v>7000</v>
      </c>
      <c r="F3427" s="737" t="s">
        <v>9910</v>
      </c>
      <c r="G3427" s="636" t="s">
        <v>9911</v>
      </c>
      <c r="H3427" s="636" t="s">
        <v>7073</v>
      </c>
      <c r="I3427" s="636" t="s">
        <v>2543</v>
      </c>
      <c r="J3427" s="644" t="s">
        <v>642</v>
      </c>
      <c r="K3427" s="739"/>
      <c r="L3427" s="754"/>
      <c r="M3427" s="735"/>
      <c r="N3427" s="753">
        <v>4</v>
      </c>
      <c r="O3427" s="754">
        <v>6</v>
      </c>
      <c r="P3427" s="736">
        <v>44689.8</v>
      </c>
      <c r="Q3427" s="214"/>
    </row>
    <row r="3428" spans="1:17" ht="12" customHeight="1" x14ac:dyDescent="0.2">
      <c r="A3428" s="735" t="s">
        <v>7733</v>
      </c>
      <c r="B3428" s="735" t="s">
        <v>2170</v>
      </c>
      <c r="C3428" s="735" t="s">
        <v>451</v>
      </c>
      <c r="D3428" s="644" t="s">
        <v>8301</v>
      </c>
      <c r="E3428" s="736">
        <v>1600</v>
      </c>
      <c r="F3428" s="737" t="s">
        <v>9476</v>
      </c>
      <c r="G3428" s="636" t="s">
        <v>9477</v>
      </c>
      <c r="H3428" s="636" t="s">
        <v>7752</v>
      </c>
      <c r="I3428" s="636" t="s">
        <v>2179</v>
      </c>
      <c r="J3428" s="644" t="s">
        <v>643</v>
      </c>
      <c r="K3428" s="739"/>
      <c r="L3428" s="754"/>
      <c r="M3428" s="735"/>
      <c r="N3428" s="753">
        <v>6</v>
      </c>
      <c r="O3428" s="754">
        <v>6</v>
      </c>
      <c r="P3428" s="736">
        <v>11928</v>
      </c>
      <c r="Q3428" s="214"/>
    </row>
    <row r="3429" spans="1:17" ht="12" customHeight="1" x14ac:dyDescent="0.2">
      <c r="A3429" s="735" t="s">
        <v>7733</v>
      </c>
      <c r="B3429" s="735" t="s">
        <v>2170</v>
      </c>
      <c r="C3429" s="735" t="s">
        <v>451</v>
      </c>
      <c r="D3429" s="644" t="s">
        <v>7855</v>
      </c>
      <c r="E3429" s="736">
        <v>2200</v>
      </c>
      <c r="F3429" s="737" t="s">
        <v>9939</v>
      </c>
      <c r="G3429" s="636" t="s">
        <v>9940</v>
      </c>
      <c r="H3429" s="636" t="s">
        <v>8536</v>
      </c>
      <c r="I3429" s="636" t="s">
        <v>9743</v>
      </c>
      <c r="J3429" s="644" t="s">
        <v>644</v>
      </c>
      <c r="K3429" s="739"/>
      <c r="L3429" s="754"/>
      <c r="M3429" s="735"/>
      <c r="N3429" s="753">
        <v>4</v>
      </c>
      <c r="O3429" s="754">
        <v>6</v>
      </c>
      <c r="P3429" s="736">
        <v>15889.8</v>
      </c>
      <c r="Q3429" s="214"/>
    </row>
    <row r="3430" spans="1:17" ht="12" customHeight="1" x14ac:dyDescent="0.2">
      <c r="A3430" s="735" t="s">
        <v>7733</v>
      </c>
      <c r="B3430" s="735" t="s">
        <v>2170</v>
      </c>
      <c r="C3430" s="735" t="s">
        <v>451</v>
      </c>
      <c r="D3430" s="644" t="s">
        <v>7779</v>
      </c>
      <c r="E3430" s="736">
        <v>4000</v>
      </c>
      <c r="F3430" s="737" t="s">
        <v>7780</v>
      </c>
      <c r="G3430" s="636" t="s">
        <v>7781</v>
      </c>
      <c r="H3430" s="636" t="s">
        <v>7782</v>
      </c>
      <c r="I3430" s="636" t="s">
        <v>2208</v>
      </c>
      <c r="J3430" s="644" t="s">
        <v>642</v>
      </c>
      <c r="K3430" s="739"/>
      <c r="L3430" s="754"/>
      <c r="M3430" s="735"/>
      <c r="N3430" s="753">
        <v>4</v>
      </c>
      <c r="O3430" s="754">
        <v>6</v>
      </c>
      <c r="P3430" s="736">
        <v>26689.8</v>
      </c>
      <c r="Q3430" s="214"/>
    </row>
    <row r="3431" spans="1:17" ht="12" customHeight="1" x14ac:dyDescent="0.2">
      <c r="A3431" s="735" t="s">
        <v>7733</v>
      </c>
      <c r="B3431" s="735" t="s">
        <v>2170</v>
      </c>
      <c r="C3431" s="735" t="s">
        <v>451</v>
      </c>
      <c r="D3431" s="644" t="s">
        <v>8995</v>
      </c>
      <c r="E3431" s="736">
        <v>4000</v>
      </c>
      <c r="F3431" s="737" t="s">
        <v>9008</v>
      </c>
      <c r="G3431" s="636" t="s">
        <v>9009</v>
      </c>
      <c r="H3431" s="636" t="s">
        <v>6571</v>
      </c>
      <c r="I3431" s="636" t="s">
        <v>2179</v>
      </c>
      <c r="J3431" s="644" t="s">
        <v>642</v>
      </c>
      <c r="K3431" s="739"/>
      <c r="L3431" s="754"/>
      <c r="M3431" s="735"/>
      <c r="N3431" s="753">
        <v>4</v>
      </c>
      <c r="O3431" s="754">
        <v>6</v>
      </c>
      <c r="P3431" s="736">
        <v>26689.8</v>
      </c>
      <c r="Q3431" s="214"/>
    </row>
    <row r="3432" spans="1:17" ht="12" customHeight="1" x14ac:dyDescent="0.2">
      <c r="A3432" s="735" t="s">
        <v>7733</v>
      </c>
      <c r="B3432" s="735" t="s">
        <v>2170</v>
      </c>
      <c r="C3432" s="735" t="s">
        <v>451</v>
      </c>
      <c r="D3432" s="644" t="s">
        <v>7904</v>
      </c>
      <c r="E3432" s="736">
        <v>3000</v>
      </c>
      <c r="F3432" s="737" t="s">
        <v>9785</v>
      </c>
      <c r="G3432" s="636" t="s">
        <v>9786</v>
      </c>
      <c r="H3432" s="636" t="s">
        <v>7152</v>
      </c>
      <c r="I3432" s="636" t="s">
        <v>2317</v>
      </c>
      <c r="J3432" s="644" t="s">
        <v>643</v>
      </c>
      <c r="K3432" s="739"/>
      <c r="L3432" s="754"/>
      <c r="M3432" s="735"/>
      <c r="N3432" s="753">
        <v>4</v>
      </c>
      <c r="O3432" s="754">
        <v>6</v>
      </c>
      <c r="P3432" s="736">
        <v>20689.8</v>
      </c>
      <c r="Q3432" s="214"/>
    </row>
    <row r="3433" spans="1:17" ht="12" customHeight="1" x14ac:dyDescent="0.2">
      <c r="A3433" s="735" t="s">
        <v>7733</v>
      </c>
      <c r="B3433" s="735" t="s">
        <v>2170</v>
      </c>
      <c r="C3433" s="735" t="s">
        <v>451</v>
      </c>
      <c r="D3433" s="644" t="s">
        <v>5809</v>
      </c>
      <c r="E3433" s="736">
        <v>5000</v>
      </c>
      <c r="F3433" s="737" t="s">
        <v>8331</v>
      </c>
      <c r="G3433" s="636" t="s">
        <v>8332</v>
      </c>
      <c r="H3433" s="636" t="s">
        <v>8135</v>
      </c>
      <c r="I3433" s="636" t="s">
        <v>8323</v>
      </c>
      <c r="J3433" s="644" t="s">
        <v>644</v>
      </c>
      <c r="K3433" s="739"/>
      <c r="L3433" s="754"/>
      <c r="M3433" s="735"/>
      <c r="N3433" s="753">
        <v>4</v>
      </c>
      <c r="O3433" s="754">
        <v>6</v>
      </c>
      <c r="P3433" s="736">
        <v>32689.8</v>
      </c>
      <c r="Q3433" s="214"/>
    </row>
    <row r="3434" spans="1:17" ht="12" customHeight="1" x14ac:dyDescent="0.2">
      <c r="A3434" s="735" t="s">
        <v>7733</v>
      </c>
      <c r="B3434" s="735" t="s">
        <v>2170</v>
      </c>
      <c r="C3434" s="735" t="s">
        <v>451</v>
      </c>
      <c r="D3434" s="644" t="s">
        <v>7855</v>
      </c>
      <c r="E3434" s="736">
        <v>1500</v>
      </c>
      <c r="F3434" s="737" t="s">
        <v>9720</v>
      </c>
      <c r="G3434" s="636" t="s">
        <v>9721</v>
      </c>
      <c r="H3434" s="636" t="s">
        <v>7152</v>
      </c>
      <c r="I3434" s="636" t="s">
        <v>2317</v>
      </c>
      <c r="J3434" s="644" t="s">
        <v>644</v>
      </c>
      <c r="K3434" s="739"/>
      <c r="L3434" s="754"/>
      <c r="M3434" s="735"/>
      <c r="N3434" s="753">
        <v>6</v>
      </c>
      <c r="O3434" s="754">
        <v>6</v>
      </c>
      <c r="P3434" s="736">
        <v>11220</v>
      </c>
      <c r="Q3434" s="214"/>
    </row>
    <row r="3435" spans="1:17" ht="12" customHeight="1" x14ac:dyDescent="0.2">
      <c r="A3435" s="735" t="s">
        <v>7733</v>
      </c>
      <c r="B3435" s="735" t="s">
        <v>2170</v>
      </c>
      <c r="C3435" s="735" t="s">
        <v>451</v>
      </c>
      <c r="D3435" s="644" t="s">
        <v>7985</v>
      </c>
      <c r="E3435" s="736">
        <v>3000</v>
      </c>
      <c r="F3435" s="737" t="s">
        <v>10129</v>
      </c>
      <c r="G3435" s="636" t="s">
        <v>10130</v>
      </c>
      <c r="H3435" s="636" t="s">
        <v>8014</v>
      </c>
      <c r="I3435" s="636" t="s">
        <v>3760</v>
      </c>
      <c r="J3435" s="644" t="s">
        <v>643</v>
      </c>
      <c r="K3435" s="739"/>
      <c r="L3435" s="754"/>
      <c r="M3435" s="735"/>
      <c r="N3435" s="753">
        <v>6</v>
      </c>
      <c r="O3435" s="754">
        <v>6</v>
      </c>
      <c r="P3435" s="736">
        <v>20689.8</v>
      </c>
      <c r="Q3435" s="214"/>
    </row>
    <row r="3436" spans="1:17" ht="12" customHeight="1" x14ac:dyDescent="0.2">
      <c r="A3436" s="735" t="s">
        <v>7733</v>
      </c>
      <c r="B3436" s="735" t="s">
        <v>2170</v>
      </c>
      <c r="C3436" s="735" t="s">
        <v>451</v>
      </c>
      <c r="D3436" s="644" t="s">
        <v>8041</v>
      </c>
      <c r="E3436" s="736">
        <v>2000</v>
      </c>
      <c r="F3436" s="737" t="s">
        <v>9951</v>
      </c>
      <c r="G3436" s="636" t="s">
        <v>9952</v>
      </c>
      <c r="H3436" s="636"/>
      <c r="I3436" s="636"/>
      <c r="J3436" s="644" t="s">
        <v>643</v>
      </c>
      <c r="K3436" s="739"/>
      <c r="L3436" s="754"/>
      <c r="M3436" s="735"/>
      <c r="N3436" s="753">
        <v>4</v>
      </c>
      <c r="O3436" s="754">
        <v>6</v>
      </c>
      <c r="P3436" s="736">
        <v>14689.8</v>
      </c>
      <c r="Q3436" s="214"/>
    </row>
    <row r="3437" spans="1:17" ht="12" customHeight="1" x14ac:dyDescent="0.2">
      <c r="A3437" s="735" t="s">
        <v>7733</v>
      </c>
      <c r="B3437" s="735" t="s">
        <v>2170</v>
      </c>
      <c r="C3437" s="735" t="s">
        <v>451</v>
      </c>
      <c r="D3437" s="644" t="s">
        <v>7901</v>
      </c>
      <c r="E3437" s="736">
        <v>2500</v>
      </c>
      <c r="F3437" s="737" t="s">
        <v>10059</v>
      </c>
      <c r="G3437" s="636" t="s">
        <v>10060</v>
      </c>
      <c r="H3437" s="636" t="s">
        <v>2745</v>
      </c>
      <c r="I3437" s="636" t="s">
        <v>9371</v>
      </c>
      <c r="J3437" s="644" t="s">
        <v>643</v>
      </c>
      <c r="K3437" s="739"/>
      <c r="L3437" s="754"/>
      <c r="M3437" s="735"/>
      <c r="N3437" s="753">
        <v>4</v>
      </c>
      <c r="O3437" s="754">
        <v>6</v>
      </c>
      <c r="P3437" s="736">
        <v>17689.8</v>
      </c>
      <c r="Q3437" s="214"/>
    </row>
    <row r="3438" spans="1:17" ht="12" customHeight="1" x14ac:dyDescent="0.2">
      <c r="A3438" s="735" t="s">
        <v>7733</v>
      </c>
      <c r="B3438" s="735" t="s">
        <v>2170</v>
      </c>
      <c r="C3438" s="735" t="s">
        <v>451</v>
      </c>
      <c r="D3438" s="644" t="s">
        <v>7843</v>
      </c>
      <c r="E3438" s="736">
        <v>4000</v>
      </c>
      <c r="F3438" s="737" t="s">
        <v>9579</v>
      </c>
      <c r="G3438" s="636" t="s">
        <v>9580</v>
      </c>
      <c r="H3438" s="636" t="s">
        <v>7752</v>
      </c>
      <c r="I3438" s="636" t="s">
        <v>2179</v>
      </c>
      <c r="J3438" s="644" t="s">
        <v>642</v>
      </c>
      <c r="K3438" s="739"/>
      <c r="L3438" s="754"/>
      <c r="M3438" s="735"/>
      <c r="N3438" s="753">
        <v>4</v>
      </c>
      <c r="O3438" s="754">
        <v>6</v>
      </c>
      <c r="P3438" s="736">
        <v>26689.8</v>
      </c>
      <c r="Q3438" s="214"/>
    </row>
    <row r="3439" spans="1:17" ht="12" customHeight="1" x14ac:dyDescent="0.2">
      <c r="A3439" s="735" t="s">
        <v>7733</v>
      </c>
      <c r="B3439" s="735" t="s">
        <v>2170</v>
      </c>
      <c r="C3439" s="735" t="s">
        <v>451</v>
      </c>
      <c r="D3439" s="644" t="s">
        <v>7855</v>
      </c>
      <c r="E3439" s="736">
        <v>2200</v>
      </c>
      <c r="F3439" s="737" t="s">
        <v>7856</v>
      </c>
      <c r="G3439" s="636" t="s">
        <v>7857</v>
      </c>
      <c r="H3439" s="636" t="s">
        <v>7858</v>
      </c>
      <c r="I3439" s="636" t="s">
        <v>7859</v>
      </c>
      <c r="J3439" s="644" t="s">
        <v>644</v>
      </c>
      <c r="K3439" s="739"/>
      <c r="L3439" s="754"/>
      <c r="M3439" s="735"/>
      <c r="N3439" s="753">
        <v>6</v>
      </c>
      <c r="O3439" s="754">
        <v>6</v>
      </c>
      <c r="P3439" s="736">
        <v>15889.8</v>
      </c>
      <c r="Q3439" s="214"/>
    </row>
    <row r="3440" spans="1:17" ht="12" customHeight="1" x14ac:dyDescent="0.2">
      <c r="A3440" s="735" t="s">
        <v>7733</v>
      </c>
      <c r="B3440" s="735" t="s">
        <v>2170</v>
      </c>
      <c r="C3440" s="735" t="s">
        <v>451</v>
      </c>
      <c r="D3440" s="644" t="s">
        <v>7746</v>
      </c>
      <c r="E3440" s="736">
        <v>2200</v>
      </c>
      <c r="F3440" s="737" t="s">
        <v>8674</v>
      </c>
      <c r="G3440" s="636" t="s">
        <v>8675</v>
      </c>
      <c r="H3440" s="636" t="s">
        <v>8676</v>
      </c>
      <c r="I3440" s="636" t="s">
        <v>8036</v>
      </c>
      <c r="J3440" s="644" t="s">
        <v>643</v>
      </c>
      <c r="K3440" s="739"/>
      <c r="L3440" s="754"/>
      <c r="M3440" s="735"/>
      <c r="N3440" s="753">
        <v>6</v>
      </c>
      <c r="O3440" s="754">
        <v>6</v>
      </c>
      <c r="P3440" s="736">
        <v>15889.8</v>
      </c>
      <c r="Q3440" s="214"/>
    </row>
    <row r="3441" spans="1:17" ht="12" customHeight="1" x14ac:dyDescent="0.2">
      <c r="A3441" s="735" t="s">
        <v>7733</v>
      </c>
      <c r="B3441" s="735" t="s">
        <v>2170</v>
      </c>
      <c r="C3441" s="735" t="s">
        <v>451</v>
      </c>
      <c r="D3441" s="644" t="s">
        <v>8978</v>
      </c>
      <c r="E3441" s="736">
        <v>4000</v>
      </c>
      <c r="F3441" s="737" t="s">
        <v>8979</v>
      </c>
      <c r="G3441" s="636" t="s">
        <v>8980</v>
      </c>
      <c r="H3441" s="636" t="s">
        <v>7152</v>
      </c>
      <c r="I3441" s="636" t="s">
        <v>4884</v>
      </c>
      <c r="J3441" s="644" t="s">
        <v>642</v>
      </c>
      <c r="K3441" s="739"/>
      <c r="L3441" s="754"/>
      <c r="M3441" s="735"/>
      <c r="N3441" s="753">
        <v>4</v>
      </c>
      <c r="O3441" s="754">
        <v>6</v>
      </c>
      <c r="P3441" s="736">
        <v>26689.8</v>
      </c>
      <c r="Q3441" s="214"/>
    </row>
    <row r="3442" spans="1:17" ht="12" customHeight="1" x14ac:dyDescent="0.2">
      <c r="A3442" s="735" t="s">
        <v>7733</v>
      </c>
      <c r="B3442" s="735" t="s">
        <v>2170</v>
      </c>
      <c r="C3442" s="735" t="s">
        <v>451</v>
      </c>
      <c r="D3442" s="644" t="s">
        <v>8298</v>
      </c>
      <c r="E3442" s="736">
        <v>1000</v>
      </c>
      <c r="F3442" s="737" t="s">
        <v>8654</v>
      </c>
      <c r="G3442" s="636" t="s">
        <v>8655</v>
      </c>
      <c r="H3442" s="636" t="s">
        <v>8656</v>
      </c>
      <c r="I3442" s="636" t="s">
        <v>8089</v>
      </c>
      <c r="J3442" s="644" t="s">
        <v>644</v>
      </c>
      <c r="K3442" s="739"/>
      <c r="L3442" s="754"/>
      <c r="M3442" s="735"/>
      <c r="N3442" s="753">
        <v>4</v>
      </c>
      <c r="O3442" s="754">
        <v>6</v>
      </c>
      <c r="P3442" s="736">
        <v>7680</v>
      </c>
      <c r="Q3442" s="214"/>
    </row>
    <row r="3443" spans="1:17" ht="12" customHeight="1" x14ac:dyDescent="0.2">
      <c r="A3443" s="735" t="s">
        <v>7733</v>
      </c>
      <c r="B3443" s="735" t="s">
        <v>2170</v>
      </c>
      <c r="C3443" s="735" t="s">
        <v>451</v>
      </c>
      <c r="D3443" s="644" t="s">
        <v>7868</v>
      </c>
      <c r="E3443" s="736">
        <v>4000</v>
      </c>
      <c r="F3443" s="737" t="s">
        <v>7869</v>
      </c>
      <c r="G3443" s="636" t="s">
        <v>7870</v>
      </c>
      <c r="H3443" s="636" t="s">
        <v>7752</v>
      </c>
      <c r="I3443" s="636" t="s">
        <v>2179</v>
      </c>
      <c r="J3443" s="644" t="s">
        <v>642</v>
      </c>
      <c r="K3443" s="739"/>
      <c r="L3443" s="754"/>
      <c r="M3443" s="735"/>
      <c r="N3443" s="753">
        <v>6</v>
      </c>
      <c r="O3443" s="754">
        <v>6</v>
      </c>
      <c r="P3443" s="736">
        <v>26689.8</v>
      </c>
      <c r="Q3443" s="214"/>
    </row>
    <row r="3444" spans="1:17" ht="12" customHeight="1" x14ac:dyDescent="0.2">
      <c r="A3444" s="735" t="s">
        <v>7733</v>
      </c>
      <c r="B3444" s="735" t="s">
        <v>2170</v>
      </c>
      <c r="C3444" s="735" t="s">
        <v>451</v>
      </c>
      <c r="D3444" s="644" t="s">
        <v>7971</v>
      </c>
      <c r="E3444" s="736">
        <v>3000</v>
      </c>
      <c r="F3444" s="737" t="s">
        <v>7972</v>
      </c>
      <c r="G3444" s="636" t="s">
        <v>7973</v>
      </c>
      <c r="H3444" s="636" t="s">
        <v>3522</v>
      </c>
      <c r="I3444" s="636" t="s">
        <v>7974</v>
      </c>
      <c r="J3444" s="644" t="s">
        <v>642</v>
      </c>
      <c r="K3444" s="739"/>
      <c r="L3444" s="754"/>
      <c r="M3444" s="735"/>
      <c r="N3444" s="753">
        <v>6</v>
      </c>
      <c r="O3444" s="754">
        <v>6</v>
      </c>
      <c r="P3444" s="736">
        <v>20689.8</v>
      </c>
      <c r="Q3444" s="214"/>
    </row>
    <row r="3445" spans="1:17" ht="12" customHeight="1" x14ac:dyDescent="0.2">
      <c r="A3445" s="735" t="s">
        <v>7733</v>
      </c>
      <c r="B3445" s="735" t="s">
        <v>2170</v>
      </c>
      <c r="C3445" s="735" t="s">
        <v>451</v>
      </c>
      <c r="D3445" s="644" t="s">
        <v>8041</v>
      </c>
      <c r="E3445" s="736">
        <v>2000</v>
      </c>
      <c r="F3445" s="737" t="s">
        <v>9949</v>
      </c>
      <c r="G3445" s="636" t="s">
        <v>9950</v>
      </c>
      <c r="H3445" s="636"/>
      <c r="I3445" s="636"/>
      <c r="J3445" s="644" t="s">
        <v>644</v>
      </c>
      <c r="K3445" s="739"/>
      <c r="L3445" s="754"/>
      <c r="M3445" s="735"/>
      <c r="N3445" s="753">
        <v>4</v>
      </c>
      <c r="O3445" s="754">
        <v>6</v>
      </c>
      <c r="P3445" s="736">
        <v>14689.8</v>
      </c>
      <c r="Q3445" s="214"/>
    </row>
    <row r="3446" spans="1:17" ht="12" customHeight="1" x14ac:dyDescent="0.2">
      <c r="A3446" s="735" t="s">
        <v>7733</v>
      </c>
      <c r="B3446" s="735" t="s">
        <v>2170</v>
      </c>
      <c r="C3446" s="735" t="s">
        <v>451</v>
      </c>
      <c r="D3446" s="644" t="s">
        <v>8078</v>
      </c>
      <c r="E3446" s="736">
        <v>2500</v>
      </c>
      <c r="F3446" s="737" t="s">
        <v>9412</v>
      </c>
      <c r="G3446" s="636" t="s">
        <v>9413</v>
      </c>
      <c r="H3446" s="636" t="s">
        <v>3915</v>
      </c>
      <c r="I3446" s="636" t="s">
        <v>8152</v>
      </c>
      <c r="J3446" s="644" t="s">
        <v>643</v>
      </c>
      <c r="K3446" s="739"/>
      <c r="L3446" s="754"/>
      <c r="M3446" s="735"/>
      <c r="N3446" s="753">
        <v>4</v>
      </c>
      <c r="O3446" s="754">
        <v>6</v>
      </c>
      <c r="P3446" s="736">
        <v>17689.8</v>
      </c>
      <c r="Q3446" s="214"/>
    </row>
    <row r="3447" spans="1:17" ht="12" customHeight="1" x14ac:dyDescent="0.2">
      <c r="A3447" s="735" t="s">
        <v>7733</v>
      </c>
      <c r="B3447" s="735" t="s">
        <v>2170</v>
      </c>
      <c r="C3447" s="735" t="s">
        <v>451</v>
      </c>
      <c r="D3447" s="644" t="s">
        <v>7779</v>
      </c>
      <c r="E3447" s="736">
        <v>4000</v>
      </c>
      <c r="F3447" s="737" t="s">
        <v>10127</v>
      </c>
      <c r="G3447" s="636" t="s">
        <v>10128</v>
      </c>
      <c r="H3447" s="636" t="s">
        <v>7152</v>
      </c>
      <c r="I3447" s="636" t="s">
        <v>2317</v>
      </c>
      <c r="J3447" s="644" t="s">
        <v>642</v>
      </c>
      <c r="K3447" s="739"/>
      <c r="L3447" s="754"/>
      <c r="M3447" s="735"/>
      <c r="N3447" s="753">
        <v>4</v>
      </c>
      <c r="O3447" s="754">
        <v>6</v>
      </c>
      <c r="P3447" s="736">
        <v>26689.8</v>
      </c>
      <c r="Q3447" s="214"/>
    </row>
    <row r="3448" spans="1:17" ht="12" customHeight="1" x14ac:dyDescent="0.2">
      <c r="A3448" s="735" t="s">
        <v>7733</v>
      </c>
      <c r="B3448" s="735" t="s">
        <v>2170</v>
      </c>
      <c r="C3448" s="735" t="s">
        <v>451</v>
      </c>
      <c r="D3448" s="644" t="s">
        <v>7968</v>
      </c>
      <c r="E3448" s="736">
        <v>4000</v>
      </c>
      <c r="F3448" s="737" t="s">
        <v>7969</v>
      </c>
      <c r="G3448" s="636" t="s">
        <v>7970</v>
      </c>
      <c r="H3448" s="636" t="s">
        <v>7752</v>
      </c>
      <c r="I3448" s="636" t="s">
        <v>2179</v>
      </c>
      <c r="J3448" s="644" t="s">
        <v>642</v>
      </c>
      <c r="K3448" s="739"/>
      <c r="L3448" s="754"/>
      <c r="M3448" s="735"/>
      <c r="N3448" s="753">
        <v>4</v>
      </c>
      <c r="O3448" s="754">
        <v>6</v>
      </c>
      <c r="P3448" s="736">
        <v>26689.8</v>
      </c>
      <c r="Q3448" s="214"/>
    </row>
    <row r="3449" spans="1:17" ht="12" customHeight="1" x14ac:dyDescent="0.2">
      <c r="A3449" s="735" t="s">
        <v>7733</v>
      </c>
      <c r="B3449" s="735" t="s">
        <v>2170</v>
      </c>
      <c r="C3449" s="735" t="s">
        <v>451</v>
      </c>
      <c r="D3449" s="644" t="s">
        <v>6668</v>
      </c>
      <c r="E3449" s="736">
        <v>3000</v>
      </c>
      <c r="F3449" s="737" t="s">
        <v>8863</v>
      </c>
      <c r="G3449" s="636" t="s">
        <v>8864</v>
      </c>
      <c r="H3449" s="636" t="s">
        <v>3915</v>
      </c>
      <c r="I3449" s="636" t="s">
        <v>3070</v>
      </c>
      <c r="J3449" s="644" t="s">
        <v>642</v>
      </c>
      <c r="K3449" s="739"/>
      <c r="L3449" s="754"/>
      <c r="M3449" s="735"/>
      <c r="N3449" s="753">
        <v>4</v>
      </c>
      <c r="O3449" s="754">
        <v>6</v>
      </c>
      <c r="P3449" s="736">
        <v>20689.8</v>
      </c>
      <c r="Q3449" s="214"/>
    </row>
    <row r="3450" spans="1:17" ht="12" customHeight="1" x14ac:dyDescent="0.2">
      <c r="A3450" s="735" t="s">
        <v>7733</v>
      </c>
      <c r="B3450" s="735" t="s">
        <v>2170</v>
      </c>
      <c r="C3450" s="735" t="s">
        <v>451</v>
      </c>
      <c r="D3450" s="644" t="s">
        <v>7817</v>
      </c>
      <c r="E3450" s="736">
        <v>2500</v>
      </c>
      <c r="F3450" s="737" t="s">
        <v>9981</v>
      </c>
      <c r="G3450" s="636" t="s">
        <v>9982</v>
      </c>
      <c r="H3450" s="636" t="s">
        <v>8089</v>
      </c>
      <c r="I3450" s="636" t="s">
        <v>7874</v>
      </c>
      <c r="J3450" s="644" t="s">
        <v>643</v>
      </c>
      <c r="K3450" s="739"/>
      <c r="L3450" s="754"/>
      <c r="M3450" s="735"/>
      <c r="N3450" s="753">
        <v>4</v>
      </c>
      <c r="O3450" s="754">
        <v>6</v>
      </c>
      <c r="P3450" s="736">
        <v>17689.8</v>
      </c>
      <c r="Q3450" s="214"/>
    </row>
    <row r="3451" spans="1:17" ht="12" customHeight="1" x14ac:dyDescent="0.2">
      <c r="A3451" s="735" t="s">
        <v>7733</v>
      </c>
      <c r="B3451" s="735" t="s">
        <v>2170</v>
      </c>
      <c r="C3451" s="735" t="s">
        <v>451</v>
      </c>
      <c r="D3451" s="644" t="s">
        <v>2179</v>
      </c>
      <c r="E3451" s="736">
        <v>3000</v>
      </c>
      <c r="F3451" s="737" t="s">
        <v>8818</v>
      </c>
      <c r="G3451" s="636" t="s">
        <v>8819</v>
      </c>
      <c r="H3451" s="636" t="s">
        <v>6571</v>
      </c>
      <c r="I3451" s="636" t="s">
        <v>2179</v>
      </c>
      <c r="J3451" s="644" t="s">
        <v>642</v>
      </c>
      <c r="K3451" s="739"/>
      <c r="L3451" s="754"/>
      <c r="M3451" s="735"/>
      <c r="N3451" s="753">
        <v>5</v>
      </c>
      <c r="O3451" s="754">
        <v>6</v>
      </c>
      <c r="P3451" s="736">
        <v>20689.8</v>
      </c>
      <c r="Q3451" s="214"/>
    </row>
    <row r="3452" spans="1:17" ht="12" customHeight="1" x14ac:dyDescent="0.2">
      <c r="A3452" s="735" t="s">
        <v>7733</v>
      </c>
      <c r="B3452" s="735" t="s">
        <v>2170</v>
      </c>
      <c r="C3452" s="735" t="s">
        <v>451</v>
      </c>
      <c r="D3452" s="644" t="s">
        <v>7843</v>
      </c>
      <c r="E3452" s="736">
        <v>4000</v>
      </c>
      <c r="F3452" s="737" t="s">
        <v>8380</v>
      </c>
      <c r="G3452" s="636" t="s">
        <v>8381</v>
      </c>
      <c r="H3452" s="636" t="s">
        <v>7752</v>
      </c>
      <c r="I3452" s="636" t="s">
        <v>2179</v>
      </c>
      <c r="J3452" s="644" t="s">
        <v>642</v>
      </c>
      <c r="K3452" s="739"/>
      <c r="L3452" s="754"/>
      <c r="M3452" s="735"/>
      <c r="N3452" s="753">
        <v>4</v>
      </c>
      <c r="O3452" s="754">
        <v>6</v>
      </c>
      <c r="P3452" s="736">
        <v>26689.8</v>
      </c>
      <c r="Q3452" s="214"/>
    </row>
    <row r="3453" spans="1:17" ht="12" customHeight="1" x14ac:dyDescent="0.2">
      <c r="A3453" s="735" t="s">
        <v>7733</v>
      </c>
      <c r="B3453" s="735" t="s">
        <v>2170</v>
      </c>
      <c r="C3453" s="735" t="s">
        <v>451</v>
      </c>
      <c r="D3453" s="644" t="s">
        <v>7871</v>
      </c>
      <c r="E3453" s="736">
        <v>4000</v>
      </c>
      <c r="F3453" s="737" t="s">
        <v>7872</v>
      </c>
      <c r="G3453" s="636" t="s">
        <v>7873</v>
      </c>
      <c r="H3453" s="636" t="s">
        <v>7152</v>
      </c>
      <c r="I3453" s="636" t="s">
        <v>7874</v>
      </c>
      <c r="J3453" s="644" t="s">
        <v>642</v>
      </c>
      <c r="K3453" s="739"/>
      <c r="L3453" s="754"/>
      <c r="M3453" s="735"/>
      <c r="N3453" s="753">
        <v>4</v>
      </c>
      <c r="O3453" s="754">
        <v>6</v>
      </c>
      <c r="P3453" s="736">
        <v>26689.8</v>
      </c>
      <c r="Q3453" s="214"/>
    </row>
    <row r="3454" spans="1:17" ht="12" customHeight="1" x14ac:dyDescent="0.2">
      <c r="A3454" s="735" t="s">
        <v>7733</v>
      </c>
      <c r="B3454" s="735" t="s">
        <v>2170</v>
      </c>
      <c r="C3454" s="735" t="s">
        <v>451</v>
      </c>
      <c r="D3454" s="644" t="s">
        <v>2261</v>
      </c>
      <c r="E3454" s="736">
        <v>2500</v>
      </c>
      <c r="F3454" s="737" t="s">
        <v>7809</v>
      </c>
      <c r="G3454" s="636" t="s">
        <v>7810</v>
      </c>
      <c r="H3454" s="636" t="s">
        <v>3092</v>
      </c>
      <c r="I3454" s="636" t="s">
        <v>3092</v>
      </c>
      <c r="J3454" s="644" t="s">
        <v>643</v>
      </c>
      <c r="K3454" s="739"/>
      <c r="L3454" s="754"/>
      <c r="M3454" s="735"/>
      <c r="N3454" s="753">
        <v>4</v>
      </c>
      <c r="O3454" s="754">
        <v>6</v>
      </c>
      <c r="P3454" s="736">
        <v>17689.8</v>
      </c>
      <c r="Q3454" s="214"/>
    </row>
    <row r="3455" spans="1:17" ht="12" customHeight="1" x14ac:dyDescent="0.2">
      <c r="A3455" s="735" t="s">
        <v>7733</v>
      </c>
      <c r="B3455" s="735" t="s">
        <v>2170</v>
      </c>
      <c r="C3455" s="735" t="s">
        <v>451</v>
      </c>
      <c r="D3455" s="644" t="s">
        <v>7740</v>
      </c>
      <c r="E3455" s="736">
        <v>2200</v>
      </c>
      <c r="F3455" s="737" t="s">
        <v>7794</v>
      </c>
      <c r="G3455" s="636" t="s">
        <v>7795</v>
      </c>
      <c r="H3455" s="636" t="s">
        <v>2979</v>
      </c>
      <c r="I3455" s="636" t="s">
        <v>2745</v>
      </c>
      <c r="J3455" s="644" t="s">
        <v>643</v>
      </c>
      <c r="K3455" s="739"/>
      <c r="L3455" s="754"/>
      <c r="M3455" s="735"/>
      <c r="N3455" s="753">
        <v>5</v>
      </c>
      <c r="O3455" s="754">
        <v>6</v>
      </c>
      <c r="P3455" s="736">
        <v>15889.8</v>
      </c>
      <c r="Q3455" s="214"/>
    </row>
    <row r="3456" spans="1:17" ht="12" customHeight="1" x14ac:dyDescent="0.2">
      <c r="A3456" s="735" t="s">
        <v>7733</v>
      </c>
      <c r="B3456" s="735" t="s">
        <v>2170</v>
      </c>
      <c r="C3456" s="735" t="s">
        <v>451</v>
      </c>
      <c r="D3456" s="644" t="s">
        <v>10019</v>
      </c>
      <c r="E3456" s="736">
        <v>3000</v>
      </c>
      <c r="F3456" s="737" t="s">
        <v>10020</v>
      </c>
      <c r="G3456" s="636" t="s">
        <v>10021</v>
      </c>
      <c r="H3456" s="636" t="s">
        <v>7752</v>
      </c>
      <c r="I3456" s="636" t="s">
        <v>2179</v>
      </c>
      <c r="J3456" s="644" t="s">
        <v>642</v>
      </c>
      <c r="K3456" s="739"/>
      <c r="L3456" s="754"/>
      <c r="M3456" s="735"/>
      <c r="N3456" s="753">
        <v>4</v>
      </c>
      <c r="O3456" s="754">
        <v>6</v>
      </c>
      <c r="P3456" s="736">
        <v>20689.8</v>
      </c>
      <c r="Q3456" s="214"/>
    </row>
    <row r="3457" spans="1:17" ht="12" customHeight="1" x14ac:dyDescent="0.2">
      <c r="A3457" s="735" t="s">
        <v>7733</v>
      </c>
      <c r="B3457" s="735" t="s">
        <v>2170</v>
      </c>
      <c r="C3457" s="735" t="s">
        <v>451</v>
      </c>
      <c r="D3457" s="644" t="s">
        <v>7746</v>
      </c>
      <c r="E3457" s="736">
        <v>1700</v>
      </c>
      <c r="F3457" s="737" t="s">
        <v>7747</v>
      </c>
      <c r="G3457" s="636" t="s">
        <v>7748</v>
      </c>
      <c r="H3457" s="636" t="s">
        <v>10194</v>
      </c>
      <c r="I3457" s="636"/>
      <c r="J3457" s="644" t="s">
        <v>643</v>
      </c>
      <c r="K3457" s="739"/>
      <c r="L3457" s="754"/>
      <c r="M3457" s="735"/>
      <c r="N3457" s="753">
        <v>4</v>
      </c>
      <c r="O3457" s="754">
        <v>6</v>
      </c>
      <c r="P3457" s="736">
        <v>12636</v>
      </c>
      <c r="Q3457" s="214"/>
    </row>
    <row r="3458" spans="1:17" ht="12" customHeight="1" x14ac:dyDescent="0.2">
      <c r="A3458" s="735" t="s">
        <v>7733</v>
      </c>
      <c r="B3458" s="735" t="s">
        <v>2170</v>
      </c>
      <c r="C3458" s="735" t="s">
        <v>451</v>
      </c>
      <c r="D3458" s="644" t="s">
        <v>7746</v>
      </c>
      <c r="E3458" s="736">
        <v>2200</v>
      </c>
      <c r="F3458" s="737" t="s">
        <v>8949</v>
      </c>
      <c r="G3458" s="636" t="s">
        <v>8950</v>
      </c>
      <c r="H3458" s="636" t="s">
        <v>10194</v>
      </c>
      <c r="I3458" s="636"/>
      <c r="J3458" s="644" t="s">
        <v>643</v>
      </c>
      <c r="K3458" s="739"/>
      <c r="L3458" s="754"/>
      <c r="M3458" s="735"/>
      <c r="N3458" s="753">
        <v>4</v>
      </c>
      <c r="O3458" s="754">
        <v>6</v>
      </c>
      <c r="P3458" s="736">
        <v>15889.8</v>
      </c>
      <c r="Q3458" s="214"/>
    </row>
    <row r="3459" spans="1:17" ht="12" customHeight="1" x14ac:dyDescent="0.2">
      <c r="A3459" s="735" t="s">
        <v>7733</v>
      </c>
      <c r="B3459" s="735" t="s">
        <v>2170</v>
      </c>
      <c r="C3459" s="735" t="s">
        <v>451</v>
      </c>
      <c r="D3459" s="644" t="s">
        <v>2179</v>
      </c>
      <c r="E3459" s="736">
        <v>6000</v>
      </c>
      <c r="F3459" s="737" t="s">
        <v>8059</v>
      </c>
      <c r="G3459" s="636" t="s">
        <v>8060</v>
      </c>
      <c r="H3459" s="636" t="s">
        <v>7752</v>
      </c>
      <c r="I3459" s="636" t="s">
        <v>2179</v>
      </c>
      <c r="J3459" s="644" t="s">
        <v>642</v>
      </c>
      <c r="K3459" s="739"/>
      <c r="L3459" s="754"/>
      <c r="M3459" s="735"/>
      <c r="N3459" s="753">
        <v>4</v>
      </c>
      <c r="O3459" s="754">
        <v>6</v>
      </c>
      <c r="P3459" s="736">
        <v>38689.800000000003</v>
      </c>
      <c r="Q3459" s="214"/>
    </row>
    <row r="3460" spans="1:17" ht="12" customHeight="1" x14ac:dyDescent="0.2">
      <c r="A3460" s="735" t="s">
        <v>7733</v>
      </c>
      <c r="B3460" s="735" t="s">
        <v>2170</v>
      </c>
      <c r="C3460" s="735" t="s">
        <v>451</v>
      </c>
      <c r="D3460" s="644" t="s">
        <v>8759</v>
      </c>
      <c r="E3460" s="736">
        <v>2801</v>
      </c>
      <c r="F3460" s="737" t="s">
        <v>9478</v>
      </c>
      <c r="G3460" s="636" t="s">
        <v>9479</v>
      </c>
      <c r="H3460" s="636" t="s">
        <v>8096</v>
      </c>
      <c r="I3460" s="636" t="s">
        <v>8741</v>
      </c>
      <c r="J3460" s="644" t="s">
        <v>643</v>
      </c>
      <c r="K3460" s="739"/>
      <c r="L3460" s="754"/>
      <c r="M3460" s="735"/>
      <c r="N3460" s="753">
        <v>4</v>
      </c>
      <c r="O3460" s="754">
        <v>6</v>
      </c>
      <c r="P3460" s="736">
        <v>19495.8</v>
      </c>
      <c r="Q3460" s="214"/>
    </row>
    <row r="3461" spans="1:17" ht="12" customHeight="1" x14ac:dyDescent="0.2">
      <c r="A3461" s="735" t="s">
        <v>7733</v>
      </c>
      <c r="B3461" s="735" t="s">
        <v>2170</v>
      </c>
      <c r="C3461" s="735" t="s">
        <v>451</v>
      </c>
      <c r="D3461" s="644" t="s">
        <v>8301</v>
      </c>
      <c r="E3461" s="736">
        <v>1600</v>
      </c>
      <c r="F3461" s="737" t="s">
        <v>8433</v>
      </c>
      <c r="G3461" s="636" t="s">
        <v>8434</v>
      </c>
      <c r="H3461" s="636" t="s">
        <v>3092</v>
      </c>
      <c r="I3461" s="636" t="s">
        <v>3092</v>
      </c>
      <c r="J3461" s="644" t="s">
        <v>643</v>
      </c>
      <c r="K3461" s="739"/>
      <c r="L3461" s="754"/>
      <c r="M3461" s="735"/>
      <c r="N3461" s="753">
        <v>4</v>
      </c>
      <c r="O3461" s="754">
        <v>6</v>
      </c>
      <c r="P3461" s="736">
        <v>11928</v>
      </c>
      <c r="Q3461" s="214"/>
    </row>
    <row r="3462" spans="1:17" ht="12" customHeight="1" x14ac:dyDescent="0.2">
      <c r="A3462" s="735" t="s">
        <v>7733</v>
      </c>
      <c r="B3462" s="735" t="s">
        <v>2170</v>
      </c>
      <c r="C3462" s="735" t="s">
        <v>451</v>
      </c>
      <c r="D3462" s="644" t="s">
        <v>7901</v>
      </c>
      <c r="E3462" s="736">
        <v>2500</v>
      </c>
      <c r="F3462" s="737" t="s">
        <v>7902</v>
      </c>
      <c r="G3462" s="636" t="s">
        <v>7903</v>
      </c>
      <c r="H3462" s="636" t="s">
        <v>6778</v>
      </c>
      <c r="I3462" s="636" t="s">
        <v>3092</v>
      </c>
      <c r="J3462" s="644" t="s">
        <v>644</v>
      </c>
      <c r="K3462" s="739"/>
      <c r="L3462" s="754"/>
      <c r="M3462" s="735"/>
      <c r="N3462" s="753">
        <v>4</v>
      </c>
      <c r="O3462" s="754">
        <v>6</v>
      </c>
      <c r="P3462" s="736">
        <v>17689.8</v>
      </c>
      <c r="Q3462" s="214"/>
    </row>
    <row r="3463" spans="1:17" ht="12" customHeight="1" x14ac:dyDescent="0.2">
      <c r="A3463" s="735" t="s">
        <v>7733</v>
      </c>
      <c r="B3463" s="735" t="s">
        <v>2170</v>
      </c>
      <c r="C3463" s="735" t="s">
        <v>451</v>
      </c>
      <c r="D3463" s="644" t="s">
        <v>7817</v>
      </c>
      <c r="E3463" s="736">
        <v>2500</v>
      </c>
      <c r="F3463" s="737" t="s">
        <v>9562</v>
      </c>
      <c r="G3463" s="636" t="s">
        <v>9563</v>
      </c>
      <c r="H3463" s="636" t="s">
        <v>7752</v>
      </c>
      <c r="I3463" s="636" t="s">
        <v>3760</v>
      </c>
      <c r="J3463" s="644" t="s">
        <v>643</v>
      </c>
      <c r="K3463" s="739"/>
      <c r="L3463" s="754"/>
      <c r="M3463" s="735"/>
      <c r="N3463" s="753">
        <v>4</v>
      </c>
      <c r="O3463" s="754">
        <v>6</v>
      </c>
      <c r="P3463" s="736">
        <v>17689.8</v>
      </c>
      <c r="Q3463" s="214"/>
    </row>
    <row r="3464" spans="1:17" ht="12" customHeight="1" x14ac:dyDescent="0.2">
      <c r="A3464" s="735" t="s">
        <v>7733</v>
      </c>
      <c r="B3464" s="735" t="s">
        <v>2170</v>
      </c>
      <c r="C3464" s="735" t="s">
        <v>451</v>
      </c>
      <c r="D3464" s="644" t="s">
        <v>7755</v>
      </c>
      <c r="E3464" s="736">
        <v>2500</v>
      </c>
      <c r="F3464" s="737" t="s">
        <v>8340</v>
      </c>
      <c r="G3464" s="636" t="s">
        <v>8341</v>
      </c>
      <c r="H3464" s="636"/>
      <c r="I3464" s="636"/>
      <c r="J3464" s="644" t="s">
        <v>642</v>
      </c>
      <c r="K3464" s="739"/>
      <c r="L3464" s="754"/>
      <c r="M3464" s="735"/>
      <c r="N3464" s="753">
        <v>4</v>
      </c>
      <c r="O3464" s="754">
        <v>6</v>
      </c>
      <c r="P3464" s="736">
        <v>17689.8</v>
      </c>
      <c r="Q3464" s="214"/>
    </row>
    <row r="3465" spans="1:17" ht="12" customHeight="1" x14ac:dyDescent="0.2">
      <c r="A3465" s="735" t="s">
        <v>7733</v>
      </c>
      <c r="B3465" s="735" t="s">
        <v>2170</v>
      </c>
      <c r="C3465" s="735" t="s">
        <v>451</v>
      </c>
      <c r="D3465" s="644" t="s">
        <v>7858</v>
      </c>
      <c r="E3465" s="736">
        <v>3000</v>
      </c>
      <c r="F3465" s="737" t="s">
        <v>9375</v>
      </c>
      <c r="G3465" s="636" t="s">
        <v>9376</v>
      </c>
      <c r="H3465" s="636"/>
      <c r="I3465" s="636"/>
      <c r="J3465" s="644" t="s">
        <v>643</v>
      </c>
      <c r="K3465" s="739"/>
      <c r="L3465" s="754"/>
      <c r="M3465" s="735"/>
      <c r="N3465" s="753">
        <v>4</v>
      </c>
      <c r="O3465" s="754">
        <v>6</v>
      </c>
      <c r="P3465" s="736">
        <v>20689.8</v>
      </c>
      <c r="Q3465" s="214"/>
    </row>
    <row r="3466" spans="1:17" ht="12" customHeight="1" x14ac:dyDescent="0.2">
      <c r="A3466" s="735" t="s">
        <v>7733</v>
      </c>
      <c r="B3466" s="735" t="s">
        <v>2170</v>
      </c>
      <c r="C3466" s="735" t="s">
        <v>451</v>
      </c>
      <c r="D3466" s="644" t="s">
        <v>8417</v>
      </c>
      <c r="E3466" s="736">
        <v>1000</v>
      </c>
      <c r="F3466" s="737" t="s">
        <v>8964</v>
      </c>
      <c r="G3466" s="636" t="s">
        <v>8965</v>
      </c>
      <c r="H3466" s="636" t="s">
        <v>10194</v>
      </c>
      <c r="I3466" s="636"/>
      <c r="J3466" s="644" t="s">
        <v>644</v>
      </c>
      <c r="K3466" s="739"/>
      <c r="L3466" s="754"/>
      <c r="M3466" s="735"/>
      <c r="N3466" s="753">
        <v>4</v>
      </c>
      <c r="O3466" s="754">
        <v>6</v>
      </c>
      <c r="P3466" s="736">
        <v>7680</v>
      </c>
      <c r="Q3466" s="214"/>
    </row>
    <row r="3467" spans="1:17" ht="12" customHeight="1" x14ac:dyDescent="0.2">
      <c r="A3467" s="735" t="s">
        <v>7733</v>
      </c>
      <c r="B3467" s="735" t="s">
        <v>2170</v>
      </c>
      <c r="C3467" s="735" t="s">
        <v>451</v>
      </c>
      <c r="D3467" s="644" t="s">
        <v>7746</v>
      </c>
      <c r="E3467" s="736">
        <v>2200</v>
      </c>
      <c r="F3467" s="737" t="s">
        <v>8489</v>
      </c>
      <c r="G3467" s="636" t="s">
        <v>8490</v>
      </c>
      <c r="H3467" s="636" t="s">
        <v>10194</v>
      </c>
      <c r="I3467" s="636"/>
      <c r="J3467" s="644" t="s">
        <v>643</v>
      </c>
      <c r="K3467" s="739"/>
      <c r="L3467" s="754"/>
      <c r="M3467" s="735"/>
      <c r="N3467" s="753">
        <v>4</v>
      </c>
      <c r="O3467" s="754">
        <v>6</v>
      </c>
      <c r="P3467" s="736">
        <v>15889.8</v>
      </c>
      <c r="Q3467" s="214"/>
    </row>
    <row r="3468" spans="1:17" ht="12" customHeight="1" x14ac:dyDescent="0.2">
      <c r="A3468" s="735" t="s">
        <v>7733</v>
      </c>
      <c r="B3468" s="735" t="s">
        <v>2170</v>
      </c>
      <c r="C3468" s="735" t="s">
        <v>451</v>
      </c>
      <c r="D3468" s="644" t="s">
        <v>8078</v>
      </c>
      <c r="E3468" s="736">
        <v>2500</v>
      </c>
      <c r="F3468" s="737" t="s">
        <v>9129</v>
      </c>
      <c r="G3468" s="636" t="s">
        <v>9130</v>
      </c>
      <c r="H3468" s="636" t="s">
        <v>3522</v>
      </c>
      <c r="I3468" s="636" t="s">
        <v>8663</v>
      </c>
      <c r="J3468" s="644" t="s">
        <v>643</v>
      </c>
      <c r="K3468" s="739"/>
      <c r="L3468" s="754"/>
      <c r="M3468" s="735"/>
      <c r="N3468" s="753">
        <v>4</v>
      </c>
      <c r="O3468" s="754">
        <v>6</v>
      </c>
      <c r="P3468" s="736">
        <v>17689.8</v>
      </c>
      <c r="Q3468" s="214"/>
    </row>
    <row r="3469" spans="1:17" ht="12" customHeight="1" x14ac:dyDescent="0.2">
      <c r="A3469" s="735" t="s">
        <v>7733</v>
      </c>
      <c r="B3469" s="735" t="s">
        <v>2170</v>
      </c>
      <c r="C3469" s="735" t="s">
        <v>451</v>
      </c>
      <c r="D3469" s="644" t="s">
        <v>8298</v>
      </c>
      <c r="E3469" s="736">
        <v>930</v>
      </c>
      <c r="F3469" s="737" t="s">
        <v>8882</v>
      </c>
      <c r="G3469" s="636" t="s">
        <v>8883</v>
      </c>
      <c r="H3469" s="636" t="s">
        <v>10238</v>
      </c>
      <c r="I3469" s="636"/>
      <c r="J3469" s="644" t="s">
        <v>644</v>
      </c>
      <c r="K3469" s="739"/>
      <c r="L3469" s="754"/>
      <c r="M3469" s="735"/>
      <c r="N3469" s="753">
        <v>4</v>
      </c>
      <c r="O3469" s="754">
        <v>6</v>
      </c>
      <c r="P3469" s="736">
        <v>7184.4</v>
      </c>
      <c r="Q3469" s="214"/>
    </row>
    <row r="3470" spans="1:17" ht="12" customHeight="1" x14ac:dyDescent="0.2">
      <c r="A3470" s="735" t="s">
        <v>7733</v>
      </c>
      <c r="B3470" s="735" t="s">
        <v>2170</v>
      </c>
      <c r="C3470" s="735" t="s">
        <v>451</v>
      </c>
      <c r="D3470" s="644" t="s">
        <v>6668</v>
      </c>
      <c r="E3470" s="736">
        <v>3500</v>
      </c>
      <c r="F3470" s="737" t="s">
        <v>9095</v>
      </c>
      <c r="G3470" s="636" t="s">
        <v>9096</v>
      </c>
      <c r="H3470" s="636" t="s">
        <v>6778</v>
      </c>
      <c r="I3470" s="636" t="s">
        <v>2174</v>
      </c>
      <c r="J3470" s="644" t="s">
        <v>642</v>
      </c>
      <c r="K3470" s="739"/>
      <c r="L3470" s="754"/>
      <c r="M3470" s="735"/>
      <c r="N3470" s="753">
        <v>6</v>
      </c>
      <c r="O3470" s="754">
        <v>6</v>
      </c>
      <c r="P3470" s="736">
        <v>23689.8</v>
      </c>
      <c r="Q3470" s="214"/>
    </row>
    <row r="3471" spans="1:17" ht="12" customHeight="1" x14ac:dyDescent="0.2">
      <c r="A3471" s="735" t="s">
        <v>7733</v>
      </c>
      <c r="B3471" s="735" t="s">
        <v>2170</v>
      </c>
      <c r="C3471" s="735" t="s">
        <v>451</v>
      </c>
      <c r="D3471" s="644" t="s">
        <v>2788</v>
      </c>
      <c r="E3471" s="736">
        <v>1600</v>
      </c>
      <c r="F3471" s="737" t="s">
        <v>8522</v>
      </c>
      <c r="G3471" s="636" t="s">
        <v>8523</v>
      </c>
      <c r="H3471" s="636" t="s">
        <v>8524</v>
      </c>
      <c r="I3471" s="636" t="s">
        <v>8525</v>
      </c>
      <c r="J3471" s="644" t="s">
        <v>643</v>
      </c>
      <c r="K3471" s="739"/>
      <c r="L3471" s="754"/>
      <c r="M3471" s="735"/>
      <c r="N3471" s="753">
        <v>4</v>
      </c>
      <c r="O3471" s="754">
        <v>6</v>
      </c>
      <c r="P3471" s="736">
        <v>11928</v>
      </c>
      <c r="Q3471" s="214"/>
    </row>
    <row r="3472" spans="1:17" ht="12" customHeight="1" x14ac:dyDescent="0.2">
      <c r="A3472" s="735" t="s">
        <v>7733</v>
      </c>
      <c r="B3472" s="735" t="s">
        <v>2170</v>
      </c>
      <c r="C3472" s="735" t="s">
        <v>451</v>
      </c>
      <c r="D3472" s="644" t="s">
        <v>6668</v>
      </c>
      <c r="E3472" s="736">
        <v>3000</v>
      </c>
      <c r="F3472" s="737" t="s">
        <v>8746</v>
      </c>
      <c r="G3472" s="636" t="s">
        <v>8747</v>
      </c>
      <c r="H3472" s="636" t="s">
        <v>6778</v>
      </c>
      <c r="I3472" s="636" t="s">
        <v>2174</v>
      </c>
      <c r="J3472" s="644" t="s">
        <v>642</v>
      </c>
      <c r="K3472" s="739"/>
      <c r="L3472" s="754"/>
      <c r="M3472" s="735"/>
      <c r="N3472" s="753">
        <v>4</v>
      </c>
      <c r="O3472" s="754">
        <v>6</v>
      </c>
      <c r="P3472" s="736">
        <v>20689.8</v>
      </c>
      <c r="Q3472" s="214"/>
    </row>
    <row r="3473" spans="1:17" ht="12" customHeight="1" x14ac:dyDescent="0.2">
      <c r="A3473" s="735" t="s">
        <v>7733</v>
      </c>
      <c r="B3473" s="735" t="s">
        <v>2170</v>
      </c>
      <c r="C3473" s="735" t="s">
        <v>451</v>
      </c>
      <c r="D3473" s="644" t="s">
        <v>6668</v>
      </c>
      <c r="E3473" s="736">
        <v>3500</v>
      </c>
      <c r="F3473" s="737" t="s">
        <v>9541</v>
      </c>
      <c r="G3473" s="636" t="s">
        <v>9542</v>
      </c>
      <c r="H3473" s="636" t="s">
        <v>6633</v>
      </c>
      <c r="I3473" s="636" t="s">
        <v>8231</v>
      </c>
      <c r="J3473" s="644" t="s">
        <v>642</v>
      </c>
      <c r="K3473" s="739"/>
      <c r="L3473" s="754"/>
      <c r="M3473" s="735"/>
      <c r="N3473" s="753">
        <v>5</v>
      </c>
      <c r="O3473" s="754">
        <v>6</v>
      </c>
      <c r="P3473" s="736">
        <v>23689.8</v>
      </c>
      <c r="Q3473" s="214"/>
    </row>
    <row r="3474" spans="1:17" ht="12" customHeight="1" x14ac:dyDescent="0.2">
      <c r="A3474" s="735" t="s">
        <v>7733</v>
      </c>
      <c r="B3474" s="735" t="s">
        <v>2170</v>
      </c>
      <c r="C3474" s="735" t="s">
        <v>451</v>
      </c>
      <c r="D3474" s="644" t="s">
        <v>8023</v>
      </c>
      <c r="E3474" s="736">
        <v>2500</v>
      </c>
      <c r="F3474" s="737" t="s">
        <v>9936</v>
      </c>
      <c r="G3474" s="636" t="s">
        <v>9937</v>
      </c>
      <c r="H3474" s="636" t="s">
        <v>7295</v>
      </c>
      <c r="I3474" s="636" t="s">
        <v>9938</v>
      </c>
      <c r="J3474" s="644" t="s">
        <v>642</v>
      </c>
      <c r="K3474" s="739"/>
      <c r="L3474" s="754"/>
      <c r="M3474" s="735"/>
      <c r="N3474" s="753">
        <v>6</v>
      </c>
      <c r="O3474" s="754">
        <v>6</v>
      </c>
      <c r="P3474" s="736">
        <v>17689.8</v>
      </c>
      <c r="Q3474" s="214"/>
    </row>
    <row r="3475" spans="1:17" ht="12" customHeight="1" x14ac:dyDescent="0.2">
      <c r="A3475" s="735" t="s">
        <v>7733</v>
      </c>
      <c r="B3475" s="735" t="s">
        <v>2170</v>
      </c>
      <c r="C3475" s="735" t="s">
        <v>451</v>
      </c>
      <c r="D3475" s="644" t="s">
        <v>7879</v>
      </c>
      <c r="E3475" s="736">
        <v>3000</v>
      </c>
      <c r="F3475" s="737" t="s">
        <v>7880</v>
      </c>
      <c r="G3475" s="636" t="s">
        <v>7881</v>
      </c>
      <c r="H3475" s="636" t="s">
        <v>7782</v>
      </c>
      <c r="I3475" s="636" t="s">
        <v>2208</v>
      </c>
      <c r="J3475" s="644" t="s">
        <v>642</v>
      </c>
      <c r="K3475" s="739"/>
      <c r="L3475" s="754"/>
      <c r="M3475" s="735"/>
      <c r="N3475" s="753">
        <v>4</v>
      </c>
      <c r="O3475" s="754">
        <v>6</v>
      </c>
      <c r="P3475" s="736">
        <v>20689.8</v>
      </c>
      <c r="Q3475" s="214"/>
    </row>
    <row r="3476" spans="1:17" ht="12" customHeight="1" x14ac:dyDescent="0.2">
      <c r="A3476" s="735" t="s">
        <v>7733</v>
      </c>
      <c r="B3476" s="735" t="s">
        <v>2170</v>
      </c>
      <c r="C3476" s="735" t="s">
        <v>451</v>
      </c>
      <c r="D3476" s="644" t="s">
        <v>7901</v>
      </c>
      <c r="E3476" s="736">
        <v>2500</v>
      </c>
      <c r="F3476" s="737" t="s">
        <v>9287</v>
      </c>
      <c r="G3476" s="636" t="s">
        <v>9288</v>
      </c>
      <c r="H3476" s="636" t="s">
        <v>3915</v>
      </c>
      <c r="I3476" s="636" t="s">
        <v>6668</v>
      </c>
      <c r="J3476" s="644" t="s">
        <v>643</v>
      </c>
      <c r="K3476" s="739"/>
      <c r="L3476" s="754"/>
      <c r="M3476" s="735"/>
      <c r="N3476" s="753">
        <v>4</v>
      </c>
      <c r="O3476" s="754">
        <v>6</v>
      </c>
      <c r="P3476" s="736">
        <v>17689.8</v>
      </c>
      <c r="Q3476" s="214"/>
    </row>
    <row r="3477" spans="1:17" ht="12" customHeight="1" x14ac:dyDescent="0.2">
      <c r="A3477" s="735" t="s">
        <v>7733</v>
      </c>
      <c r="B3477" s="735" t="s">
        <v>2170</v>
      </c>
      <c r="C3477" s="735" t="s">
        <v>451</v>
      </c>
      <c r="D3477" s="644" t="s">
        <v>8041</v>
      </c>
      <c r="E3477" s="736">
        <v>2000</v>
      </c>
      <c r="F3477" s="737" t="s">
        <v>9502</v>
      </c>
      <c r="G3477" s="636" t="s">
        <v>9503</v>
      </c>
      <c r="H3477" s="636"/>
      <c r="I3477" s="636" t="s">
        <v>2504</v>
      </c>
      <c r="J3477" s="644" t="s">
        <v>644</v>
      </c>
      <c r="K3477" s="739"/>
      <c r="L3477" s="754"/>
      <c r="M3477" s="735"/>
      <c r="N3477" s="753">
        <v>4</v>
      </c>
      <c r="O3477" s="754">
        <v>6</v>
      </c>
      <c r="P3477" s="736">
        <v>14689.8</v>
      </c>
      <c r="Q3477" s="214"/>
    </row>
    <row r="3478" spans="1:17" ht="12" customHeight="1" x14ac:dyDescent="0.2">
      <c r="A3478" s="735" t="s">
        <v>7733</v>
      </c>
      <c r="B3478" s="735" t="s">
        <v>2170</v>
      </c>
      <c r="C3478" s="735" t="s">
        <v>451</v>
      </c>
      <c r="D3478" s="644" t="s">
        <v>7746</v>
      </c>
      <c r="E3478" s="736">
        <v>1700</v>
      </c>
      <c r="F3478" s="737" t="s">
        <v>9018</v>
      </c>
      <c r="G3478" s="636" t="s">
        <v>9019</v>
      </c>
      <c r="H3478" s="636" t="s">
        <v>10194</v>
      </c>
      <c r="I3478" s="636"/>
      <c r="J3478" s="644" t="s">
        <v>643</v>
      </c>
      <c r="K3478" s="739"/>
      <c r="L3478" s="754"/>
      <c r="M3478" s="735"/>
      <c r="N3478" s="753">
        <v>4</v>
      </c>
      <c r="O3478" s="754">
        <v>6</v>
      </c>
      <c r="P3478" s="736">
        <v>12636</v>
      </c>
      <c r="Q3478" s="214"/>
    </row>
    <row r="3479" spans="1:17" ht="12" customHeight="1" x14ac:dyDescent="0.2">
      <c r="A3479" s="735" t="s">
        <v>7733</v>
      </c>
      <c r="B3479" s="735" t="s">
        <v>2170</v>
      </c>
      <c r="C3479" s="735" t="s">
        <v>451</v>
      </c>
      <c r="D3479" s="644" t="s">
        <v>9236</v>
      </c>
      <c r="E3479" s="736">
        <v>7500</v>
      </c>
      <c r="F3479" s="737" t="s">
        <v>9237</v>
      </c>
      <c r="G3479" s="636" t="s">
        <v>9238</v>
      </c>
      <c r="H3479" s="636"/>
      <c r="I3479" s="636"/>
      <c r="J3479" s="644" t="s">
        <v>642</v>
      </c>
      <c r="K3479" s="739"/>
      <c r="L3479" s="754"/>
      <c r="M3479" s="735"/>
      <c r="N3479" s="753">
        <v>4</v>
      </c>
      <c r="O3479" s="754">
        <v>6</v>
      </c>
      <c r="P3479" s="736">
        <v>47689.8</v>
      </c>
      <c r="Q3479" s="214"/>
    </row>
    <row r="3480" spans="1:17" ht="12" customHeight="1" x14ac:dyDescent="0.2">
      <c r="A3480" s="735" t="s">
        <v>7733</v>
      </c>
      <c r="B3480" s="735" t="s">
        <v>2170</v>
      </c>
      <c r="C3480" s="735" t="s">
        <v>451</v>
      </c>
      <c r="D3480" s="644" t="s">
        <v>2261</v>
      </c>
      <c r="E3480" s="736">
        <v>1500</v>
      </c>
      <c r="F3480" s="737" t="s">
        <v>8797</v>
      </c>
      <c r="G3480" s="636" t="s">
        <v>8798</v>
      </c>
      <c r="H3480" s="636" t="s">
        <v>8799</v>
      </c>
      <c r="I3480" s="636" t="s">
        <v>7874</v>
      </c>
      <c r="J3480" s="644" t="s">
        <v>644</v>
      </c>
      <c r="K3480" s="739"/>
      <c r="L3480" s="754"/>
      <c r="M3480" s="735"/>
      <c r="N3480" s="753">
        <v>3</v>
      </c>
      <c r="O3480" s="754">
        <v>6</v>
      </c>
      <c r="P3480" s="736">
        <v>11220</v>
      </c>
      <c r="Q3480" s="214"/>
    </row>
    <row r="3481" spans="1:17" ht="12" customHeight="1" x14ac:dyDescent="0.2">
      <c r="A3481" s="735" t="s">
        <v>7733</v>
      </c>
      <c r="B3481" s="735" t="s">
        <v>2170</v>
      </c>
      <c r="C3481" s="735" t="s">
        <v>451</v>
      </c>
      <c r="D3481" s="644" t="s">
        <v>7946</v>
      </c>
      <c r="E3481" s="736">
        <v>4000</v>
      </c>
      <c r="F3481" s="737" t="s">
        <v>8205</v>
      </c>
      <c r="G3481" s="636" t="s">
        <v>8206</v>
      </c>
      <c r="H3481" s="636"/>
      <c r="I3481" s="636"/>
      <c r="J3481" s="644" t="s">
        <v>642</v>
      </c>
      <c r="K3481" s="739"/>
      <c r="L3481" s="754"/>
      <c r="M3481" s="735"/>
      <c r="N3481" s="753">
        <v>4</v>
      </c>
      <c r="O3481" s="754">
        <v>6</v>
      </c>
      <c r="P3481" s="736">
        <v>26689.8</v>
      </c>
      <c r="Q3481" s="214"/>
    </row>
    <row r="3482" spans="1:17" ht="12" customHeight="1" x14ac:dyDescent="0.2">
      <c r="A3482" s="735" t="s">
        <v>7733</v>
      </c>
      <c r="B3482" s="735" t="s">
        <v>2170</v>
      </c>
      <c r="C3482" s="735" t="s">
        <v>451</v>
      </c>
      <c r="D3482" s="644" t="s">
        <v>9251</v>
      </c>
      <c r="E3482" s="736">
        <v>5000</v>
      </c>
      <c r="F3482" s="737" t="s">
        <v>9252</v>
      </c>
      <c r="G3482" s="636" t="s">
        <v>9253</v>
      </c>
      <c r="H3482" s="636" t="s">
        <v>8000</v>
      </c>
      <c r="I3482" s="636" t="s">
        <v>2478</v>
      </c>
      <c r="J3482" s="644" t="s">
        <v>642</v>
      </c>
      <c r="K3482" s="739"/>
      <c r="L3482" s="754"/>
      <c r="M3482" s="735"/>
      <c r="N3482" s="753">
        <v>4</v>
      </c>
      <c r="O3482" s="754">
        <v>6</v>
      </c>
      <c r="P3482" s="736">
        <v>32689.8</v>
      </c>
      <c r="Q3482" s="214"/>
    </row>
    <row r="3483" spans="1:17" ht="12" customHeight="1" x14ac:dyDescent="0.2">
      <c r="A3483" s="735" t="s">
        <v>7733</v>
      </c>
      <c r="B3483" s="735" t="s">
        <v>2170</v>
      </c>
      <c r="C3483" s="735" t="s">
        <v>451</v>
      </c>
      <c r="D3483" s="644" t="s">
        <v>9594</v>
      </c>
      <c r="E3483" s="736">
        <v>4500</v>
      </c>
      <c r="F3483" s="737" t="s">
        <v>9595</v>
      </c>
      <c r="G3483" s="636" t="s">
        <v>9596</v>
      </c>
      <c r="H3483" s="636" t="s">
        <v>7782</v>
      </c>
      <c r="I3483" s="636" t="s">
        <v>2208</v>
      </c>
      <c r="J3483" s="644" t="s">
        <v>642</v>
      </c>
      <c r="K3483" s="739"/>
      <c r="L3483" s="754"/>
      <c r="M3483" s="735"/>
      <c r="N3483" s="753">
        <v>6</v>
      </c>
      <c r="O3483" s="754">
        <v>6</v>
      </c>
      <c r="P3483" s="736">
        <v>29689.8</v>
      </c>
      <c r="Q3483" s="214"/>
    </row>
    <row r="3484" spans="1:17" ht="12" customHeight="1" x14ac:dyDescent="0.2">
      <c r="A3484" s="735" t="s">
        <v>7733</v>
      </c>
      <c r="B3484" s="735" t="s">
        <v>2170</v>
      </c>
      <c r="C3484" s="735" t="s">
        <v>451</v>
      </c>
      <c r="D3484" s="644" t="s">
        <v>9961</v>
      </c>
      <c r="E3484" s="736">
        <v>5000</v>
      </c>
      <c r="F3484" s="737" t="s">
        <v>9962</v>
      </c>
      <c r="G3484" s="636" t="s">
        <v>9963</v>
      </c>
      <c r="H3484" s="636" t="s">
        <v>3754</v>
      </c>
      <c r="I3484" s="636" t="s">
        <v>2979</v>
      </c>
      <c r="J3484" s="644" t="s">
        <v>642</v>
      </c>
      <c r="K3484" s="739"/>
      <c r="L3484" s="754"/>
      <c r="M3484" s="735"/>
      <c r="N3484" s="753">
        <v>4</v>
      </c>
      <c r="O3484" s="754">
        <v>6</v>
      </c>
      <c r="P3484" s="736">
        <v>32689.8</v>
      </c>
      <c r="Q3484" s="214"/>
    </row>
    <row r="3485" spans="1:17" ht="12" customHeight="1" x14ac:dyDescent="0.2">
      <c r="A3485" s="735" t="s">
        <v>7733</v>
      </c>
      <c r="B3485" s="735" t="s">
        <v>2170</v>
      </c>
      <c r="C3485" s="735" t="s">
        <v>451</v>
      </c>
      <c r="D3485" s="644" t="s">
        <v>8158</v>
      </c>
      <c r="E3485" s="736">
        <v>1800</v>
      </c>
      <c r="F3485" s="737" t="s">
        <v>8724</v>
      </c>
      <c r="G3485" s="636" t="s">
        <v>8725</v>
      </c>
      <c r="H3485" s="636" t="s">
        <v>10194</v>
      </c>
      <c r="I3485" s="636"/>
      <c r="J3485" s="644" t="s">
        <v>643</v>
      </c>
      <c r="K3485" s="739"/>
      <c r="L3485" s="754"/>
      <c r="M3485" s="735"/>
      <c r="N3485" s="753">
        <v>4</v>
      </c>
      <c r="O3485" s="754">
        <v>6</v>
      </c>
      <c r="P3485" s="736">
        <v>13344</v>
      </c>
      <c r="Q3485" s="214"/>
    </row>
    <row r="3486" spans="1:17" ht="12" customHeight="1" x14ac:dyDescent="0.2">
      <c r="A3486" s="735" t="s">
        <v>7733</v>
      </c>
      <c r="B3486" s="735" t="s">
        <v>2170</v>
      </c>
      <c r="C3486" s="735" t="s">
        <v>451</v>
      </c>
      <c r="D3486" s="644" t="s">
        <v>10004</v>
      </c>
      <c r="E3486" s="736">
        <v>6000</v>
      </c>
      <c r="F3486" s="737" t="s">
        <v>10005</v>
      </c>
      <c r="G3486" s="636" t="s">
        <v>10006</v>
      </c>
      <c r="H3486" s="636" t="s">
        <v>6571</v>
      </c>
      <c r="I3486" s="636" t="s">
        <v>2179</v>
      </c>
      <c r="J3486" s="644" t="s">
        <v>642</v>
      </c>
      <c r="K3486" s="739"/>
      <c r="L3486" s="754"/>
      <c r="M3486" s="735"/>
      <c r="N3486" s="753">
        <v>4</v>
      </c>
      <c r="O3486" s="754">
        <v>6</v>
      </c>
      <c r="P3486" s="736">
        <v>38689.800000000003</v>
      </c>
      <c r="Q3486" s="214"/>
    </row>
    <row r="3487" spans="1:17" ht="12" customHeight="1" x14ac:dyDescent="0.2">
      <c r="A3487" s="735" t="s">
        <v>7733</v>
      </c>
      <c r="B3487" s="735" t="s">
        <v>2170</v>
      </c>
      <c r="C3487" s="735" t="s">
        <v>451</v>
      </c>
      <c r="D3487" s="644" t="s">
        <v>2261</v>
      </c>
      <c r="E3487" s="736">
        <v>1700</v>
      </c>
      <c r="F3487" s="737" t="s">
        <v>8712</v>
      </c>
      <c r="G3487" s="636" t="s">
        <v>8713</v>
      </c>
      <c r="H3487" s="636" t="s">
        <v>8714</v>
      </c>
      <c r="I3487" s="636" t="s">
        <v>2766</v>
      </c>
      <c r="J3487" s="644" t="s">
        <v>644</v>
      </c>
      <c r="K3487" s="739"/>
      <c r="L3487" s="754"/>
      <c r="M3487" s="735"/>
      <c r="N3487" s="753">
        <v>6</v>
      </c>
      <c r="O3487" s="754">
        <v>6</v>
      </c>
      <c r="P3487" s="736">
        <v>12636</v>
      </c>
      <c r="Q3487" s="214"/>
    </row>
    <row r="3488" spans="1:17" ht="12" customHeight="1" x14ac:dyDescent="0.2">
      <c r="A3488" s="735" t="s">
        <v>7733</v>
      </c>
      <c r="B3488" s="735" t="s">
        <v>2170</v>
      </c>
      <c r="C3488" s="735" t="s">
        <v>451</v>
      </c>
      <c r="D3488" s="644" t="s">
        <v>8155</v>
      </c>
      <c r="E3488" s="736">
        <v>6500</v>
      </c>
      <c r="F3488" s="737" t="s">
        <v>10145</v>
      </c>
      <c r="G3488" s="636" t="s">
        <v>10146</v>
      </c>
      <c r="H3488" s="636" t="s">
        <v>7260</v>
      </c>
      <c r="I3488" s="636" t="s">
        <v>10147</v>
      </c>
      <c r="J3488" s="644" t="s">
        <v>642</v>
      </c>
      <c r="K3488" s="739"/>
      <c r="L3488" s="754"/>
      <c r="M3488" s="735"/>
      <c r="N3488" s="753">
        <v>4</v>
      </c>
      <c r="O3488" s="754">
        <v>6</v>
      </c>
      <c r="P3488" s="736">
        <v>41689.800000000003</v>
      </c>
      <c r="Q3488" s="214"/>
    </row>
    <row r="3489" spans="1:17" ht="12" customHeight="1" x14ac:dyDescent="0.2">
      <c r="A3489" s="735" t="s">
        <v>7733</v>
      </c>
      <c r="B3489" s="735" t="s">
        <v>2170</v>
      </c>
      <c r="C3489" s="735" t="s">
        <v>451</v>
      </c>
      <c r="D3489" s="644" t="s">
        <v>9844</v>
      </c>
      <c r="E3489" s="736">
        <v>6000</v>
      </c>
      <c r="F3489" s="737" t="s">
        <v>9845</v>
      </c>
      <c r="G3489" s="636" t="s">
        <v>9846</v>
      </c>
      <c r="H3489" s="636" t="s">
        <v>6571</v>
      </c>
      <c r="I3489" s="636" t="s">
        <v>2179</v>
      </c>
      <c r="J3489" s="644" t="s">
        <v>642</v>
      </c>
      <c r="K3489" s="739"/>
      <c r="L3489" s="754"/>
      <c r="M3489" s="735"/>
      <c r="N3489" s="753">
        <v>4</v>
      </c>
      <c r="O3489" s="754">
        <v>6</v>
      </c>
      <c r="P3489" s="736">
        <v>38689.800000000003</v>
      </c>
      <c r="Q3489" s="214"/>
    </row>
    <row r="3490" spans="1:17" ht="12" customHeight="1" x14ac:dyDescent="0.2">
      <c r="A3490" s="735" t="s">
        <v>7733</v>
      </c>
      <c r="B3490" s="735" t="s">
        <v>2170</v>
      </c>
      <c r="C3490" s="735" t="s">
        <v>451</v>
      </c>
      <c r="D3490" s="644" t="s">
        <v>7800</v>
      </c>
      <c r="E3490" s="736">
        <v>4000</v>
      </c>
      <c r="F3490" s="737" t="s">
        <v>8326</v>
      </c>
      <c r="G3490" s="636" t="s">
        <v>8327</v>
      </c>
      <c r="H3490" s="636" t="s">
        <v>6536</v>
      </c>
      <c r="I3490" s="636"/>
      <c r="J3490" s="644" t="s">
        <v>642</v>
      </c>
      <c r="K3490" s="739"/>
      <c r="L3490" s="754"/>
      <c r="M3490" s="735"/>
      <c r="N3490" s="753">
        <v>4</v>
      </c>
      <c r="O3490" s="754">
        <v>6</v>
      </c>
      <c r="P3490" s="736">
        <v>26689.8</v>
      </c>
      <c r="Q3490" s="214"/>
    </row>
    <row r="3491" spans="1:17" ht="12" customHeight="1" x14ac:dyDescent="0.2">
      <c r="A3491" s="735" t="s">
        <v>7733</v>
      </c>
      <c r="B3491" s="735" t="s">
        <v>2170</v>
      </c>
      <c r="C3491" s="735" t="s">
        <v>451</v>
      </c>
      <c r="D3491" s="644" t="s">
        <v>5832</v>
      </c>
      <c r="E3491" s="736">
        <v>3800</v>
      </c>
      <c r="F3491" s="737" t="s">
        <v>8902</v>
      </c>
      <c r="G3491" s="636" t="s">
        <v>8903</v>
      </c>
      <c r="H3491" s="636" t="s">
        <v>3522</v>
      </c>
      <c r="I3491" s="636" t="s">
        <v>2346</v>
      </c>
      <c r="J3491" s="644" t="s">
        <v>643</v>
      </c>
      <c r="K3491" s="739"/>
      <c r="L3491" s="754"/>
      <c r="M3491" s="735"/>
      <c r="N3491" s="753">
        <v>4</v>
      </c>
      <c r="O3491" s="754">
        <v>6</v>
      </c>
      <c r="P3491" s="736">
        <v>25489.8</v>
      </c>
      <c r="Q3491" s="214"/>
    </row>
    <row r="3492" spans="1:17" ht="12" customHeight="1" x14ac:dyDescent="0.2">
      <c r="A3492" s="735" t="s">
        <v>7733</v>
      </c>
      <c r="B3492" s="735" t="s">
        <v>2170</v>
      </c>
      <c r="C3492" s="735" t="s">
        <v>451</v>
      </c>
      <c r="D3492" s="644" t="s">
        <v>3022</v>
      </c>
      <c r="E3492" s="736">
        <v>4500</v>
      </c>
      <c r="F3492" s="737" t="s">
        <v>8916</v>
      </c>
      <c r="G3492" s="636" t="s">
        <v>8917</v>
      </c>
      <c r="H3492" s="636"/>
      <c r="I3492" s="636"/>
      <c r="J3492" s="644" t="s">
        <v>642</v>
      </c>
      <c r="K3492" s="739"/>
      <c r="L3492" s="754"/>
      <c r="M3492" s="735"/>
      <c r="N3492" s="753">
        <v>4</v>
      </c>
      <c r="O3492" s="754">
        <v>6</v>
      </c>
      <c r="P3492" s="736">
        <v>29689.8</v>
      </c>
      <c r="Q3492" s="214"/>
    </row>
    <row r="3493" spans="1:17" ht="12" customHeight="1" x14ac:dyDescent="0.2">
      <c r="A3493" s="735" t="s">
        <v>7733</v>
      </c>
      <c r="B3493" s="735" t="s">
        <v>2170</v>
      </c>
      <c r="C3493" s="735" t="s">
        <v>451</v>
      </c>
      <c r="D3493" s="644" t="s">
        <v>8102</v>
      </c>
      <c r="E3493" s="736">
        <v>3000</v>
      </c>
      <c r="F3493" s="737" t="s">
        <v>8103</v>
      </c>
      <c r="G3493" s="636" t="s">
        <v>8104</v>
      </c>
      <c r="H3493" s="636" t="s">
        <v>8105</v>
      </c>
      <c r="I3493" s="636" t="s">
        <v>8105</v>
      </c>
      <c r="J3493" s="644" t="s">
        <v>643</v>
      </c>
      <c r="K3493" s="739"/>
      <c r="L3493" s="754"/>
      <c r="M3493" s="735"/>
      <c r="N3493" s="753">
        <v>4</v>
      </c>
      <c r="O3493" s="754">
        <v>6</v>
      </c>
      <c r="P3493" s="736">
        <v>20689.8</v>
      </c>
      <c r="Q3493" s="214"/>
    </row>
    <row r="3494" spans="1:17" ht="12" customHeight="1" x14ac:dyDescent="0.2">
      <c r="A3494" s="735" t="s">
        <v>7733</v>
      </c>
      <c r="B3494" s="735" t="s">
        <v>2170</v>
      </c>
      <c r="C3494" s="735" t="s">
        <v>451</v>
      </c>
      <c r="D3494" s="644" t="s">
        <v>9813</v>
      </c>
      <c r="E3494" s="736">
        <v>5000</v>
      </c>
      <c r="F3494" s="737" t="s">
        <v>9814</v>
      </c>
      <c r="G3494" s="636" t="s">
        <v>9815</v>
      </c>
      <c r="H3494" s="636" t="s">
        <v>8067</v>
      </c>
      <c r="I3494" s="636" t="s">
        <v>9816</v>
      </c>
      <c r="J3494" s="644" t="s">
        <v>643</v>
      </c>
      <c r="K3494" s="739"/>
      <c r="L3494" s="754"/>
      <c r="M3494" s="735"/>
      <c r="N3494" s="753">
        <v>4</v>
      </c>
      <c r="O3494" s="754">
        <v>6</v>
      </c>
      <c r="P3494" s="736">
        <v>32689.8</v>
      </c>
      <c r="Q3494" s="214"/>
    </row>
    <row r="3495" spans="1:17" ht="12" customHeight="1" x14ac:dyDescent="0.2">
      <c r="A3495" s="735" t="s">
        <v>7733</v>
      </c>
      <c r="B3495" s="735" t="s">
        <v>2170</v>
      </c>
      <c r="C3495" s="735" t="s">
        <v>451</v>
      </c>
      <c r="D3495" s="644" t="s">
        <v>7746</v>
      </c>
      <c r="E3495" s="736">
        <v>1700</v>
      </c>
      <c r="F3495" s="737" t="s">
        <v>7767</v>
      </c>
      <c r="G3495" s="636" t="s">
        <v>7768</v>
      </c>
      <c r="H3495" s="636" t="s">
        <v>10194</v>
      </c>
      <c r="I3495" s="636"/>
      <c r="J3495" s="644" t="s">
        <v>643</v>
      </c>
      <c r="K3495" s="739"/>
      <c r="L3495" s="754"/>
      <c r="M3495" s="735"/>
      <c r="N3495" s="753">
        <v>4</v>
      </c>
      <c r="O3495" s="754">
        <v>6</v>
      </c>
      <c r="P3495" s="736">
        <v>12636</v>
      </c>
      <c r="Q3495" s="214"/>
    </row>
    <row r="3496" spans="1:17" ht="12" customHeight="1" x14ac:dyDescent="0.2">
      <c r="A3496" s="735" t="s">
        <v>7733</v>
      </c>
      <c r="B3496" s="735" t="s">
        <v>2170</v>
      </c>
      <c r="C3496" s="735" t="s">
        <v>451</v>
      </c>
      <c r="D3496" s="644" t="s">
        <v>8268</v>
      </c>
      <c r="E3496" s="736">
        <v>2200</v>
      </c>
      <c r="F3496" s="737" t="s">
        <v>10017</v>
      </c>
      <c r="G3496" s="636" t="s">
        <v>10018</v>
      </c>
      <c r="H3496" s="636" t="s">
        <v>8354</v>
      </c>
      <c r="I3496" s="636" t="s">
        <v>3057</v>
      </c>
      <c r="J3496" s="644" t="s">
        <v>642</v>
      </c>
      <c r="K3496" s="739"/>
      <c r="L3496" s="754"/>
      <c r="M3496" s="735"/>
      <c r="N3496" s="753">
        <v>4</v>
      </c>
      <c r="O3496" s="754">
        <v>6</v>
      </c>
      <c r="P3496" s="736">
        <v>15889.8</v>
      </c>
      <c r="Q3496" s="214"/>
    </row>
    <row r="3497" spans="1:17" ht="12" customHeight="1" x14ac:dyDescent="0.2">
      <c r="A3497" s="735" t="s">
        <v>7733</v>
      </c>
      <c r="B3497" s="735" t="s">
        <v>2170</v>
      </c>
      <c r="C3497" s="735" t="s">
        <v>451</v>
      </c>
      <c r="D3497" s="644" t="s">
        <v>7855</v>
      </c>
      <c r="E3497" s="736">
        <v>2200</v>
      </c>
      <c r="F3497" s="737" t="s">
        <v>9741</v>
      </c>
      <c r="G3497" s="636" t="s">
        <v>9742</v>
      </c>
      <c r="H3497" s="636" t="s">
        <v>8536</v>
      </c>
      <c r="I3497" s="636" t="s">
        <v>9743</v>
      </c>
      <c r="J3497" s="644" t="s">
        <v>644</v>
      </c>
      <c r="K3497" s="739"/>
      <c r="L3497" s="754"/>
      <c r="M3497" s="735"/>
      <c r="N3497" s="753">
        <v>4</v>
      </c>
      <c r="O3497" s="754">
        <v>6</v>
      </c>
      <c r="P3497" s="736">
        <v>15889.8</v>
      </c>
      <c r="Q3497" s="214"/>
    </row>
    <row r="3498" spans="1:17" ht="12" customHeight="1" x14ac:dyDescent="0.2">
      <c r="A3498" s="735" t="s">
        <v>7733</v>
      </c>
      <c r="B3498" s="735" t="s">
        <v>2170</v>
      </c>
      <c r="C3498" s="735" t="s">
        <v>451</v>
      </c>
      <c r="D3498" s="644" t="s">
        <v>8268</v>
      </c>
      <c r="E3498" s="736">
        <v>2200</v>
      </c>
      <c r="F3498" s="737" t="s">
        <v>9977</v>
      </c>
      <c r="G3498" s="636" t="s">
        <v>9978</v>
      </c>
      <c r="H3498" s="636"/>
      <c r="I3498" s="636"/>
      <c r="J3498" s="644" t="s">
        <v>644</v>
      </c>
      <c r="K3498" s="739"/>
      <c r="L3498" s="754"/>
      <c r="M3498" s="735"/>
      <c r="N3498" s="753">
        <v>6</v>
      </c>
      <c r="O3498" s="754">
        <v>6</v>
      </c>
      <c r="P3498" s="736">
        <v>15889.8</v>
      </c>
      <c r="Q3498" s="214"/>
    </row>
    <row r="3499" spans="1:17" ht="12" customHeight="1" x14ac:dyDescent="0.2">
      <c r="A3499" s="735" t="s">
        <v>7733</v>
      </c>
      <c r="B3499" s="735" t="s">
        <v>2170</v>
      </c>
      <c r="C3499" s="735" t="s">
        <v>451</v>
      </c>
      <c r="D3499" s="644" t="s">
        <v>8045</v>
      </c>
      <c r="E3499" s="736">
        <v>2200</v>
      </c>
      <c r="F3499" s="737" t="s">
        <v>9097</v>
      </c>
      <c r="G3499" s="636" t="s">
        <v>9098</v>
      </c>
      <c r="H3499" s="636"/>
      <c r="I3499" s="636"/>
      <c r="J3499" s="644" t="s">
        <v>7991</v>
      </c>
      <c r="K3499" s="739"/>
      <c r="L3499" s="754"/>
      <c r="M3499" s="735"/>
      <c r="N3499" s="753">
        <v>4</v>
      </c>
      <c r="O3499" s="754">
        <v>6</v>
      </c>
      <c r="P3499" s="736">
        <v>15889.8</v>
      </c>
      <c r="Q3499" s="214"/>
    </row>
    <row r="3500" spans="1:17" ht="12" customHeight="1" x14ac:dyDescent="0.2">
      <c r="A3500" s="735" t="s">
        <v>7733</v>
      </c>
      <c r="B3500" s="735" t="s">
        <v>2170</v>
      </c>
      <c r="C3500" s="735" t="s">
        <v>451</v>
      </c>
      <c r="D3500" s="644" t="s">
        <v>8032</v>
      </c>
      <c r="E3500" s="736">
        <v>1800</v>
      </c>
      <c r="F3500" s="737" t="s">
        <v>8033</v>
      </c>
      <c r="G3500" s="636" t="s">
        <v>8034</v>
      </c>
      <c r="H3500" s="636" t="s">
        <v>8035</v>
      </c>
      <c r="I3500" s="636" t="s">
        <v>8036</v>
      </c>
      <c r="J3500" s="644" t="s">
        <v>643</v>
      </c>
      <c r="K3500" s="739"/>
      <c r="L3500" s="754"/>
      <c r="M3500" s="735"/>
      <c r="N3500" s="753">
        <v>4</v>
      </c>
      <c r="O3500" s="754">
        <v>6</v>
      </c>
      <c r="P3500" s="736">
        <v>13344</v>
      </c>
      <c r="Q3500" s="214"/>
    </row>
    <row r="3501" spans="1:17" ht="12" customHeight="1" x14ac:dyDescent="0.2">
      <c r="A3501" s="735" t="s">
        <v>7733</v>
      </c>
      <c r="B3501" s="735" t="s">
        <v>2170</v>
      </c>
      <c r="C3501" s="735" t="s">
        <v>451</v>
      </c>
      <c r="D3501" s="644" t="s">
        <v>3057</v>
      </c>
      <c r="E3501" s="736">
        <v>2250</v>
      </c>
      <c r="F3501" s="737" t="s">
        <v>9806</v>
      </c>
      <c r="G3501" s="636" t="s">
        <v>9807</v>
      </c>
      <c r="H3501" s="636" t="s">
        <v>9808</v>
      </c>
      <c r="I3501" s="636" t="s">
        <v>3057</v>
      </c>
      <c r="J3501" s="644" t="s">
        <v>642</v>
      </c>
      <c r="K3501" s="739"/>
      <c r="L3501" s="754"/>
      <c r="M3501" s="735"/>
      <c r="N3501" s="753">
        <v>4</v>
      </c>
      <c r="O3501" s="754">
        <v>6</v>
      </c>
      <c r="P3501" s="736">
        <v>16189.8</v>
      </c>
      <c r="Q3501" s="214"/>
    </row>
    <row r="3502" spans="1:17" ht="12" customHeight="1" x14ac:dyDescent="0.2">
      <c r="A3502" s="735" t="s">
        <v>7733</v>
      </c>
      <c r="B3502" s="735" t="s">
        <v>2170</v>
      </c>
      <c r="C3502" s="735" t="s">
        <v>451</v>
      </c>
      <c r="D3502" s="644" t="s">
        <v>7843</v>
      </c>
      <c r="E3502" s="736">
        <v>4000</v>
      </c>
      <c r="F3502" s="737" t="s">
        <v>9099</v>
      </c>
      <c r="G3502" s="636" t="s">
        <v>9100</v>
      </c>
      <c r="H3502" s="636" t="s">
        <v>6571</v>
      </c>
      <c r="I3502" s="636" t="s">
        <v>2179</v>
      </c>
      <c r="J3502" s="644" t="s">
        <v>642</v>
      </c>
      <c r="K3502" s="739"/>
      <c r="L3502" s="754"/>
      <c r="M3502" s="735"/>
      <c r="N3502" s="753">
        <v>4</v>
      </c>
      <c r="O3502" s="754">
        <v>6</v>
      </c>
      <c r="P3502" s="736">
        <v>26689.8</v>
      </c>
      <c r="Q3502" s="214"/>
    </row>
    <row r="3503" spans="1:17" ht="12" customHeight="1" x14ac:dyDescent="0.2">
      <c r="A3503" s="735" t="s">
        <v>7733</v>
      </c>
      <c r="B3503" s="735" t="s">
        <v>2170</v>
      </c>
      <c r="C3503" s="735" t="s">
        <v>451</v>
      </c>
      <c r="D3503" s="644" t="s">
        <v>8078</v>
      </c>
      <c r="E3503" s="736">
        <v>2500</v>
      </c>
      <c r="F3503" s="737" t="s">
        <v>9332</v>
      </c>
      <c r="G3503" s="636" t="s">
        <v>9333</v>
      </c>
      <c r="H3503" s="636" t="s">
        <v>3754</v>
      </c>
      <c r="I3503" s="636" t="s">
        <v>3760</v>
      </c>
      <c r="J3503" s="644" t="s">
        <v>643</v>
      </c>
      <c r="K3503" s="739"/>
      <c r="L3503" s="754"/>
      <c r="M3503" s="735"/>
      <c r="N3503" s="753">
        <v>4</v>
      </c>
      <c r="O3503" s="754">
        <v>6</v>
      </c>
      <c r="P3503" s="736">
        <v>17689.8</v>
      </c>
      <c r="Q3503" s="214"/>
    </row>
    <row r="3504" spans="1:17" ht="12" customHeight="1" x14ac:dyDescent="0.2">
      <c r="A3504" s="735" t="s">
        <v>7733</v>
      </c>
      <c r="B3504" s="735" t="s">
        <v>2170</v>
      </c>
      <c r="C3504" s="735" t="s">
        <v>451</v>
      </c>
      <c r="D3504" s="644" t="s">
        <v>9990</v>
      </c>
      <c r="E3504" s="736">
        <v>2000</v>
      </c>
      <c r="F3504" s="737" t="s">
        <v>9991</v>
      </c>
      <c r="G3504" s="636" t="s">
        <v>9992</v>
      </c>
      <c r="H3504" s="636" t="s">
        <v>8135</v>
      </c>
      <c r="I3504" s="636" t="s">
        <v>8036</v>
      </c>
      <c r="J3504" s="644" t="s">
        <v>644</v>
      </c>
      <c r="K3504" s="739"/>
      <c r="L3504" s="754"/>
      <c r="M3504" s="735"/>
      <c r="N3504" s="753">
        <v>4</v>
      </c>
      <c r="O3504" s="754">
        <v>6</v>
      </c>
      <c r="P3504" s="736">
        <v>14689.8</v>
      </c>
      <c r="Q3504" s="214"/>
    </row>
    <row r="3505" spans="1:17" ht="12" customHeight="1" x14ac:dyDescent="0.2">
      <c r="A3505" s="735" t="s">
        <v>7733</v>
      </c>
      <c r="B3505" s="735" t="s">
        <v>2170</v>
      </c>
      <c r="C3505" s="735" t="s">
        <v>451</v>
      </c>
      <c r="D3505" s="644" t="s">
        <v>10239</v>
      </c>
      <c r="E3505" s="736">
        <v>7000</v>
      </c>
      <c r="F3505" s="737" t="s">
        <v>9381</v>
      </c>
      <c r="G3505" s="636" t="s">
        <v>9382</v>
      </c>
      <c r="H3505" s="636" t="s">
        <v>6633</v>
      </c>
      <c r="I3505" s="636" t="s">
        <v>2189</v>
      </c>
      <c r="J3505" s="644" t="s">
        <v>642</v>
      </c>
      <c r="K3505" s="739"/>
      <c r="L3505" s="754"/>
      <c r="M3505" s="735"/>
      <c r="N3505" s="753">
        <v>4</v>
      </c>
      <c r="O3505" s="754">
        <v>6</v>
      </c>
      <c r="P3505" s="736">
        <v>44689.8</v>
      </c>
      <c r="Q3505" s="214"/>
    </row>
    <row r="3506" spans="1:17" ht="12" customHeight="1" x14ac:dyDescent="0.2">
      <c r="A3506" s="735" t="s">
        <v>7733</v>
      </c>
      <c r="B3506" s="735" t="s">
        <v>2170</v>
      </c>
      <c r="C3506" s="735" t="s">
        <v>451</v>
      </c>
      <c r="D3506" s="644" t="s">
        <v>7746</v>
      </c>
      <c r="E3506" s="736">
        <v>1700</v>
      </c>
      <c r="F3506" s="737" t="s">
        <v>9537</v>
      </c>
      <c r="G3506" s="636" t="s">
        <v>9538</v>
      </c>
      <c r="H3506" s="636" t="s">
        <v>10238</v>
      </c>
      <c r="I3506" s="636"/>
      <c r="J3506" s="644" t="s">
        <v>643</v>
      </c>
      <c r="K3506" s="739"/>
      <c r="L3506" s="754"/>
      <c r="M3506" s="735"/>
      <c r="N3506" s="753">
        <v>4</v>
      </c>
      <c r="O3506" s="754">
        <v>6</v>
      </c>
      <c r="P3506" s="736">
        <v>12636</v>
      </c>
      <c r="Q3506" s="214"/>
    </row>
    <row r="3507" spans="1:17" ht="12" customHeight="1" x14ac:dyDescent="0.2">
      <c r="A3507" s="735" t="s">
        <v>7733</v>
      </c>
      <c r="B3507" s="735" t="s">
        <v>2170</v>
      </c>
      <c r="C3507" s="735" t="s">
        <v>451</v>
      </c>
      <c r="D3507" s="644" t="s">
        <v>7746</v>
      </c>
      <c r="E3507" s="736">
        <v>1700</v>
      </c>
      <c r="F3507" s="737" t="s">
        <v>9926</v>
      </c>
      <c r="G3507" s="636" t="s">
        <v>9927</v>
      </c>
      <c r="H3507" s="636" t="s">
        <v>9928</v>
      </c>
      <c r="I3507" s="636" t="s">
        <v>9928</v>
      </c>
      <c r="J3507" s="644" t="s">
        <v>643</v>
      </c>
      <c r="K3507" s="739"/>
      <c r="L3507" s="754"/>
      <c r="M3507" s="735"/>
      <c r="N3507" s="753">
        <v>4</v>
      </c>
      <c r="O3507" s="754">
        <v>6</v>
      </c>
      <c r="P3507" s="736">
        <v>12636</v>
      </c>
      <c r="Q3507" s="214"/>
    </row>
    <row r="3508" spans="1:17" ht="12" customHeight="1" x14ac:dyDescent="0.2">
      <c r="A3508" s="735" t="s">
        <v>7733</v>
      </c>
      <c r="B3508" s="735" t="s">
        <v>2170</v>
      </c>
      <c r="C3508" s="735" t="s">
        <v>451</v>
      </c>
      <c r="D3508" s="644" t="s">
        <v>8041</v>
      </c>
      <c r="E3508" s="736">
        <v>2000</v>
      </c>
      <c r="F3508" s="737" t="s">
        <v>8070</v>
      </c>
      <c r="G3508" s="636" t="s">
        <v>8071</v>
      </c>
      <c r="H3508" s="636"/>
      <c r="I3508" s="636"/>
      <c r="J3508" s="644" t="s">
        <v>644</v>
      </c>
      <c r="K3508" s="739"/>
      <c r="L3508" s="754"/>
      <c r="M3508" s="735"/>
      <c r="N3508" s="753">
        <v>5</v>
      </c>
      <c r="O3508" s="754">
        <v>6</v>
      </c>
      <c r="P3508" s="736">
        <v>14689.8</v>
      </c>
      <c r="Q3508" s="214"/>
    </row>
    <row r="3509" spans="1:17" ht="12" customHeight="1" x14ac:dyDescent="0.2">
      <c r="A3509" s="735" t="s">
        <v>7733</v>
      </c>
      <c r="B3509" s="735" t="s">
        <v>2170</v>
      </c>
      <c r="C3509" s="735" t="s">
        <v>451</v>
      </c>
      <c r="D3509" s="644" t="s">
        <v>8401</v>
      </c>
      <c r="E3509" s="736">
        <v>5000</v>
      </c>
      <c r="F3509" s="737" t="s">
        <v>8402</v>
      </c>
      <c r="G3509" s="636" t="s">
        <v>8403</v>
      </c>
      <c r="H3509" s="636" t="s">
        <v>7782</v>
      </c>
      <c r="I3509" s="636" t="s">
        <v>2208</v>
      </c>
      <c r="J3509" s="644" t="s">
        <v>642</v>
      </c>
      <c r="K3509" s="739"/>
      <c r="L3509" s="754"/>
      <c r="M3509" s="735"/>
      <c r="N3509" s="753">
        <v>6</v>
      </c>
      <c r="O3509" s="754">
        <v>6</v>
      </c>
      <c r="P3509" s="736">
        <v>32689.8</v>
      </c>
      <c r="Q3509" s="214"/>
    </row>
    <row r="3510" spans="1:17" ht="12" customHeight="1" x14ac:dyDescent="0.2">
      <c r="A3510" s="735" t="s">
        <v>7733</v>
      </c>
      <c r="B3510" s="735" t="s">
        <v>2170</v>
      </c>
      <c r="C3510" s="735" t="s">
        <v>451</v>
      </c>
      <c r="D3510" s="644" t="s">
        <v>2788</v>
      </c>
      <c r="E3510" s="736">
        <v>1600</v>
      </c>
      <c r="F3510" s="737" t="s">
        <v>10148</v>
      </c>
      <c r="G3510" s="636" t="s">
        <v>10149</v>
      </c>
      <c r="H3510" s="636" t="s">
        <v>7152</v>
      </c>
      <c r="I3510" s="636" t="s">
        <v>8036</v>
      </c>
      <c r="J3510" s="644" t="s">
        <v>643</v>
      </c>
      <c r="K3510" s="739"/>
      <c r="L3510" s="754"/>
      <c r="M3510" s="735"/>
      <c r="N3510" s="753">
        <v>4</v>
      </c>
      <c r="O3510" s="754">
        <v>6</v>
      </c>
      <c r="P3510" s="736">
        <v>11928</v>
      </c>
      <c r="Q3510" s="214"/>
    </row>
    <row r="3511" spans="1:17" ht="12" customHeight="1" x14ac:dyDescent="0.2">
      <c r="A3511" s="735" t="s">
        <v>7733</v>
      </c>
      <c r="B3511" s="735" t="s">
        <v>2170</v>
      </c>
      <c r="C3511" s="735" t="s">
        <v>451</v>
      </c>
      <c r="D3511" s="644" t="s">
        <v>7779</v>
      </c>
      <c r="E3511" s="736">
        <v>4000</v>
      </c>
      <c r="F3511" s="737" t="s">
        <v>7860</v>
      </c>
      <c r="G3511" s="636" t="s">
        <v>7861</v>
      </c>
      <c r="H3511" s="636" t="s">
        <v>7782</v>
      </c>
      <c r="I3511" s="636" t="s">
        <v>2208</v>
      </c>
      <c r="J3511" s="644" t="s">
        <v>642</v>
      </c>
      <c r="K3511" s="739"/>
      <c r="L3511" s="754"/>
      <c r="M3511" s="735"/>
      <c r="N3511" s="753">
        <v>4</v>
      </c>
      <c r="O3511" s="754">
        <v>6</v>
      </c>
      <c r="P3511" s="736">
        <v>26689.8</v>
      </c>
      <c r="Q3511" s="214"/>
    </row>
    <row r="3512" spans="1:17" ht="12" customHeight="1" x14ac:dyDescent="0.2">
      <c r="A3512" s="735" t="s">
        <v>7733</v>
      </c>
      <c r="B3512" s="735" t="s">
        <v>2170</v>
      </c>
      <c r="C3512" s="735" t="s">
        <v>451</v>
      </c>
      <c r="D3512" s="644" t="s">
        <v>10112</v>
      </c>
      <c r="E3512" s="736">
        <v>2200</v>
      </c>
      <c r="F3512" s="737" t="s">
        <v>10113</v>
      </c>
      <c r="G3512" s="636" t="s">
        <v>10114</v>
      </c>
      <c r="H3512" s="636" t="s">
        <v>7782</v>
      </c>
      <c r="I3512" s="636" t="s">
        <v>2208</v>
      </c>
      <c r="J3512" s="644" t="s">
        <v>642</v>
      </c>
      <c r="K3512" s="739"/>
      <c r="L3512" s="754"/>
      <c r="M3512" s="735"/>
      <c r="N3512" s="753">
        <v>4</v>
      </c>
      <c r="O3512" s="754">
        <v>6</v>
      </c>
      <c r="P3512" s="736">
        <v>15889.8</v>
      </c>
      <c r="Q3512" s="214"/>
    </row>
    <row r="3513" spans="1:17" ht="12" customHeight="1" x14ac:dyDescent="0.2">
      <c r="A3513" s="735" t="s">
        <v>7733</v>
      </c>
      <c r="B3513" s="735" t="s">
        <v>2170</v>
      </c>
      <c r="C3513" s="735" t="s">
        <v>451</v>
      </c>
      <c r="D3513" s="644" t="s">
        <v>7746</v>
      </c>
      <c r="E3513" s="736">
        <v>1700</v>
      </c>
      <c r="F3513" s="737" t="s">
        <v>8048</v>
      </c>
      <c r="G3513" s="636" t="s">
        <v>8049</v>
      </c>
      <c r="H3513" s="636" t="s">
        <v>10194</v>
      </c>
      <c r="I3513" s="636"/>
      <c r="J3513" s="644" t="s">
        <v>643</v>
      </c>
      <c r="K3513" s="739"/>
      <c r="L3513" s="754"/>
      <c r="M3513" s="735"/>
      <c r="N3513" s="753">
        <v>5</v>
      </c>
      <c r="O3513" s="754">
        <v>6</v>
      </c>
      <c r="P3513" s="736">
        <v>12636</v>
      </c>
      <c r="Q3513" s="214"/>
    </row>
    <row r="3514" spans="1:17" ht="12" customHeight="1" x14ac:dyDescent="0.2">
      <c r="A3514" s="735" t="s">
        <v>7733</v>
      </c>
      <c r="B3514" s="735" t="s">
        <v>2170</v>
      </c>
      <c r="C3514" s="735" t="s">
        <v>451</v>
      </c>
      <c r="D3514" s="644" t="s">
        <v>7977</v>
      </c>
      <c r="E3514" s="736">
        <v>4000</v>
      </c>
      <c r="F3514" s="737" t="s">
        <v>8845</v>
      </c>
      <c r="G3514" s="636" t="s">
        <v>8846</v>
      </c>
      <c r="H3514" s="636" t="s">
        <v>7782</v>
      </c>
      <c r="I3514" s="636" t="s">
        <v>2208</v>
      </c>
      <c r="J3514" s="644" t="s">
        <v>642</v>
      </c>
      <c r="K3514" s="739"/>
      <c r="L3514" s="754"/>
      <c r="M3514" s="735"/>
      <c r="N3514" s="753">
        <v>4</v>
      </c>
      <c r="O3514" s="754">
        <v>6</v>
      </c>
      <c r="P3514" s="736">
        <v>26689.8</v>
      </c>
      <c r="Q3514" s="214"/>
    </row>
    <row r="3515" spans="1:17" ht="12" customHeight="1" x14ac:dyDescent="0.2">
      <c r="A3515" s="735" t="s">
        <v>7733</v>
      </c>
      <c r="B3515" s="735" t="s">
        <v>2170</v>
      </c>
      <c r="C3515" s="735" t="s">
        <v>451</v>
      </c>
      <c r="D3515" s="644" t="s">
        <v>7921</v>
      </c>
      <c r="E3515" s="736">
        <v>4000</v>
      </c>
      <c r="F3515" s="737" t="s">
        <v>9529</v>
      </c>
      <c r="G3515" s="636" t="s">
        <v>9530</v>
      </c>
      <c r="H3515" s="636" t="s">
        <v>7152</v>
      </c>
      <c r="I3515" s="636" t="s">
        <v>7835</v>
      </c>
      <c r="J3515" s="644" t="s">
        <v>642</v>
      </c>
      <c r="K3515" s="739"/>
      <c r="L3515" s="754"/>
      <c r="M3515" s="735"/>
      <c r="N3515" s="753">
        <v>4</v>
      </c>
      <c r="O3515" s="754">
        <v>4</v>
      </c>
      <c r="P3515" s="736">
        <v>18689.8</v>
      </c>
      <c r="Q3515" s="214"/>
    </row>
    <row r="3516" spans="1:17" ht="12" customHeight="1" x14ac:dyDescent="0.2">
      <c r="A3516" s="735" t="s">
        <v>7733</v>
      </c>
      <c r="B3516" s="735" t="s">
        <v>2170</v>
      </c>
      <c r="C3516" s="735" t="s">
        <v>451</v>
      </c>
      <c r="D3516" s="644" t="s">
        <v>9402</v>
      </c>
      <c r="E3516" s="736">
        <v>2450</v>
      </c>
      <c r="F3516" s="737" t="s">
        <v>9403</v>
      </c>
      <c r="G3516" s="636" t="s">
        <v>9404</v>
      </c>
      <c r="H3516" s="636" t="s">
        <v>8354</v>
      </c>
      <c r="I3516" s="636" t="s">
        <v>3057</v>
      </c>
      <c r="J3516" s="644" t="s">
        <v>642</v>
      </c>
      <c r="K3516" s="739"/>
      <c r="L3516" s="754"/>
      <c r="M3516" s="735"/>
      <c r="N3516" s="753">
        <v>4</v>
      </c>
      <c r="O3516" s="754">
        <v>6</v>
      </c>
      <c r="P3516" s="736">
        <v>17389.8</v>
      </c>
      <c r="Q3516" s="214"/>
    </row>
    <row r="3517" spans="1:17" ht="12" customHeight="1" x14ac:dyDescent="0.2">
      <c r="A3517" s="735" t="s">
        <v>7733</v>
      </c>
      <c r="B3517" s="735" t="s">
        <v>2170</v>
      </c>
      <c r="C3517" s="735" t="s">
        <v>451</v>
      </c>
      <c r="D3517" s="644" t="s">
        <v>8078</v>
      </c>
      <c r="E3517" s="736">
        <v>2500</v>
      </c>
      <c r="F3517" s="737" t="s">
        <v>10002</v>
      </c>
      <c r="G3517" s="636" t="s">
        <v>10003</v>
      </c>
      <c r="H3517" s="636" t="s">
        <v>9094</v>
      </c>
      <c r="I3517" s="636" t="s">
        <v>8559</v>
      </c>
      <c r="J3517" s="644" t="s">
        <v>643</v>
      </c>
      <c r="K3517" s="739"/>
      <c r="L3517" s="754"/>
      <c r="M3517" s="735"/>
      <c r="N3517" s="753">
        <v>4</v>
      </c>
      <c r="O3517" s="754">
        <v>6</v>
      </c>
      <c r="P3517" s="736">
        <v>17689.8</v>
      </c>
      <c r="Q3517" s="214"/>
    </row>
    <row r="3518" spans="1:17" ht="12" customHeight="1" x14ac:dyDescent="0.2">
      <c r="A3518" s="735" t="s">
        <v>7733</v>
      </c>
      <c r="B3518" s="735" t="s">
        <v>2170</v>
      </c>
      <c r="C3518" s="735" t="s">
        <v>451</v>
      </c>
      <c r="D3518" s="644" t="s">
        <v>7901</v>
      </c>
      <c r="E3518" s="736">
        <v>2500</v>
      </c>
      <c r="F3518" s="737" t="s">
        <v>9534</v>
      </c>
      <c r="G3518" s="636" t="s">
        <v>9535</v>
      </c>
      <c r="H3518" s="636" t="s">
        <v>8089</v>
      </c>
      <c r="I3518" s="636" t="s">
        <v>9536</v>
      </c>
      <c r="J3518" s="644" t="s">
        <v>643</v>
      </c>
      <c r="K3518" s="739"/>
      <c r="L3518" s="754"/>
      <c r="M3518" s="735"/>
      <c r="N3518" s="753">
        <v>4</v>
      </c>
      <c r="O3518" s="754">
        <v>6</v>
      </c>
      <c r="P3518" s="736">
        <v>17689.8</v>
      </c>
      <c r="Q3518" s="214"/>
    </row>
    <row r="3519" spans="1:17" ht="12" customHeight="1" x14ac:dyDescent="0.2">
      <c r="A3519" s="735" t="s">
        <v>7733</v>
      </c>
      <c r="B3519" s="735" t="s">
        <v>2170</v>
      </c>
      <c r="C3519" s="735" t="s">
        <v>451</v>
      </c>
      <c r="D3519" s="644" t="s">
        <v>8172</v>
      </c>
      <c r="E3519" s="736">
        <v>3500</v>
      </c>
      <c r="F3519" s="737" t="s">
        <v>9101</v>
      </c>
      <c r="G3519" s="636" t="s">
        <v>9102</v>
      </c>
      <c r="H3519" s="636"/>
      <c r="I3519" s="636"/>
      <c r="J3519" s="644" t="s">
        <v>642</v>
      </c>
      <c r="K3519" s="739"/>
      <c r="L3519" s="754"/>
      <c r="M3519" s="735"/>
      <c r="N3519" s="753">
        <v>5</v>
      </c>
      <c r="O3519" s="754">
        <v>6</v>
      </c>
      <c r="P3519" s="736">
        <v>23689.8</v>
      </c>
      <c r="Q3519" s="214"/>
    </row>
    <row r="3520" spans="1:17" ht="12" customHeight="1" x14ac:dyDescent="0.2">
      <c r="A3520" s="735" t="s">
        <v>7733</v>
      </c>
      <c r="B3520" s="735" t="s">
        <v>2170</v>
      </c>
      <c r="C3520" s="735" t="s">
        <v>451</v>
      </c>
      <c r="D3520" s="644" t="s">
        <v>7817</v>
      </c>
      <c r="E3520" s="736">
        <v>2500</v>
      </c>
      <c r="F3520" s="737" t="s">
        <v>9302</v>
      </c>
      <c r="G3520" s="636" t="s">
        <v>9303</v>
      </c>
      <c r="H3520" s="636" t="s">
        <v>6778</v>
      </c>
      <c r="I3520" s="636" t="s">
        <v>3092</v>
      </c>
      <c r="J3520" s="644" t="s">
        <v>643</v>
      </c>
      <c r="K3520" s="739"/>
      <c r="L3520" s="754"/>
      <c r="M3520" s="735"/>
      <c r="N3520" s="753">
        <v>4</v>
      </c>
      <c r="O3520" s="754">
        <v>6</v>
      </c>
      <c r="P3520" s="736">
        <v>17689.8</v>
      </c>
      <c r="Q3520" s="214"/>
    </row>
    <row r="3521" spans="1:17" ht="12" customHeight="1" x14ac:dyDescent="0.2">
      <c r="A3521" s="735" t="s">
        <v>7733</v>
      </c>
      <c r="B3521" s="735" t="s">
        <v>2170</v>
      </c>
      <c r="C3521" s="735" t="s">
        <v>451</v>
      </c>
      <c r="D3521" s="644" t="s">
        <v>5788</v>
      </c>
      <c r="E3521" s="736">
        <v>5000</v>
      </c>
      <c r="F3521" s="737" t="s">
        <v>8650</v>
      </c>
      <c r="G3521" s="636" t="s">
        <v>8651</v>
      </c>
      <c r="H3521" s="636" t="s">
        <v>6571</v>
      </c>
      <c r="I3521" s="636" t="s">
        <v>2179</v>
      </c>
      <c r="J3521" s="644" t="s">
        <v>642</v>
      </c>
      <c r="K3521" s="739"/>
      <c r="L3521" s="754"/>
      <c r="M3521" s="735"/>
      <c r="N3521" s="753">
        <v>4</v>
      </c>
      <c r="O3521" s="754">
        <v>6</v>
      </c>
      <c r="P3521" s="736">
        <v>32689.8</v>
      </c>
      <c r="Q3521" s="214"/>
    </row>
    <row r="3522" spans="1:17" ht="12" customHeight="1" x14ac:dyDescent="0.2">
      <c r="A3522" s="735" t="s">
        <v>7733</v>
      </c>
      <c r="B3522" s="735" t="s">
        <v>2170</v>
      </c>
      <c r="C3522" s="735" t="s">
        <v>451</v>
      </c>
      <c r="D3522" s="644" t="s">
        <v>8041</v>
      </c>
      <c r="E3522" s="736">
        <v>2000</v>
      </c>
      <c r="F3522" s="737" t="s">
        <v>9514</v>
      </c>
      <c r="G3522" s="636" t="s">
        <v>9515</v>
      </c>
      <c r="H3522" s="636"/>
      <c r="I3522" s="636"/>
      <c r="J3522" s="644" t="s">
        <v>644</v>
      </c>
      <c r="K3522" s="739"/>
      <c r="L3522" s="754"/>
      <c r="M3522" s="735"/>
      <c r="N3522" s="753">
        <v>6</v>
      </c>
      <c r="O3522" s="754">
        <v>6</v>
      </c>
      <c r="P3522" s="736">
        <v>14689.8</v>
      </c>
      <c r="Q3522" s="214"/>
    </row>
    <row r="3523" spans="1:17" ht="12" customHeight="1" x14ac:dyDescent="0.2">
      <c r="A3523" s="735" t="s">
        <v>7733</v>
      </c>
      <c r="B3523" s="735" t="s">
        <v>2170</v>
      </c>
      <c r="C3523" s="735" t="s">
        <v>451</v>
      </c>
      <c r="D3523" s="644" t="s">
        <v>8045</v>
      </c>
      <c r="E3523" s="736">
        <v>2200</v>
      </c>
      <c r="F3523" s="737" t="s">
        <v>9172</v>
      </c>
      <c r="G3523" s="636" t="s">
        <v>9173</v>
      </c>
      <c r="H3523" s="636" t="s">
        <v>9174</v>
      </c>
      <c r="I3523" s="636" t="s">
        <v>9175</v>
      </c>
      <c r="J3523" s="644" t="s">
        <v>7991</v>
      </c>
      <c r="K3523" s="739"/>
      <c r="L3523" s="754"/>
      <c r="M3523" s="735"/>
      <c r="N3523" s="753">
        <v>6</v>
      </c>
      <c r="O3523" s="754">
        <v>6</v>
      </c>
      <c r="P3523" s="736">
        <v>15889.8</v>
      </c>
      <c r="Q3523" s="214"/>
    </row>
    <row r="3524" spans="1:17" ht="12" customHeight="1" x14ac:dyDescent="0.2">
      <c r="A3524" s="735" t="s">
        <v>7733</v>
      </c>
      <c r="B3524" s="735" t="s">
        <v>2170</v>
      </c>
      <c r="C3524" s="735" t="s">
        <v>451</v>
      </c>
      <c r="D3524" s="644" t="s">
        <v>9181</v>
      </c>
      <c r="E3524" s="736">
        <v>3000</v>
      </c>
      <c r="F3524" s="737" t="s">
        <v>9182</v>
      </c>
      <c r="G3524" s="636" t="s">
        <v>9183</v>
      </c>
      <c r="H3524" s="636" t="s">
        <v>6571</v>
      </c>
      <c r="I3524" s="636" t="s">
        <v>2569</v>
      </c>
      <c r="J3524" s="644" t="s">
        <v>643</v>
      </c>
      <c r="K3524" s="739"/>
      <c r="L3524" s="754"/>
      <c r="M3524" s="735"/>
      <c r="N3524" s="753">
        <v>4</v>
      </c>
      <c r="O3524" s="754">
        <v>6</v>
      </c>
      <c r="P3524" s="736">
        <v>20689.8</v>
      </c>
      <c r="Q3524" s="214"/>
    </row>
    <row r="3525" spans="1:17" ht="12" customHeight="1" x14ac:dyDescent="0.2">
      <c r="A3525" s="735" t="s">
        <v>7733</v>
      </c>
      <c r="B3525" s="735" t="s">
        <v>2170</v>
      </c>
      <c r="C3525" s="735" t="s">
        <v>451</v>
      </c>
      <c r="D3525" s="644" t="s">
        <v>7769</v>
      </c>
      <c r="E3525" s="736">
        <v>3000</v>
      </c>
      <c r="F3525" s="737" t="s">
        <v>10048</v>
      </c>
      <c r="G3525" s="636" t="s">
        <v>10049</v>
      </c>
      <c r="H3525" s="636" t="s">
        <v>7816</v>
      </c>
      <c r="I3525" s="636" t="s">
        <v>8756</v>
      </c>
      <c r="J3525" s="644" t="s">
        <v>643</v>
      </c>
      <c r="K3525" s="739"/>
      <c r="L3525" s="754"/>
      <c r="M3525" s="735"/>
      <c r="N3525" s="753">
        <v>4</v>
      </c>
      <c r="O3525" s="754">
        <v>6</v>
      </c>
      <c r="P3525" s="736">
        <v>20689.8</v>
      </c>
      <c r="Q3525" s="214"/>
    </row>
    <row r="3526" spans="1:17" ht="12" customHeight="1" x14ac:dyDescent="0.2">
      <c r="A3526" s="735" t="s">
        <v>7733</v>
      </c>
      <c r="B3526" s="735" t="s">
        <v>2170</v>
      </c>
      <c r="C3526" s="735" t="s">
        <v>451</v>
      </c>
      <c r="D3526" s="644" t="s">
        <v>7904</v>
      </c>
      <c r="E3526" s="736">
        <v>1800</v>
      </c>
      <c r="F3526" s="737" t="s">
        <v>8229</v>
      </c>
      <c r="G3526" s="636" t="s">
        <v>8230</v>
      </c>
      <c r="H3526" s="636" t="s">
        <v>6633</v>
      </c>
      <c r="I3526" s="636" t="s">
        <v>8231</v>
      </c>
      <c r="J3526" s="644" t="s">
        <v>643</v>
      </c>
      <c r="K3526" s="739"/>
      <c r="L3526" s="754"/>
      <c r="M3526" s="735"/>
      <c r="N3526" s="753">
        <v>5</v>
      </c>
      <c r="O3526" s="754">
        <v>6</v>
      </c>
      <c r="P3526" s="736">
        <v>13344</v>
      </c>
      <c r="Q3526" s="214"/>
    </row>
    <row r="3527" spans="1:17" ht="12" customHeight="1" x14ac:dyDescent="0.2">
      <c r="A3527" s="735" t="s">
        <v>7733</v>
      </c>
      <c r="B3527" s="735" t="s">
        <v>2170</v>
      </c>
      <c r="C3527" s="735" t="s">
        <v>451</v>
      </c>
      <c r="D3527" s="644" t="s">
        <v>7858</v>
      </c>
      <c r="E3527" s="736">
        <v>3000</v>
      </c>
      <c r="F3527" s="737" t="s">
        <v>8562</v>
      </c>
      <c r="G3527" s="636" t="s">
        <v>8563</v>
      </c>
      <c r="H3527" s="636"/>
      <c r="I3527" s="636"/>
      <c r="J3527" s="644" t="s">
        <v>643</v>
      </c>
      <c r="K3527" s="739"/>
      <c r="L3527" s="754"/>
      <c r="M3527" s="735"/>
      <c r="N3527" s="753">
        <v>6</v>
      </c>
      <c r="O3527" s="754">
        <v>6</v>
      </c>
      <c r="P3527" s="736">
        <v>20689.8</v>
      </c>
      <c r="Q3527" s="214"/>
    </row>
    <row r="3528" spans="1:17" ht="12" customHeight="1" x14ac:dyDescent="0.2">
      <c r="A3528" s="735" t="s">
        <v>7733</v>
      </c>
      <c r="B3528" s="735" t="s">
        <v>2170</v>
      </c>
      <c r="C3528" s="735" t="s">
        <v>451</v>
      </c>
      <c r="D3528" s="644" t="s">
        <v>2179</v>
      </c>
      <c r="E3528" s="736">
        <v>3000</v>
      </c>
      <c r="F3528" s="737" t="s">
        <v>8542</v>
      </c>
      <c r="G3528" s="636" t="s">
        <v>8543</v>
      </c>
      <c r="H3528" s="636" t="s">
        <v>6571</v>
      </c>
      <c r="I3528" s="636" t="s">
        <v>2179</v>
      </c>
      <c r="J3528" s="644" t="s">
        <v>642</v>
      </c>
      <c r="K3528" s="739"/>
      <c r="L3528" s="754"/>
      <c r="M3528" s="735"/>
      <c r="N3528" s="753">
        <v>4</v>
      </c>
      <c r="O3528" s="754">
        <v>6</v>
      </c>
      <c r="P3528" s="736">
        <v>20689.8</v>
      </c>
      <c r="Q3528" s="214"/>
    </row>
    <row r="3529" spans="1:17" ht="12" customHeight="1" x14ac:dyDescent="0.2">
      <c r="A3529" s="735" t="s">
        <v>7733</v>
      </c>
      <c r="B3529" s="735" t="s">
        <v>2170</v>
      </c>
      <c r="C3529" s="735" t="s">
        <v>451</v>
      </c>
      <c r="D3529" s="644" t="s">
        <v>7858</v>
      </c>
      <c r="E3529" s="736">
        <v>3000</v>
      </c>
      <c r="F3529" s="737" t="s">
        <v>9202</v>
      </c>
      <c r="G3529" s="636" t="s">
        <v>9203</v>
      </c>
      <c r="H3529" s="636" t="s">
        <v>7152</v>
      </c>
      <c r="I3529" s="636" t="s">
        <v>2317</v>
      </c>
      <c r="J3529" s="644" t="s">
        <v>643</v>
      </c>
      <c r="K3529" s="739"/>
      <c r="L3529" s="754"/>
      <c r="M3529" s="735"/>
      <c r="N3529" s="753">
        <v>4</v>
      </c>
      <c r="O3529" s="754">
        <v>6</v>
      </c>
      <c r="P3529" s="736">
        <v>20689.8</v>
      </c>
      <c r="Q3529" s="214"/>
    </row>
    <row r="3530" spans="1:17" ht="12" customHeight="1" x14ac:dyDescent="0.2">
      <c r="A3530" s="735" t="s">
        <v>7733</v>
      </c>
      <c r="B3530" s="735" t="s">
        <v>2170</v>
      </c>
      <c r="C3530" s="735" t="s">
        <v>451</v>
      </c>
      <c r="D3530" s="644" t="s">
        <v>7946</v>
      </c>
      <c r="E3530" s="736">
        <v>3500</v>
      </c>
      <c r="F3530" s="737" t="s">
        <v>8544</v>
      </c>
      <c r="G3530" s="636" t="s">
        <v>8545</v>
      </c>
      <c r="H3530" s="636" t="s">
        <v>7752</v>
      </c>
      <c r="I3530" s="636" t="s">
        <v>2179</v>
      </c>
      <c r="J3530" s="644" t="s">
        <v>642</v>
      </c>
      <c r="K3530" s="739"/>
      <c r="L3530" s="754"/>
      <c r="M3530" s="735"/>
      <c r="N3530" s="753">
        <v>6</v>
      </c>
      <c r="O3530" s="754">
        <v>6</v>
      </c>
      <c r="P3530" s="736">
        <v>23689.8</v>
      </c>
      <c r="Q3530" s="214"/>
    </row>
    <row r="3531" spans="1:17" ht="12" customHeight="1" x14ac:dyDescent="0.2">
      <c r="A3531" s="735" t="s">
        <v>7733</v>
      </c>
      <c r="B3531" s="735" t="s">
        <v>2170</v>
      </c>
      <c r="C3531" s="735" t="s">
        <v>451</v>
      </c>
      <c r="D3531" s="644" t="s">
        <v>8704</v>
      </c>
      <c r="E3531" s="736">
        <v>2200</v>
      </c>
      <c r="F3531" s="737" t="s">
        <v>9558</v>
      </c>
      <c r="G3531" s="636" t="s">
        <v>9559</v>
      </c>
      <c r="H3531" s="636" t="s">
        <v>10194</v>
      </c>
      <c r="I3531" s="636"/>
      <c r="J3531" s="644" t="s">
        <v>644</v>
      </c>
      <c r="K3531" s="739"/>
      <c r="L3531" s="754"/>
      <c r="M3531" s="735"/>
      <c r="N3531" s="753">
        <v>4</v>
      </c>
      <c r="O3531" s="754">
        <v>6</v>
      </c>
      <c r="P3531" s="736">
        <v>15889.8</v>
      </c>
      <c r="Q3531" s="214"/>
    </row>
    <row r="3532" spans="1:17" ht="12" customHeight="1" x14ac:dyDescent="0.2">
      <c r="A3532" s="735" t="s">
        <v>7733</v>
      </c>
      <c r="B3532" s="735" t="s">
        <v>2170</v>
      </c>
      <c r="C3532" s="735" t="s">
        <v>451</v>
      </c>
      <c r="D3532" s="644" t="s">
        <v>8045</v>
      </c>
      <c r="E3532" s="736">
        <v>2200</v>
      </c>
      <c r="F3532" s="737" t="s">
        <v>8435</v>
      </c>
      <c r="G3532" s="636" t="s">
        <v>8436</v>
      </c>
      <c r="H3532" s="636" t="s">
        <v>7820</v>
      </c>
      <c r="I3532" s="636" t="s">
        <v>8014</v>
      </c>
      <c r="J3532" s="644" t="s">
        <v>7991</v>
      </c>
      <c r="K3532" s="739"/>
      <c r="L3532" s="754"/>
      <c r="M3532" s="735"/>
      <c r="N3532" s="753">
        <v>6</v>
      </c>
      <c r="O3532" s="754">
        <v>6</v>
      </c>
      <c r="P3532" s="736">
        <v>15889.8</v>
      </c>
      <c r="Q3532" s="214"/>
    </row>
    <row r="3533" spans="1:17" ht="12" customHeight="1" x14ac:dyDescent="0.2">
      <c r="A3533" s="735" t="s">
        <v>7733</v>
      </c>
      <c r="B3533" s="735" t="s">
        <v>2170</v>
      </c>
      <c r="C3533" s="735" t="s">
        <v>451</v>
      </c>
      <c r="D3533" s="644" t="s">
        <v>7904</v>
      </c>
      <c r="E3533" s="736">
        <v>3000</v>
      </c>
      <c r="F3533" s="737" t="s">
        <v>7996</v>
      </c>
      <c r="G3533" s="636" t="s">
        <v>7997</v>
      </c>
      <c r="H3533" s="636" t="s">
        <v>7904</v>
      </c>
      <c r="I3533" s="636" t="s">
        <v>7859</v>
      </c>
      <c r="J3533" s="644" t="s">
        <v>643</v>
      </c>
      <c r="K3533" s="739"/>
      <c r="L3533" s="754"/>
      <c r="M3533" s="735"/>
      <c r="N3533" s="753">
        <v>6</v>
      </c>
      <c r="O3533" s="754">
        <v>6</v>
      </c>
      <c r="P3533" s="736">
        <v>20689.8</v>
      </c>
      <c r="Q3533" s="214"/>
    </row>
    <row r="3534" spans="1:17" ht="12" customHeight="1" x14ac:dyDescent="0.2">
      <c r="A3534" s="735" t="s">
        <v>7733</v>
      </c>
      <c r="B3534" s="735" t="s">
        <v>2170</v>
      </c>
      <c r="C3534" s="735" t="s">
        <v>451</v>
      </c>
      <c r="D3534" s="644" t="s">
        <v>8155</v>
      </c>
      <c r="E3534" s="736">
        <v>5000</v>
      </c>
      <c r="F3534" s="737" t="s">
        <v>9450</v>
      </c>
      <c r="G3534" s="636" t="s">
        <v>9451</v>
      </c>
      <c r="H3534" s="636" t="s">
        <v>9094</v>
      </c>
      <c r="I3534" s="636" t="s">
        <v>9094</v>
      </c>
      <c r="J3534" s="644" t="s">
        <v>642</v>
      </c>
      <c r="K3534" s="739"/>
      <c r="L3534" s="754"/>
      <c r="M3534" s="735"/>
      <c r="N3534" s="753">
        <v>6</v>
      </c>
      <c r="O3534" s="754">
        <v>6</v>
      </c>
      <c r="P3534" s="736">
        <v>32689.8</v>
      </c>
      <c r="Q3534" s="214"/>
    </row>
    <row r="3535" spans="1:17" ht="12" customHeight="1" x14ac:dyDescent="0.2">
      <c r="A3535" s="735" t="s">
        <v>7733</v>
      </c>
      <c r="B3535" s="735" t="s">
        <v>2170</v>
      </c>
      <c r="C3535" s="735" t="s">
        <v>451</v>
      </c>
      <c r="D3535" s="644" t="s">
        <v>7746</v>
      </c>
      <c r="E3535" s="736">
        <v>2200</v>
      </c>
      <c r="F3535" s="737" t="s">
        <v>9912</v>
      </c>
      <c r="G3535" s="636" t="s">
        <v>9913</v>
      </c>
      <c r="H3535" s="636" t="s">
        <v>10194</v>
      </c>
      <c r="I3535" s="636"/>
      <c r="J3535" s="644" t="s">
        <v>643</v>
      </c>
      <c r="K3535" s="739"/>
      <c r="L3535" s="754"/>
      <c r="M3535" s="735"/>
      <c r="N3535" s="753">
        <v>6</v>
      </c>
      <c r="O3535" s="754">
        <v>6</v>
      </c>
      <c r="P3535" s="736">
        <v>15889.8</v>
      </c>
      <c r="Q3535" s="214"/>
    </row>
    <row r="3536" spans="1:17" ht="12" customHeight="1" x14ac:dyDescent="0.2">
      <c r="A3536" s="735" t="s">
        <v>7733</v>
      </c>
      <c r="B3536" s="735" t="s">
        <v>2170</v>
      </c>
      <c r="C3536" s="735" t="s">
        <v>451</v>
      </c>
      <c r="D3536" s="644" t="s">
        <v>8301</v>
      </c>
      <c r="E3536" s="736">
        <v>1600</v>
      </c>
      <c r="F3536" s="737" t="s">
        <v>9979</v>
      </c>
      <c r="G3536" s="636" t="s">
        <v>9980</v>
      </c>
      <c r="H3536" s="636" t="s">
        <v>3754</v>
      </c>
      <c r="I3536" s="636" t="s">
        <v>2979</v>
      </c>
      <c r="J3536" s="644" t="s">
        <v>643</v>
      </c>
      <c r="K3536" s="739"/>
      <c r="L3536" s="754"/>
      <c r="M3536" s="735"/>
      <c r="N3536" s="753">
        <v>6</v>
      </c>
      <c r="O3536" s="754">
        <v>6</v>
      </c>
      <c r="P3536" s="736">
        <v>11928</v>
      </c>
      <c r="Q3536" s="214"/>
    </row>
    <row r="3537" spans="1:17" ht="12" customHeight="1" x14ac:dyDescent="0.2">
      <c r="A3537" s="735" t="s">
        <v>7733</v>
      </c>
      <c r="B3537" s="735" t="s">
        <v>2170</v>
      </c>
      <c r="C3537" s="735" t="s">
        <v>451</v>
      </c>
      <c r="D3537" s="644" t="s">
        <v>9494</v>
      </c>
      <c r="E3537" s="736">
        <v>1800</v>
      </c>
      <c r="F3537" s="737" t="s">
        <v>9495</v>
      </c>
      <c r="G3537" s="636" t="s">
        <v>9496</v>
      </c>
      <c r="H3537" s="636" t="s">
        <v>9497</v>
      </c>
      <c r="I3537" s="636" t="s">
        <v>8536</v>
      </c>
      <c r="J3537" s="644" t="s">
        <v>643</v>
      </c>
      <c r="K3537" s="739"/>
      <c r="L3537" s="754"/>
      <c r="M3537" s="735"/>
      <c r="N3537" s="753">
        <v>6</v>
      </c>
      <c r="O3537" s="754">
        <v>6</v>
      </c>
      <c r="P3537" s="736">
        <v>13344</v>
      </c>
      <c r="Q3537" s="214"/>
    </row>
    <row r="3538" spans="1:17" ht="12" customHeight="1" x14ac:dyDescent="0.2">
      <c r="A3538" s="735" t="s">
        <v>7733</v>
      </c>
      <c r="B3538" s="735" t="s">
        <v>2170</v>
      </c>
      <c r="C3538" s="735" t="s">
        <v>451</v>
      </c>
      <c r="D3538" s="644" t="s">
        <v>7901</v>
      </c>
      <c r="E3538" s="736">
        <v>2500</v>
      </c>
      <c r="F3538" s="737" t="s">
        <v>9862</v>
      </c>
      <c r="G3538" s="636" t="s">
        <v>9863</v>
      </c>
      <c r="H3538" s="636" t="s">
        <v>9864</v>
      </c>
      <c r="I3538" s="636" t="s">
        <v>9865</v>
      </c>
      <c r="J3538" s="644" t="s">
        <v>643</v>
      </c>
      <c r="K3538" s="739"/>
      <c r="L3538" s="754"/>
      <c r="M3538" s="735"/>
      <c r="N3538" s="753">
        <v>4</v>
      </c>
      <c r="O3538" s="754">
        <v>6</v>
      </c>
      <c r="P3538" s="736">
        <v>17689.8</v>
      </c>
      <c r="Q3538" s="214"/>
    </row>
    <row r="3539" spans="1:17" ht="12" customHeight="1" x14ac:dyDescent="0.2">
      <c r="A3539" s="735" t="s">
        <v>7733</v>
      </c>
      <c r="B3539" s="735" t="s">
        <v>2170</v>
      </c>
      <c r="C3539" s="735" t="s">
        <v>451</v>
      </c>
      <c r="D3539" s="644" t="s">
        <v>2190</v>
      </c>
      <c r="E3539" s="736">
        <v>1200</v>
      </c>
      <c r="F3539" s="737" t="s">
        <v>9947</v>
      </c>
      <c r="G3539" s="636" t="s">
        <v>9948</v>
      </c>
      <c r="H3539" s="636" t="s">
        <v>10194</v>
      </c>
      <c r="I3539" s="636"/>
      <c r="J3539" s="644" t="s">
        <v>644</v>
      </c>
      <c r="K3539" s="739"/>
      <c r="L3539" s="754"/>
      <c r="M3539" s="735"/>
      <c r="N3539" s="753">
        <v>4</v>
      </c>
      <c r="O3539" s="754">
        <v>6</v>
      </c>
      <c r="P3539" s="736">
        <v>9096</v>
      </c>
      <c r="Q3539" s="214"/>
    </row>
    <row r="3540" spans="1:17" ht="12" customHeight="1" x14ac:dyDescent="0.2">
      <c r="A3540" s="735" t="s">
        <v>7733</v>
      </c>
      <c r="B3540" s="735" t="s">
        <v>2170</v>
      </c>
      <c r="C3540" s="735" t="s">
        <v>451</v>
      </c>
      <c r="D3540" s="644" t="s">
        <v>8511</v>
      </c>
      <c r="E3540" s="736">
        <v>2000</v>
      </c>
      <c r="F3540" s="737" t="s">
        <v>8512</v>
      </c>
      <c r="G3540" s="636" t="s">
        <v>8513</v>
      </c>
      <c r="H3540" s="636" t="s">
        <v>7917</v>
      </c>
      <c r="I3540" s="636" t="s">
        <v>7917</v>
      </c>
      <c r="J3540" s="644" t="s">
        <v>643</v>
      </c>
      <c r="K3540" s="739"/>
      <c r="L3540" s="754"/>
      <c r="M3540" s="735"/>
      <c r="N3540" s="753">
        <v>4</v>
      </c>
      <c r="O3540" s="754">
        <v>6</v>
      </c>
      <c r="P3540" s="736">
        <v>14689.8</v>
      </c>
      <c r="Q3540" s="214"/>
    </row>
    <row r="3541" spans="1:17" ht="12" customHeight="1" x14ac:dyDescent="0.2">
      <c r="A3541" s="735" t="s">
        <v>7733</v>
      </c>
      <c r="B3541" s="735" t="s">
        <v>2170</v>
      </c>
      <c r="C3541" s="735" t="s">
        <v>451</v>
      </c>
      <c r="D3541" s="644" t="s">
        <v>8298</v>
      </c>
      <c r="E3541" s="736">
        <v>930</v>
      </c>
      <c r="F3541" s="737" t="s">
        <v>8304</v>
      </c>
      <c r="G3541" s="636" t="s">
        <v>8305</v>
      </c>
      <c r="H3541" s="636" t="s">
        <v>10194</v>
      </c>
      <c r="I3541" s="636"/>
      <c r="J3541" s="644" t="s">
        <v>644</v>
      </c>
      <c r="K3541" s="739"/>
      <c r="L3541" s="754"/>
      <c r="M3541" s="735"/>
      <c r="N3541" s="753">
        <v>4</v>
      </c>
      <c r="O3541" s="754">
        <v>6</v>
      </c>
      <c r="P3541" s="736">
        <v>7184.4</v>
      </c>
      <c r="Q3541" s="214"/>
    </row>
    <row r="3542" spans="1:17" ht="12" customHeight="1" x14ac:dyDescent="0.2">
      <c r="A3542" s="735" t="s">
        <v>7733</v>
      </c>
      <c r="B3542" s="735" t="s">
        <v>2170</v>
      </c>
      <c r="C3542" s="735" t="s">
        <v>451</v>
      </c>
      <c r="D3542" s="644" t="s">
        <v>8966</v>
      </c>
      <c r="E3542" s="736">
        <v>2400</v>
      </c>
      <c r="F3542" s="737" t="s">
        <v>10083</v>
      </c>
      <c r="G3542" s="636" t="s">
        <v>10084</v>
      </c>
      <c r="H3542" s="636" t="s">
        <v>10085</v>
      </c>
      <c r="I3542" s="636" t="s">
        <v>10086</v>
      </c>
      <c r="J3542" s="644" t="s">
        <v>643</v>
      </c>
      <c r="K3542" s="739"/>
      <c r="L3542" s="754"/>
      <c r="M3542" s="735"/>
      <c r="N3542" s="753">
        <v>4</v>
      </c>
      <c r="O3542" s="754">
        <v>6</v>
      </c>
      <c r="P3542" s="736">
        <v>17089.8</v>
      </c>
      <c r="Q3542" s="214"/>
    </row>
    <row r="3543" spans="1:17" ht="12" customHeight="1" x14ac:dyDescent="0.2">
      <c r="A3543" s="735" t="s">
        <v>7733</v>
      </c>
      <c r="B3543" s="735" t="s">
        <v>2170</v>
      </c>
      <c r="C3543" s="735" t="s">
        <v>451</v>
      </c>
      <c r="D3543" s="644" t="s">
        <v>7855</v>
      </c>
      <c r="E3543" s="736">
        <v>2200</v>
      </c>
      <c r="F3543" s="737" t="s">
        <v>8278</v>
      </c>
      <c r="G3543" s="636" t="s">
        <v>8279</v>
      </c>
      <c r="H3543" s="636" t="s">
        <v>7858</v>
      </c>
      <c r="I3543" s="636" t="s">
        <v>7858</v>
      </c>
      <c r="J3543" s="644" t="s">
        <v>644</v>
      </c>
      <c r="K3543" s="739"/>
      <c r="L3543" s="754"/>
      <c r="M3543" s="735"/>
      <c r="N3543" s="753">
        <v>4</v>
      </c>
      <c r="O3543" s="754">
        <v>6</v>
      </c>
      <c r="P3543" s="736">
        <v>15889.8</v>
      </c>
      <c r="Q3543" s="214"/>
    </row>
    <row r="3544" spans="1:17" ht="12" customHeight="1" x14ac:dyDescent="0.2">
      <c r="A3544" s="735" t="s">
        <v>7733</v>
      </c>
      <c r="B3544" s="735" t="s">
        <v>2170</v>
      </c>
      <c r="C3544" s="735" t="s">
        <v>451</v>
      </c>
      <c r="D3544" s="644" t="s">
        <v>8707</v>
      </c>
      <c r="E3544" s="736">
        <v>4000</v>
      </c>
      <c r="F3544" s="737" t="s">
        <v>8708</v>
      </c>
      <c r="G3544" s="636" t="s">
        <v>8709</v>
      </c>
      <c r="H3544" s="636" t="s">
        <v>7752</v>
      </c>
      <c r="I3544" s="636"/>
      <c r="J3544" s="644" t="s">
        <v>642</v>
      </c>
      <c r="K3544" s="739"/>
      <c r="L3544" s="754"/>
      <c r="M3544" s="735"/>
      <c r="N3544" s="753">
        <v>2</v>
      </c>
      <c r="O3544" s="754">
        <v>2</v>
      </c>
      <c r="P3544" s="736">
        <v>10689.8</v>
      </c>
      <c r="Q3544" s="214"/>
    </row>
    <row r="3545" spans="1:17" ht="12" customHeight="1" x14ac:dyDescent="0.2">
      <c r="A3545" s="735" t="s">
        <v>7733</v>
      </c>
      <c r="B3545" s="735" t="s">
        <v>2170</v>
      </c>
      <c r="C3545" s="735" t="s">
        <v>451</v>
      </c>
      <c r="D3545" s="644" t="s">
        <v>8371</v>
      </c>
      <c r="E3545" s="736">
        <v>3000</v>
      </c>
      <c r="F3545" s="737" t="s">
        <v>8598</v>
      </c>
      <c r="G3545" s="636" t="s">
        <v>8599</v>
      </c>
      <c r="H3545" s="636" t="s">
        <v>8000</v>
      </c>
      <c r="I3545" s="636" t="s">
        <v>2478</v>
      </c>
      <c r="J3545" s="644" t="s">
        <v>643</v>
      </c>
      <c r="K3545" s="739"/>
      <c r="L3545" s="754"/>
      <c r="M3545" s="735"/>
      <c r="N3545" s="753">
        <v>4</v>
      </c>
      <c r="O3545" s="754">
        <v>6</v>
      </c>
      <c r="P3545" s="736">
        <v>20689.8</v>
      </c>
      <c r="Q3545" s="214"/>
    </row>
    <row r="3546" spans="1:17" ht="12" customHeight="1" x14ac:dyDescent="0.2">
      <c r="A3546" s="735" t="s">
        <v>7733</v>
      </c>
      <c r="B3546" s="735" t="s">
        <v>2170</v>
      </c>
      <c r="C3546" s="735" t="s">
        <v>451</v>
      </c>
      <c r="D3546" s="644" t="s">
        <v>7904</v>
      </c>
      <c r="E3546" s="736">
        <v>3000</v>
      </c>
      <c r="F3546" s="737" t="s">
        <v>7992</v>
      </c>
      <c r="G3546" s="636" t="s">
        <v>7993</v>
      </c>
      <c r="H3546" s="636" t="s">
        <v>7152</v>
      </c>
      <c r="I3546" s="636" t="s">
        <v>2317</v>
      </c>
      <c r="J3546" s="644" t="s">
        <v>643</v>
      </c>
      <c r="K3546" s="739"/>
      <c r="L3546" s="754"/>
      <c r="M3546" s="735"/>
      <c r="N3546" s="753">
        <v>4</v>
      </c>
      <c r="O3546" s="754">
        <v>6</v>
      </c>
      <c r="P3546" s="736">
        <v>20689.8</v>
      </c>
      <c r="Q3546" s="214"/>
    </row>
    <row r="3547" spans="1:17" ht="12" customHeight="1" x14ac:dyDescent="0.2">
      <c r="A3547" s="735" t="s">
        <v>7733</v>
      </c>
      <c r="B3547" s="735" t="s">
        <v>2170</v>
      </c>
      <c r="C3547" s="735" t="s">
        <v>451</v>
      </c>
      <c r="D3547" s="644" t="s">
        <v>8172</v>
      </c>
      <c r="E3547" s="736">
        <v>3500</v>
      </c>
      <c r="F3547" s="737" t="s">
        <v>9211</v>
      </c>
      <c r="G3547" s="636" t="s">
        <v>9212</v>
      </c>
      <c r="H3547" s="636"/>
      <c r="I3547" s="636"/>
      <c r="J3547" s="644" t="s">
        <v>642</v>
      </c>
      <c r="K3547" s="739"/>
      <c r="L3547" s="754"/>
      <c r="M3547" s="735"/>
      <c r="N3547" s="753">
        <v>4</v>
      </c>
      <c r="O3547" s="754">
        <v>6</v>
      </c>
      <c r="P3547" s="736">
        <v>23689.8</v>
      </c>
      <c r="Q3547" s="214"/>
    </row>
    <row r="3548" spans="1:17" ht="12" customHeight="1" x14ac:dyDescent="0.2">
      <c r="A3548" s="735" t="s">
        <v>7733</v>
      </c>
      <c r="B3548" s="735" t="s">
        <v>2170</v>
      </c>
      <c r="C3548" s="735" t="s">
        <v>451</v>
      </c>
      <c r="D3548" s="644" t="s">
        <v>9701</v>
      </c>
      <c r="E3548" s="736">
        <v>7000</v>
      </c>
      <c r="F3548" s="737" t="s">
        <v>9833</v>
      </c>
      <c r="G3548" s="636" t="s">
        <v>9834</v>
      </c>
      <c r="H3548" s="636" t="s">
        <v>7816</v>
      </c>
      <c r="I3548" s="636" t="s">
        <v>3328</v>
      </c>
      <c r="J3548" s="644" t="s">
        <v>642</v>
      </c>
      <c r="K3548" s="739"/>
      <c r="L3548" s="754"/>
      <c r="M3548" s="735"/>
      <c r="N3548" s="753">
        <v>4</v>
      </c>
      <c r="O3548" s="754">
        <v>6</v>
      </c>
      <c r="P3548" s="736">
        <v>44689.8</v>
      </c>
      <c r="Q3548" s="214"/>
    </row>
    <row r="3549" spans="1:17" ht="12" customHeight="1" x14ac:dyDescent="0.2">
      <c r="A3549" s="735" t="s">
        <v>7733</v>
      </c>
      <c r="B3549" s="735" t="s">
        <v>2170</v>
      </c>
      <c r="C3549" s="735" t="s">
        <v>451</v>
      </c>
      <c r="D3549" s="644" t="s">
        <v>9146</v>
      </c>
      <c r="E3549" s="736">
        <v>4000</v>
      </c>
      <c r="F3549" s="737" t="s">
        <v>7750</v>
      </c>
      <c r="G3549" s="636" t="s">
        <v>7751</v>
      </c>
      <c r="H3549" s="636" t="s">
        <v>7752</v>
      </c>
      <c r="I3549" s="636" t="s">
        <v>2179</v>
      </c>
      <c r="J3549" s="644" t="s">
        <v>642</v>
      </c>
      <c r="K3549" s="739"/>
      <c r="L3549" s="754"/>
      <c r="M3549" s="735"/>
      <c r="N3549" s="753">
        <v>4</v>
      </c>
      <c r="O3549" s="754">
        <v>6</v>
      </c>
      <c r="P3549" s="736">
        <v>26689.8</v>
      </c>
      <c r="Q3549" s="214"/>
    </row>
    <row r="3550" spans="1:17" ht="12" customHeight="1" x14ac:dyDescent="0.2">
      <c r="A3550" s="735" t="s">
        <v>7733</v>
      </c>
      <c r="B3550" s="735" t="s">
        <v>2170</v>
      </c>
      <c r="C3550" s="735" t="s">
        <v>451</v>
      </c>
      <c r="D3550" s="644" t="s">
        <v>7779</v>
      </c>
      <c r="E3550" s="736">
        <v>3000</v>
      </c>
      <c r="F3550" s="737" t="s">
        <v>9799</v>
      </c>
      <c r="G3550" s="636" t="s">
        <v>9800</v>
      </c>
      <c r="H3550" s="636"/>
      <c r="I3550" s="636"/>
      <c r="J3550" s="644" t="s">
        <v>642</v>
      </c>
      <c r="K3550" s="739"/>
      <c r="L3550" s="754"/>
      <c r="M3550" s="735"/>
      <c r="N3550" s="753">
        <v>6</v>
      </c>
      <c r="O3550" s="754">
        <v>6</v>
      </c>
      <c r="P3550" s="736">
        <v>20689.8</v>
      </c>
      <c r="Q3550" s="214"/>
    </row>
    <row r="3551" spans="1:17" ht="12" customHeight="1" x14ac:dyDescent="0.2">
      <c r="A3551" s="735" t="s">
        <v>7733</v>
      </c>
      <c r="B3551" s="735" t="s">
        <v>2170</v>
      </c>
      <c r="C3551" s="735" t="s">
        <v>451</v>
      </c>
      <c r="D3551" s="644" t="s">
        <v>7779</v>
      </c>
      <c r="E3551" s="736">
        <v>4000</v>
      </c>
      <c r="F3551" s="737" t="s">
        <v>8338</v>
      </c>
      <c r="G3551" s="636" t="s">
        <v>8339</v>
      </c>
      <c r="H3551" s="636" t="s">
        <v>8000</v>
      </c>
      <c r="I3551" s="636"/>
      <c r="J3551" s="644" t="s">
        <v>642</v>
      </c>
      <c r="K3551" s="739"/>
      <c r="L3551" s="754"/>
      <c r="M3551" s="735"/>
      <c r="N3551" s="753">
        <v>2</v>
      </c>
      <c r="O3551" s="754">
        <v>2</v>
      </c>
      <c r="P3551" s="736">
        <v>10689.8</v>
      </c>
      <c r="Q3551" s="214"/>
    </row>
    <row r="3552" spans="1:17" ht="12" customHeight="1" x14ac:dyDescent="0.2">
      <c r="A3552" s="735" t="s">
        <v>7733</v>
      </c>
      <c r="B3552" s="735" t="s">
        <v>2170</v>
      </c>
      <c r="C3552" s="735" t="s">
        <v>451</v>
      </c>
      <c r="D3552" s="644" t="s">
        <v>8791</v>
      </c>
      <c r="E3552" s="736">
        <v>2500</v>
      </c>
      <c r="F3552" s="737" t="s">
        <v>8872</v>
      </c>
      <c r="G3552" s="636" t="s">
        <v>8873</v>
      </c>
      <c r="H3552" s="636" t="s">
        <v>7939</v>
      </c>
      <c r="I3552" s="636" t="s">
        <v>8874</v>
      </c>
      <c r="J3552" s="644" t="s">
        <v>642</v>
      </c>
      <c r="K3552" s="739"/>
      <c r="L3552" s="754"/>
      <c r="M3552" s="735"/>
      <c r="N3552" s="753">
        <v>4</v>
      </c>
      <c r="O3552" s="754">
        <v>6</v>
      </c>
      <c r="P3552" s="736">
        <v>17689.8</v>
      </c>
      <c r="Q3552" s="214"/>
    </row>
    <row r="3553" spans="1:17" ht="12" customHeight="1" x14ac:dyDescent="0.2">
      <c r="A3553" s="735" t="s">
        <v>7733</v>
      </c>
      <c r="B3553" s="735" t="s">
        <v>2170</v>
      </c>
      <c r="C3553" s="735" t="s">
        <v>451</v>
      </c>
      <c r="D3553" s="644" t="s">
        <v>8791</v>
      </c>
      <c r="E3553" s="736">
        <v>2500</v>
      </c>
      <c r="F3553" s="737" t="s">
        <v>9416</v>
      </c>
      <c r="G3553" s="636" t="s">
        <v>9417</v>
      </c>
      <c r="H3553" s="636" t="s">
        <v>7939</v>
      </c>
      <c r="I3553" s="636" t="s">
        <v>8874</v>
      </c>
      <c r="J3553" s="644" t="s">
        <v>642</v>
      </c>
      <c r="K3553" s="739"/>
      <c r="L3553" s="754"/>
      <c r="M3553" s="735"/>
      <c r="N3553" s="753">
        <v>4</v>
      </c>
      <c r="O3553" s="754">
        <v>6</v>
      </c>
      <c r="P3553" s="736">
        <v>17689.8</v>
      </c>
      <c r="Q3553" s="214"/>
    </row>
    <row r="3554" spans="1:17" ht="12" customHeight="1" x14ac:dyDescent="0.2">
      <c r="A3554" s="735" t="s">
        <v>7733</v>
      </c>
      <c r="B3554" s="735" t="s">
        <v>2170</v>
      </c>
      <c r="C3554" s="735" t="s">
        <v>451</v>
      </c>
      <c r="D3554" s="644" t="s">
        <v>7817</v>
      </c>
      <c r="E3554" s="736">
        <v>1950</v>
      </c>
      <c r="F3554" s="737" t="s">
        <v>8922</v>
      </c>
      <c r="G3554" s="636" t="s">
        <v>8923</v>
      </c>
      <c r="H3554" s="636" t="s">
        <v>6778</v>
      </c>
      <c r="I3554" s="636" t="s">
        <v>8924</v>
      </c>
      <c r="J3554" s="644" t="s">
        <v>643</v>
      </c>
      <c r="K3554" s="739"/>
      <c r="L3554" s="754"/>
      <c r="M3554" s="735"/>
      <c r="N3554" s="753">
        <v>1</v>
      </c>
      <c r="O3554" s="754">
        <v>2</v>
      </c>
      <c r="P3554" s="736">
        <v>6589.8</v>
      </c>
      <c r="Q3554" s="214"/>
    </row>
    <row r="3555" spans="1:17" ht="12" customHeight="1" x14ac:dyDescent="0.2">
      <c r="A3555" s="735" t="s">
        <v>7733</v>
      </c>
      <c r="B3555" s="735" t="s">
        <v>2170</v>
      </c>
      <c r="C3555" s="735" t="s">
        <v>451</v>
      </c>
      <c r="D3555" s="644" t="s">
        <v>2261</v>
      </c>
      <c r="E3555" s="736">
        <v>3000</v>
      </c>
      <c r="F3555" s="737" t="s">
        <v>9779</v>
      </c>
      <c r="G3555" s="636" t="s">
        <v>9780</v>
      </c>
      <c r="H3555" s="636" t="s">
        <v>7752</v>
      </c>
      <c r="I3555" s="636" t="s">
        <v>2766</v>
      </c>
      <c r="J3555" s="644" t="s">
        <v>644</v>
      </c>
      <c r="K3555" s="739"/>
      <c r="L3555" s="754"/>
      <c r="M3555" s="735"/>
      <c r="N3555" s="753">
        <v>4</v>
      </c>
      <c r="O3555" s="754">
        <v>6</v>
      </c>
      <c r="P3555" s="736">
        <v>20689.8</v>
      </c>
      <c r="Q3555" s="214"/>
    </row>
    <row r="3556" spans="1:17" ht="12" customHeight="1" x14ac:dyDescent="0.2">
      <c r="A3556" s="735" t="s">
        <v>7733</v>
      </c>
      <c r="B3556" s="735" t="s">
        <v>2170</v>
      </c>
      <c r="C3556" s="735" t="s">
        <v>451</v>
      </c>
      <c r="D3556" s="644" t="s">
        <v>7901</v>
      </c>
      <c r="E3556" s="736">
        <v>2500</v>
      </c>
      <c r="F3556" s="737" t="s">
        <v>8057</v>
      </c>
      <c r="G3556" s="636" t="s">
        <v>8058</v>
      </c>
      <c r="H3556" s="636" t="s">
        <v>7782</v>
      </c>
      <c r="I3556" s="636" t="s">
        <v>7782</v>
      </c>
      <c r="J3556" s="644" t="s">
        <v>642</v>
      </c>
      <c r="K3556" s="739"/>
      <c r="L3556" s="754"/>
      <c r="M3556" s="735"/>
      <c r="N3556" s="753">
        <v>6</v>
      </c>
      <c r="O3556" s="754">
        <v>6</v>
      </c>
      <c r="P3556" s="736">
        <v>17689.8</v>
      </c>
      <c r="Q3556" s="214"/>
    </row>
    <row r="3557" spans="1:17" ht="12" customHeight="1" x14ac:dyDescent="0.2">
      <c r="A3557" s="735" t="s">
        <v>7733</v>
      </c>
      <c r="B3557" s="735" t="s">
        <v>2170</v>
      </c>
      <c r="C3557" s="735" t="s">
        <v>451</v>
      </c>
      <c r="D3557" s="644" t="s">
        <v>7868</v>
      </c>
      <c r="E3557" s="736">
        <v>3000</v>
      </c>
      <c r="F3557" s="737" t="s">
        <v>7994</v>
      </c>
      <c r="G3557" s="636" t="s">
        <v>7995</v>
      </c>
      <c r="H3557" s="636" t="s">
        <v>6571</v>
      </c>
      <c r="I3557" s="636" t="s">
        <v>2179</v>
      </c>
      <c r="J3557" s="644" t="s">
        <v>642</v>
      </c>
      <c r="K3557" s="739"/>
      <c r="L3557" s="754"/>
      <c r="M3557" s="735"/>
      <c r="N3557" s="753">
        <v>6</v>
      </c>
      <c r="O3557" s="754">
        <v>6</v>
      </c>
      <c r="P3557" s="736">
        <v>20689.8</v>
      </c>
      <c r="Q3557" s="214"/>
    </row>
    <row r="3558" spans="1:17" ht="12" customHeight="1" x14ac:dyDescent="0.2">
      <c r="A3558" s="735" t="s">
        <v>7733</v>
      </c>
      <c r="B3558" s="735" t="s">
        <v>2170</v>
      </c>
      <c r="C3558" s="735" t="s">
        <v>451</v>
      </c>
      <c r="D3558" s="644" t="s">
        <v>8537</v>
      </c>
      <c r="E3558" s="736">
        <v>4000</v>
      </c>
      <c r="F3558" s="737" t="s">
        <v>8538</v>
      </c>
      <c r="G3558" s="636" t="s">
        <v>8539</v>
      </c>
      <c r="H3558" s="636" t="s">
        <v>7752</v>
      </c>
      <c r="I3558" s="636" t="s">
        <v>2179</v>
      </c>
      <c r="J3558" s="644" t="s">
        <v>642</v>
      </c>
      <c r="K3558" s="739"/>
      <c r="L3558" s="754"/>
      <c r="M3558" s="735"/>
      <c r="N3558" s="753">
        <v>4</v>
      </c>
      <c r="O3558" s="754">
        <v>6</v>
      </c>
      <c r="P3558" s="736">
        <v>26689.8</v>
      </c>
      <c r="Q3558" s="214"/>
    </row>
    <row r="3559" spans="1:17" ht="12" customHeight="1" x14ac:dyDescent="0.2">
      <c r="A3559" s="735" t="s">
        <v>7733</v>
      </c>
      <c r="B3559" s="735" t="s">
        <v>2170</v>
      </c>
      <c r="C3559" s="735" t="s">
        <v>451</v>
      </c>
      <c r="D3559" s="644" t="s">
        <v>7894</v>
      </c>
      <c r="E3559" s="736">
        <v>3500</v>
      </c>
      <c r="F3559" s="737" t="s">
        <v>8255</v>
      </c>
      <c r="G3559" s="636" t="s">
        <v>8256</v>
      </c>
      <c r="H3559" s="636" t="s">
        <v>2979</v>
      </c>
      <c r="I3559" s="636" t="s">
        <v>8257</v>
      </c>
      <c r="J3559" s="644" t="s">
        <v>642</v>
      </c>
      <c r="K3559" s="739"/>
      <c r="L3559" s="754"/>
      <c r="M3559" s="735"/>
      <c r="N3559" s="753">
        <v>4</v>
      </c>
      <c r="O3559" s="754">
        <v>6</v>
      </c>
      <c r="P3559" s="736">
        <v>23689.8</v>
      </c>
      <c r="Q3559" s="214"/>
    </row>
    <row r="3560" spans="1:17" ht="12" customHeight="1" x14ac:dyDescent="0.2">
      <c r="A3560" s="735" t="s">
        <v>7733</v>
      </c>
      <c r="B3560" s="735" t="s">
        <v>2170</v>
      </c>
      <c r="C3560" s="735" t="s">
        <v>451</v>
      </c>
      <c r="D3560" s="644" t="s">
        <v>7843</v>
      </c>
      <c r="E3560" s="736">
        <v>4000</v>
      </c>
      <c r="F3560" s="737" t="s">
        <v>8585</v>
      </c>
      <c r="G3560" s="636" t="s">
        <v>8586</v>
      </c>
      <c r="H3560" s="636" t="s">
        <v>7752</v>
      </c>
      <c r="I3560" s="636" t="s">
        <v>2179</v>
      </c>
      <c r="J3560" s="644" t="s">
        <v>642</v>
      </c>
      <c r="K3560" s="739"/>
      <c r="L3560" s="754"/>
      <c r="M3560" s="735"/>
      <c r="N3560" s="753">
        <v>4</v>
      </c>
      <c r="O3560" s="754">
        <v>6</v>
      </c>
      <c r="P3560" s="736">
        <v>26689.8</v>
      </c>
      <c r="Q3560" s="214"/>
    </row>
    <row r="3561" spans="1:17" ht="12" customHeight="1" x14ac:dyDescent="0.2">
      <c r="A3561" s="735" t="s">
        <v>7733</v>
      </c>
      <c r="B3561" s="735" t="s">
        <v>2170</v>
      </c>
      <c r="C3561" s="735" t="s">
        <v>451</v>
      </c>
      <c r="D3561" s="644" t="s">
        <v>9034</v>
      </c>
      <c r="E3561" s="736">
        <v>1800</v>
      </c>
      <c r="F3561" s="737" t="s">
        <v>9035</v>
      </c>
      <c r="G3561" s="636" t="s">
        <v>9036</v>
      </c>
      <c r="H3561" s="636"/>
      <c r="I3561" s="636"/>
      <c r="J3561" s="644" t="s">
        <v>644</v>
      </c>
      <c r="K3561" s="739"/>
      <c r="L3561" s="754"/>
      <c r="M3561" s="735"/>
      <c r="N3561" s="753">
        <v>4</v>
      </c>
      <c r="O3561" s="754">
        <v>6</v>
      </c>
      <c r="P3561" s="736">
        <v>13344</v>
      </c>
      <c r="Q3561" s="214"/>
    </row>
    <row r="3562" spans="1:17" ht="12" customHeight="1" x14ac:dyDescent="0.2">
      <c r="A3562" s="735" t="s">
        <v>7733</v>
      </c>
      <c r="B3562" s="735" t="s">
        <v>2170</v>
      </c>
      <c r="C3562" s="735" t="s">
        <v>451</v>
      </c>
      <c r="D3562" s="644" t="s">
        <v>8301</v>
      </c>
      <c r="E3562" s="736">
        <v>1600</v>
      </c>
      <c r="F3562" s="737" t="s">
        <v>9754</v>
      </c>
      <c r="G3562" s="636" t="s">
        <v>9755</v>
      </c>
      <c r="H3562" s="636" t="s">
        <v>9756</v>
      </c>
      <c r="I3562" s="636" t="s">
        <v>9757</v>
      </c>
      <c r="J3562" s="644" t="s">
        <v>643</v>
      </c>
      <c r="K3562" s="739"/>
      <c r="L3562" s="754"/>
      <c r="M3562" s="735"/>
      <c r="N3562" s="753">
        <v>4</v>
      </c>
      <c r="O3562" s="754">
        <v>6</v>
      </c>
      <c r="P3562" s="736">
        <v>11928</v>
      </c>
      <c r="Q3562" s="214"/>
    </row>
    <row r="3563" spans="1:17" ht="12" customHeight="1" x14ac:dyDescent="0.2">
      <c r="A3563" s="735" t="s">
        <v>7733</v>
      </c>
      <c r="B3563" s="735" t="s">
        <v>2170</v>
      </c>
      <c r="C3563" s="735" t="s">
        <v>451</v>
      </c>
      <c r="D3563" s="644" t="s">
        <v>6271</v>
      </c>
      <c r="E3563" s="736">
        <v>8000</v>
      </c>
      <c r="F3563" s="737" t="s">
        <v>9028</v>
      </c>
      <c r="G3563" s="636" t="s">
        <v>9029</v>
      </c>
      <c r="H3563" s="636" t="s">
        <v>6571</v>
      </c>
      <c r="I3563" s="636" t="s">
        <v>2179</v>
      </c>
      <c r="J3563" s="644" t="s">
        <v>642</v>
      </c>
      <c r="K3563" s="739"/>
      <c r="L3563" s="754"/>
      <c r="M3563" s="735"/>
      <c r="N3563" s="753">
        <v>4</v>
      </c>
      <c r="O3563" s="754">
        <v>6</v>
      </c>
      <c r="P3563" s="736">
        <v>50689.8</v>
      </c>
      <c r="Q3563" s="214"/>
    </row>
    <row r="3564" spans="1:17" ht="12" customHeight="1" x14ac:dyDescent="0.2">
      <c r="A3564" s="735" t="s">
        <v>7733</v>
      </c>
      <c r="B3564" s="735" t="s">
        <v>2170</v>
      </c>
      <c r="C3564" s="735" t="s">
        <v>451</v>
      </c>
      <c r="D3564" s="644" t="s">
        <v>8966</v>
      </c>
      <c r="E3564" s="736">
        <v>2400</v>
      </c>
      <c r="F3564" s="737" t="s">
        <v>8967</v>
      </c>
      <c r="G3564" s="636" t="s">
        <v>8968</v>
      </c>
      <c r="H3564" s="636" t="s">
        <v>8969</v>
      </c>
      <c r="I3564" s="636" t="s">
        <v>7782</v>
      </c>
      <c r="J3564" s="644" t="s">
        <v>643</v>
      </c>
      <c r="K3564" s="739"/>
      <c r="L3564" s="754"/>
      <c r="M3564" s="735"/>
      <c r="N3564" s="753">
        <v>6</v>
      </c>
      <c r="O3564" s="754">
        <v>6</v>
      </c>
      <c r="P3564" s="736">
        <v>17089.8</v>
      </c>
      <c r="Q3564" s="214"/>
    </row>
    <row r="3565" spans="1:17" ht="12" customHeight="1" x14ac:dyDescent="0.2">
      <c r="A3565" s="735" t="s">
        <v>7733</v>
      </c>
      <c r="B3565" s="735" t="s">
        <v>2170</v>
      </c>
      <c r="C3565" s="735" t="s">
        <v>451</v>
      </c>
      <c r="D3565" s="644" t="s">
        <v>10237</v>
      </c>
      <c r="E3565" s="736">
        <v>5000</v>
      </c>
      <c r="F3565" s="737" t="s">
        <v>9586</v>
      </c>
      <c r="G3565" s="636" t="s">
        <v>9587</v>
      </c>
      <c r="H3565" s="636" t="s">
        <v>7752</v>
      </c>
      <c r="I3565" s="636" t="s">
        <v>2179</v>
      </c>
      <c r="J3565" s="644" t="s">
        <v>642</v>
      </c>
      <c r="K3565" s="739"/>
      <c r="L3565" s="754"/>
      <c r="M3565" s="735"/>
      <c r="N3565" s="753">
        <v>4</v>
      </c>
      <c r="O3565" s="754">
        <v>6</v>
      </c>
      <c r="P3565" s="736">
        <v>32689.8</v>
      </c>
      <c r="Q3565" s="214"/>
    </row>
    <row r="3566" spans="1:17" ht="12" customHeight="1" x14ac:dyDescent="0.2">
      <c r="A3566" s="735" t="s">
        <v>7733</v>
      </c>
      <c r="B3566" s="735" t="s">
        <v>2170</v>
      </c>
      <c r="C3566" s="735" t="s">
        <v>451</v>
      </c>
      <c r="D3566" s="644" t="s">
        <v>8704</v>
      </c>
      <c r="E3566" s="736">
        <v>2200</v>
      </c>
      <c r="F3566" s="737" t="s">
        <v>9049</v>
      </c>
      <c r="G3566" s="636" t="s">
        <v>9050</v>
      </c>
      <c r="H3566" s="636" t="s">
        <v>10194</v>
      </c>
      <c r="I3566" s="636"/>
      <c r="J3566" s="644" t="s">
        <v>643</v>
      </c>
      <c r="K3566" s="739"/>
      <c r="L3566" s="754"/>
      <c r="M3566" s="735"/>
      <c r="N3566" s="753">
        <v>3</v>
      </c>
      <c r="O3566" s="754">
        <v>6</v>
      </c>
      <c r="P3566" s="736">
        <v>15889.8</v>
      </c>
      <c r="Q3566" s="214"/>
    </row>
    <row r="3567" spans="1:17" ht="12" customHeight="1" x14ac:dyDescent="0.2">
      <c r="A3567" s="735" t="s">
        <v>7733</v>
      </c>
      <c r="B3567" s="735" t="s">
        <v>2170</v>
      </c>
      <c r="C3567" s="735" t="s">
        <v>451</v>
      </c>
      <c r="D3567" s="644" t="s">
        <v>8268</v>
      </c>
      <c r="E3567" s="736">
        <v>2200</v>
      </c>
      <c r="F3567" s="737" t="s">
        <v>9498</v>
      </c>
      <c r="G3567" s="636" t="s">
        <v>9499</v>
      </c>
      <c r="H3567" s="636"/>
      <c r="I3567" s="636"/>
      <c r="J3567" s="644" t="s">
        <v>644</v>
      </c>
      <c r="K3567" s="739"/>
      <c r="L3567" s="754"/>
      <c r="M3567" s="735"/>
      <c r="N3567" s="753">
        <v>4</v>
      </c>
      <c r="O3567" s="754">
        <v>6</v>
      </c>
      <c r="P3567" s="736">
        <v>15889.8</v>
      </c>
      <c r="Q3567" s="214"/>
    </row>
    <row r="3568" spans="1:17" ht="12" customHeight="1" x14ac:dyDescent="0.2">
      <c r="A3568" s="735" t="s">
        <v>7733</v>
      </c>
      <c r="B3568" s="735" t="s">
        <v>2170</v>
      </c>
      <c r="C3568" s="735" t="s">
        <v>451</v>
      </c>
      <c r="D3568" s="644" t="s">
        <v>6668</v>
      </c>
      <c r="E3568" s="736">
        <v>4000</v>
      </c>
      <c r="F3568" s="737" t="s">
        <v>8823</v>
      </c>
      <c r="G3568" s="636" t="s">
        <v>8824</v>
      </c>
      <c r="H3568" s="636" t="s">
        <v>3915</v>
      </c>
      <c r="I3568" s="636" t="s">
        <v>3070</v>
      </c>
      <c r="J3568" s="644" t="s">
        <v>642</v>
      </c>
      <c r="K3568" s="739"/>
      <c r="L3568" s="754"/>
      <c r="M3568" s="735"/>
      <c r="N3568" s="753">
        <v>4</v>
      </c>
      <c r="O3568" s="754">
        <v>6</v>
      </c>
      <c r="P3568" s="736">
        <v>26689.8</v>
      </c>
      <c r="Q3568" s="214"/>
    </row>
    <row r="3569" spans="1:17" ht="12" customHeight="1" x14ac:dyDescent="0.2">
      <c r="A3569" s="735" t="s">
        <v>7733</v>
      </c>
      <c r="B3569" s="735" t="s">
        <v>2170</v>
      </c>
      <c r="C3569" s="735" t="s">
        <v>451</v>
      </c>
      <c r="D3569" s="644" t="s">
        <v>8564</v>
      </c>
      <c r="E3569" s="736">
        <v>4000</v>
      </c>
      <c r="F3569" s="737" t="s">
        <v>8565</v>
      </c>
      <c r="G3569" s="636" t="s">
        <v>8566</v>
      </c>
      <c r="H3569" s="636" t="s">
        <v>7850</v>
      </c>
      <c r="I3569" s="636" t="s">
        <v>8567</v>
      </c>
      <c r="J3569" s="644" t="s">
        <v>643</v>
      </c>
      <c r="K3569" s="739"/>
      <c r="L3569" s="754"/>
      <c r="M3569" s="735"/>
      <c r="N3569" s="753">
        <v>4</v>
      </c>
      <c r="O3569" s="754">
        <v>6</v>
      </c>
      <c r="P3569" s="736">
        <v>26689.8</v>
      </c>
      <c r="Q3569" s="214"/>
    </row>
    <row r="3570" spans="1:17" ht="12" customHeight="1" x14ac:dyDescent="0.2">
      <c r="A3570" s="735" t="s">
        <v>7733</v>
      </c>
      <c r="B3570" s="735" t="s">
        <v>2170</v>
      </c>
      <c r="C3570" s="735" t="s">
        <v>451</v>
      </c>
      <c r="D3570" s="644" t="s">
        <v>8840</v>
      </c>
      <c r="E3570" s="736">
        <v>5000</v>
      </c>
      <c r="F3570" s="737" t="s">
        <v>8841</v>
      </c>
      <c r="G3570" s="636" t="s">
        <v>8842</v>
      </c>
      <c r="H3570" s="636" t="s">
        <v>3915</v>
      </c>
      <c r="I3570" s="636" t="s">
        <v>4559</v>
      </c>
      <c r="J3570" s="644" t="s">
        <v>642</v>
      </c>
      <c r="K3570" s="739"/>
      <c r="L3570" s="754"/>
      <c r="M3570" s="735"/>
      <c r="N3570" s="753">
        <v>3</v>
      </c>
      <c r="O3570" s="754">
        <v>6</v>
      </c>
      <c r="P3570" s="736">
        <v>32689.8</v>
      </c>
      <c r="Q3570" s="214"/>
    </row>
    <row r="3571" spans="1:17" ht="12" customHeight="1" x14ac:dyDescent="0.2">
      <c r="A3571" s="735" t="s">
        <v>7733</v>
      </c>
      <c r="B3571" s="735" t="s">
        <v>2170</v>
      </c>
      <c r="C3571" s="735" t="s">
        <v>451</v>
      </c>
      <c r="D3571" s="644" t="s">
        <v>7758</v>
      </c>
      <c r="E3571" s="736">
        <v>3000</v>
      </c>
      <c r="F3571" s="737" t="s">
        <v>8722</v>
      </c>
      <c r="G3571" s="636" t="s">
        <v>8723</v>
      </c>
      <c r="H3571" s="636" t="s">
        <v>2745</v>
      </c>
      <c r="I3571" s="636" t="s">
        <v>7874</v>
      </c>
      <c r="J3571" s="644" t="s">
        <v>642</v>
      </c>
      <c r="K3571" s="739"/>
      <c r="L3571" s="754"/>
      <c r="M3571" s="735"/>
      <c r="N3571" s="753">
        <v>4</v>
      </c>
      <c r="O3571" s="754">
        <v>6</v>
      </c>
      <c r="P3571" s="736">
        <v>20689.8</v>
      </c>
      <c r="Q3571" s="214"/>
    </row>
    <row r="3572" spans="1:17" ht="12" customHeight="1" x14ac:dyDescent="0.2">
      <c r="A3572" s="735" t="s">
        <v>7733</v>
      </c>
      <c r="B3572" s="735" t="s">
        <v>2170</v>
      </c>
      <c r="C3572" s="735" t="s">
        <v>451</v>
      </c>
      <c r="D3572" s="644" t="s">
        <v>9801</v>
      </c>
      <c r="E3572" s="736">
        <v>5000</v>
      </c>
      <c r="F3572" s="737" t="s">
        <v>9802</v>
      </c>
      <c r="G3572" s="636" t="s">
        <v>9803</v>
      </c>
      <c r="H3572" s="636"/>
      <c r="I3572" s="636"/>
      <c r="J3572" s="644" t="s">
        <v>642</v>
      </c>
      <c r="K3572" s="739"/>
      <c r="L3572" s="754"/>
      <c r="M3572" s="735"/>
      <c r="N3572" s="753">
        <v>4</v>
      </c>
      <c r="O3572" s="754">
        <v>6</v>
      </c>
      <c r="P3572" s="736">
        <v>32689.8</v>
      </c>
      <c r="Q3572" s="214"/>
    </row>
    <row r="3573" spans="1:17" ht="12" customHeight="1" x14ac:dyDescent="0.2">
      <c r="A3573" s="735" t="s">
        <v>7733</v>
      </c>
      <c r="B3573" s="735" t="s">
        <v>2170</v>
      </c>
      <c r="C3573" s="735" t="s">
        <v>451</v>
      </c>
      <c r="D3573" s="644" t="s">
        <v>9943</v>
      </c>
      <c r="E3573" s="736">
        <v>5000</v>
      </c>
      <c r="F3573" s="737" t="s">
        <v>9944</v>
      </c>
      <c r="G3573" s="636" t="s">
        <v>9945</v>
      </c>
      <c r="H3573" s="636" t="s">
        <v>9946</v>
      </c>
      <c r="I3573" s="636" t="s">
        <v>2179</v>
      </c>
      <c r="J3573" s="644" t="s">
        <v>642</v>
      </c>
      <c r="K3573" s="739"/>
      <c r="L3573" s="754"/>
      <c r="M3573" s="735"/>
      <c r="N3573" s="753">
        <v>4</v>
      </c>
      <c r="O3573" s="754">
        <v>6</v>
      </c>
      <c r="P3573" s="736">
        <v>32689.8</v>
      </c>
      <c r="Q3573" s="214"/>
    </row>
    <row r="3574" spans="1:17" ht="12" customHeight="1" x14ac:dyDescent="0.2">
      <c r="A3574" s="735" t="s">
        <v>7733</v>
      </c>
      <c r="B3574" s="735" t="s">
        <v>2170</v>
      </c>
      <c r="C3574" s="735" t="s">
        <v>451</v>
      </c>
      <c r="D3574" s="644" t="s">
        <v>9554</v>
      </c>
      <c r="E3574" s="736">
        <v>3500</v>
      </c>
      <c r="F3574" s="737" t="s">
        <v>9555</v>
      </c>
      <c r="G3574" s="636" t="s">
        <v>9556</v>
      </c>
      <c r="H3574" s="636" t="s">
        <v>9557</v>
      </c>
      <c r="I3574" s="636" t="s">
        <v>3760</v>
      </c>
      <c r="J3574" s="644" t="s">
        <v>643</v>
      </c>
      <c r="K3574" s="739"/>
      <c r="L3574" s="754"/>
      <c r="M3574" s="735"/>
      <c r="N3574" s="753">
        <v>4</v>
      </c>
      <c r="O3574" s="754">
        <v>6</v>
      </c>
      <c r="P3574" s="736">
        <v>23689.8</v>
      </c>
      <c r="Q3574" s="214"/>
    </row>
    <row r="3575" spans="1:17" ht="12" customHeight="1" x14ac:dyDescent="0.2">
      <c r="A3575" s="735" t="s">
        <v>7733</v>
      </c>
      <c r="B3575" s="735" t="s">
        <v>2170</v>
      </c>
      <c r="C3575" s="735" t="s">
        <v>451</v>
      </c>
      <c r="D3575" s="644" t="s">
        <v>7817</v>
      </c>
      <c r="E3575" s="736">
        <v>1600</v>
      </c>
      <c r="F3575" s="737" t="s">
        <v>8455</v>
      </c>
      <c r="G3575" s="636" t="s">
        <v>8456</v>
      </c>
      <c r="H3575" s="636" t="s">
        <v>7939</v>
      </c>
      <c r="I3575" s="636" t="s">
        <v>8089</v>
      </c>
      <c r="J3575" s="644" t="s">
        <v>643</v>
      </c>
      <c r="K3575" s="739"/>
      <c r="L3575" s="754"/>
      <c r="M3575" s="735"/>
      <c r="N3575" s="753">
        <v>4</v>
      </c>
      <c r="O3575" s="754">
        <v>6</v>
      </c>
      <c r="P3575" s="736">
        <v>11928</v>
      </c>
      <c r="Q3575" s="214"/>
    </row>
    <row r="3576" spans="1:17" ht="12" customHeight="1" x14ac:dyDescent="0.2">
      <c r="A3576" s="735" t="s">
        <v>7733</v>
      </c>
      <c r="B3576" s="735" t="s">
        <v>2170</v>
      </c>
      <c r="C3576" s="735" t="s">
        <v>451</v>
      </c>
      <c r="D3576" s="644" t="s">
        <v>2261</v>
      </c>
      <c r="E3576" s="736">
        <v>3000</v>
      </c>
      <c r="F3576" s="737" t="s">
        <v>7885</v>
      </c>
      <c r="G3576" s="636" t="s">
        <v>7886</v>
      </c>
      <c r="H3576" s="636" t="s">
        <v>7887</v>
      </c>
      <c r="I3576" s="636" t="s">
        <v>7887</v>
      </c>
      <c r="J3576" s="644" t="s">
        <v>642</v>
      </c>
      <c r="K3576" s="739"/>
      <c r="L3576" s="754"/>
      <c r="M3576" s="735"/>
      <c r="N3576" s="753">
        <v>4</v>
      </c>
      <c r="O3576" s="754">
        <v>6</v>
      </c>
      <c r="P3576" s="736">
        <v>20689.8</v>
      </c>
      <c r="Q3576" s="214"/>
    </row>
    <row r="3577" spans="1:17" ht="12" customHeight="1" x14ac:dyDescent="0.2">
      <c r="A3577" s="735" t="s">
        <v>7733</v>
      </c>
      <c r="B3577" s="735" t="s">
        <v>2170</v>
      </c>
      <c r="C3577" s="735" t="s">
        <v>451</v>
      </c>
      <c r="D3577" s="644" t="s">
        <v>9309</v>
      </c>
      <c r="E3577" s="736">
        <v>5000</v>
      </c>
      <c r="F3577" s="737" t="s">
        <v>10022</v>
      </c>
      <c r="G3577" s="636" t="s">
        <v>10023</v>
      </c>
      <c r="H3577" s="636" t="s">
        <v>2979</v>
      </c>
      <c r="I3577" s="636" t="s">
        <v>2979</v>
      </c>
      <c r="J3577" s="644" t="s">
        <v>642</v>
      </c>
      <c r="K3577" s="739"/>
      <c r="L3577" s="754"/>
      <c r="M3577" s="735"/>
      <c r="N3577" s="753">
        <v>3</v>
      </c>
      <c r="O3577" s="754">
        <v>3</v>
      </c>
      <c r="P3577" s="736">
        <v>17689.8</v>
      </c>
      <c r="Q3577" s="214"/>
    </row>
    <row r="3578" spans="1:17" ht="12" customHeight="1" x14ac:dyDescent="0.2">
      <c r="A3578" s="735" t="s">
        <v>7733</v>
      </c>
      <c r="B3578" s="735" t="s">
        <v>2170</v>
      </c>
      <c r="C3578" s="735" t="s">
        <v>451</v>
      </c>
      <c r="D3578" s="644" t="s">
        <v>7779</v>
      </c>
      <c r="E3578" s="736">
        <v>4000</v>
      </c>
      <c r="F3578" s="737" t="s">
        <v>7798</v>
      </c>
      <c r="G3578" s="636" t="s">
        <v>7799</v>
      </c>
      <c r="H3578" s="636" t="s">
        <v>7782</v>
      </c>
      <c r="I3578" s="636" t="s">
        <v>2208</v>
      </c>
      <c r="J3578" s="644" t="s">
        <v>642</v>
      </c>
      <c r="K3578" s="739"/>
      <c r="L3578" s="754"/>
      <c r="M3578" s="735"/>
      <c r="N3578" s="753">
        <v>4</v>
      </c>
      <c r="O3578" s="754">
        <v>6</v>
      </c>
      <c r="P3578" s="736">
        <v>26689.8</v>
      </c>
      <c r="Q3578" s="214"/>
    </row>
    <row r="3579" spans="1:17" ht="12" customHeight="1" x14ac:dyDescent="0.2">
      <c r="A3579" s="735" t="s">
        <v>7733</v>
      </c>
      <c r="B3579" s="735" t="s">
        <v>2170</v>
      </c>
      <c r="C3579" s="735" t="s">
        <v>451</v>
      </c>
      <c r="D3579" s="644" t="s">
        <v>7817</v>
      </c>
      <c r="E3579" s="736">
        <v>2500</v>
      </c>
      <c r="F3579" s="737" t="s">
        <v>10065</v>
      </c>
      <c r="G3579" s="636" t="s">
        <v>10066</v>
      </c>
      <c r="H3579" s="636" t="s">
        <v>9497</v>
      </c>
      <c r="I3579" s="636" t="s">
        <v>3057</v>
      </c>
      <c r="J3579" s="644" t="s">
        <v>643</v>
      </c>
      <c r="K3579" s="739"/>
      <c r="L3579" s="754"/>
      <c r="M3579" s="735"/>
      <c r="N3579" s="753">
        <v>4</v>
      </c>
      <c r="O3579" s="754">
        <v>6</v>
      </c>
      <c r="P3579" s="736">
        <v>17689.8</v>
      </c>
      <c r="Q3579" s="214"/>
    </row>
    <row r="3580" spans="1:17" ht="12" customHeight="1" x14ac:dyDescent="0.2">
      <c r="A3580" s="735" t="s">
        <v>7733</v>
      </c>
      <c r="B3580" s="735" t="s">
        <v>2170</v>
      </c>
      <c r="C3580" s="735" t="s">
        <v>451</v>
      </c>
      <c r="D3580" s="644" t="s">
        <v>2190</v>
      </c>
      <c r="E3580" s="736">
        <v>2200</v>
      </c>
      <c r="F3580" s="737" t="s">
        <v>9564</v>
      </c>
      <c r="G3580" s="636" t="s">
        <v>9565</v>
      </c>
      <c r="H3580" s="636"/>
      <c r="I3580" s="636"/>
      <c r="J3580" s="644" t="s">
        <v>644</v>
      </c>
      <c r="K3580" s="739"/>
      <c r="L3580" s="754"/>
      <c r="M3580" s="735"/>
      <c r="N3580" s="753">
        <v>4</v>
      </c>
      <c r="O3580" s="754">
        <v>6</v>
      </c>
      <c r="P3580" s="736">
        <v>15889.8</v>
      </c>
      <c r="Q3580" s="214"/>
    </row>
    <row r="3581" spans="1:17" ht="12" customHeight="1" x14ac:dyDescent="0.2">
      <c r="A3581" s="735" t="s">
        <v>7733</v>
      </c>
      <c r="B3581" s="735" t="s">
        <v>2170</v>
      </c>
      <c r="C3581" s="735" t="s">
        <v>451</v>
      </c>
      <c r="D3581" s="644" t="s">
        <v>10240</v>
      </c>
      <c r="E3581" s="736">
        <v>5500</v>
      </c>
      <c r="F3581" s="737" t="s">
        <v>10241</v>
      </c>
      <c r="G3581" s="636" t="s">
        <v>10242</v>
      </c>
      <c r="H3581" s="636" t="s">
        <v>6571</v>
      </c>
      <c r="I3581" s="636" t="s">
        <v>2179</v>
      </c>
      <c r="J3581" s="644" t="s">
        <v>642</v>
      </c>
      <c r="K3581" s="739"/>
      <c r="L3581" s="754"/>
      <c r="M3581" s="735"/>
      <c r="N3581" s="753">
        <v>4</v>
      </c>
      <c r="O3581" s="754">
        <v>6</v>
      </c>
      <c r="P3581" s="736">
        <v>35689.800000000003</v>
      </c>
      <c r="Q3581" s="214"/>
    </row>
    <row r="3582" spans="1:17" ht="12" customHeight="1" x14ac:dyDescent="0.2">
      <c r="A3582" s="735" t="s">
        <v>7733</v>
      </c>
      <c r="B3582" s="735" t="s">
        <v>2170</v>
      </c>
      <c r="C3582" s="735" t="s">
        <v>451</v>
      </c>
      <c r="D3582" s="644" t="s">
        <v>9149</v>
      </c>
      <c r="E3582" s="736">
        <v>3000</v>
      </c>
      <c r="F3582" s="737" t="s">
        <v>9150</v>
      </c>
      <c r="G3582" s="636" t="s">
        <v>9151</v>
      </c>
      <c r="H3582" s="636" t="s">
        <v>6571</v>
      </c>
      <c r="I3582" s="636" t="s">
        <v>2179</v>
      </c>
      <c r="J3582" s="644" t="s">
        <v>642</v>
      </c>
      <c r="K3582" s="739"/>
      <c r="L3582" s="754"/>
      <c r="M3582" s="735"/>
      <c r="N3582" s="753">
        <v>5</v>
      </c>
      <c r="O3582" s="754">
        <v>6</v>
      </c>
      <c r="P3582" s="736">
        <v>20689.8</v>
      </c>
      <c r="Q3582" s="214"/>
    </row>
    <row r="3583" spans="1:17" ht="12" customHeight="1" x14ac:dyDescent="0.2">
      <c r="A3583" s="735" t="s">
        <v>7733</v>
      </c>
      <c r="B3583" s="735" t="s">
        <v>2170</v>
      </c>
      <c r="C3583" s="735" t="s">
        <v>451</v>
      </c>
      <c r="D3583" s="644" t="s">
        <v>9043</v>
      </c>
      <c r="E3583" s="736">
        <v>4000</v>
      </c>
      <c r="F3583" s="737" t="s">
        <v>9679</v>
      </c>
      <c r="G3583" s="636" t="s">
        <v>9680</v>
      </c>
      <c r="H3583" s="636" t="s">
        <v>8000</v>
      </c>
      <c r="I3583" s="636" t="s">
        <v>8246</v>
      </c>
      <c r="J3583" s="644" t="s">
        <v>642</v>
      </c>
      <c r="K3583" s="739"/>
      <c r="L3583" s="754"/>
      <c r="M3583" s="735"/>
      <c r="N3583" s="753">
        <v>6</v>
      </c>
      <c r="O3583" s="754">
        <v>6</v>
      </c>
      <c r="P3583" s="736">
        <v>26689.8</v>
      </c>
      <c r="Q3583" s="214"/>
    </row>
    <row r="3584" spans="1:17" ht="12" customHeight="1" x14ac:dyDescent="0.2">
      <c r="A3584" s="735" t="s">
        <v>7733</v>
      </c>
      <c r="B3584" s="735" t="s">
        <v>2170</v>
      </c>
      <c r="C3584" s="735" t="s">
        <v>451</v>
      </c>
      <c r="D3584" s="644" t="s">
        <v>8401</v>
      </c>
      <c r="E3584" s="736">
        <v>5000</v>
      </c>
      <c r="F3584" s="737" t="s">
        <v>8509</v>
      </c>
      <c r="G3584" s="636" t="s">
        <v>8510</v>
      </c>
      <c r="H3584" s="636" t="s">
        <v>7752</v>
      </c>
      <c r="I3584" s="636" t="s">
        <v>2179</v>
      </c>
      <c r="J3584" s="644" t="s">
        <v>642</v>
      </c>
      <c r="K3584" s="739"/>
      <c r="L3584" s="754"/>
      <c r="M3584" s="735"/>
      <c r="N3584" s="753">
        <v>4</v>
      </c>
      <c r="O3584" s="754">
        <v>6</v>
      </c>
      <c r="P3584" s="736">
        <v>32689.8</v>
      </c>
      <c r="Q3584" s="214"/>
    </row>
    <row r="3585" spans="1:17" ht="12" customHeight="1" x14ac:dyDescent="0.2">
      <c r="A3585" s="735" t="s">
        <v>7733</v>
      </c>
      <c r="B3585" s="735" t="s">
        <v>2170</v>
      </c>
      <c r="C3585" s="735" t="s">
        <v>451</v>
      </c>
      <c r="D3585" s="644" t="s">
        <v>8794</v>
      </c>
      <c r="E3585" s="736">
        <v>3000</v>
      </c>
      <c r="F3585" s="737" t="s">
        <v>8795</v>
      </c>
      <c r="G3585" s="636" t="s">
        <v>8796</v>
      </c>
      <c r="H3585" s="636" t="s">
        <v>7752</v>
      </c>
      <c r="I3585" s="636" t="s">
        <v>2179</v>
      </c>
      <c r="J3585" s="644" t="s">
        <v>642</v>
      </c>
      <c r="K3585" s="739"/>
      <c r="L3585" s="754"/>
      <c r="M3585" s="735"/>
      <c r="N3585" s="753">
        <v>6</v>
      </c>
      <c r="O3585" s="754">
        <v>6</v>
      </c>
      <c r="P3585" s="736">
        <v>20689.8</v>
      </c>
      <c r="Q3585" s="214"/>
    </row>
    <row r="3586" spans="1:17" ht="12" customHeight="1" x14ac:dyDescent="0.2">
      <c r="A3586" s="735" t="s">
        <v>7733</v>
      </c>
      <c r="B3586" s="735" t="s">
        <v>2170</v>
      </c>
      <c r="C3586" s="735" t="s">
        <v>451</v>
      </c>
      <c r="D3586" s="644" t="s">
        <v>7817</v>
      </c>
      <c r="E3586" s="736">
        <v>2500</v>
      </c>
      <c r="F3586" s="737" t="s">
        <v>9422</v>
      </c>
      <c r="G3586" s="636" t="s">
        <v>9423</v>
      </c>
      <c r="H3586" s="636" t="s">
        <v>6571</v>
      </c>
      <c r="I3586" s="636" t="s">
        <v>8036</v>
      </c>
      <c r="J3586" s="644" t="s">
        <v>643</v>
      </c>
      <c r="K3586" s="739"/>
      <c r="L3586" s="754"/>
      <c r="M3586" s="735"/>
      <c r="N3586" s="753">
        <v>6</v>
      </c>
      <c r="O3586" s="754">
        <v>6</v>
      </c>
      <c r="P3586" s="736">
        <v>17689.8</v>
      </c>
      <c r="Q3586" s="214"/>
    </row>
    <row r="3587" spans="1:17" ht="12" customHeight="1" x14ac:dyDescent="0.2">
      <c r="A3587" s="735" t="s">
        <v>7733</v>
      </c>
      <c r="B3587" s="735" t="s">
        <v>2170</v>
      </c>
      <c r="C3587" s="735" t="s">
        <v>451</v>
      </c>
      <c r="D3587" s="644" t="s">
        <v>9108</v>
      </c>
      <c r="E3587" s="736">
        <v>2300</v>
      </c>
      <c r="F3587" s="737" t="s">
        <v>9109</v>
      </c>
      <c r="G3587" s="636" t="s">
        <v>9110</v>
      </c>
      <c r="H3587" s="636" t="s">
        <v>3915</v>
      </c>
      <c r="I3587" s="636" t="s">
        <v>4559</v>
      </c>
      <c r="J3587" s="644" t="s">
        <v>643</v>
      </c>
      <c r="K3587" s="739"/>
      <c r="L3587" s="754"/>
      <c r="M3587" s="735"/>
      <c r="N3587" s="753">
        <v>4</v>
      </c>
      <c r="O3587" s="754">
        <v>6</v>
      </c>
      <c r="P3587" s="736">
        <v>16489.8</v>
      </c>
      <c r="Q3587" s="214"/>
    </row>
    <row r="3588" spans="1:17" ht="12" customHeight="1" x14ac:dyDescent="0.2">
      <c r="A3588" s="735" t="s">
        <v>7733</v>
      </c>
      <c r="B3588" s="735" t="s">
        <v>2170</v>
      </c>
      <c r="C3588" s="735" t="s">
        <v>451</v>
      </c>
      <c r="D3588" s="644" t="s">
        <v>7871</v>
      </c>
      <c r="E3588" s="736">
        <v>4000</v>
      </c>
      <c r="F3588" s="737" t="s">
        <v>8017</v>
      </c>
      <c r="G3588" s="636" t="s">
        <v>8018</v>
      </c>
      <c r="H3588" s="636" t="s">
        <v>8000</v>
      </c>
      <c r="I3588" s="636" t="s">
        <v>2478</v>
      </c>
      <c r="J3588" s="644" t="s">
        <v>642</v>
      </c>
      <c r="K3588" s="739"/>
      <c r="L3588" s="754"/>
      <c r="M3588" s="735"/>
      <c r="N3588" s="753">
        <v>6</v>
      </c>
      <c r="O3588" s="754">
        <v>6</v>
      </c>
      <c r="P3588" s="736">
        <v>26689.8</v>
      </c>
      <c r="Q3588" s="214"/>
    </row>
    <row r="3589" spans="1:17" ht="12" customHeight="1" x14ac:dyDescent="0.2">
      <c r="A3589" s="735" t="s">
        <v>7733</v>
      </c>
      <c r="B3589" s="735" t="s">
        <v>2170</v>
      </c>
      <c r="C3589" s="735" t="s">
        <v>451</v>
      </c>
      <c r="D3589" s="644" t="s">
        <v>7779</v>
      </c>
      <c r="E3589" s="736">
        <v>4000</v>
      </c>
      <c r="F3589" s="737" t="s">
        <v>9234</v>
      </c>
      <c r="G3589" s="636" t="s">
        <v>9235</v>
      </c>
      <c r="H3589" s="636" t="s">
        <v>7152</v>
      </c>
      <c r="I3589" s="636" t="s">
        <v>2317</v>
      </c>
      <c r="J3589" s="644" t="s">
        <v>642</v>
      </c>
      <c r="K3589" s="739"/>
      <c r="L3589" s="754"/>
      <c r="M3589" s="735"/>
      <c r="N3589" s="753">
        <v>4</v>
      </c>
      <c r="O3589" s="754">
        <v>6</v>
      </c>
      <c r="P3589" s="736">
        <v>26689.8</v>
      </c>
      <c r="Q3589" s="214"/>
    </row>
    <row r="3590" spans="1:17" ht="12" customHeight="1" x14ac:dyDescent="0.2">
      <c r="A3590" s="735" t="s">
        <v>7733</v>
      </c>
      <c r="B3590" s="735" t="s">
        <v>2170</v>
      </c>
      <c r="C3590" s="735" t="s">
        <v>451</v>
      </c>
      <c r="D3590" s="644" t="s">
        <v>8029</v>
      </c>
      <c r="E3590" s="736">
        <v>4000</v>
      </c>
      <c r="F3590" s="737" t="s">
        <v>9839</v>
      </c>
      <c r="G3590" s="636" t="s">
        <v>9840</v>
      </c>
      <c r="H3590" s="636"/>
      <c r="I3590" s="636"/>
      <c r="J3590" s="644" t="s">
        <v>9278</v>
      </c>
      <c r="K3590" s="739"/>
      <c r="L3590" s="754"/>
      <c r="M3590" s="735"/>
      <c r="N3590" s="753">
        <v>6</v>
      </c>
      <c r="O3590" s="754">
        <v>6</v>
      </c>
      <c r="P3590" s="736">
        <v>26689.8</v>
      </c>
      <c r="Q3590" s="214"/>
    </row>
    <row r="3591" spans="1:17" ht="12" customHeight="1" x14ac:dyDescent="0.2">
      <c r="A3591" s="735" t="s">
        <v>7733</v>
      </c>
      <c r="B3591" s="735" t="s">
        <v>2170</v>
      </c>
      <c r="C3591" s="735" t="s">
        <v>451</v>
      </c>
      <c r="D3591" s="644" t="s">
        <v>7831</v>
      </c>
      <c r="E3591" s="736">
        <v>1600</v>
      </c>
      <c r="F3591" s="737" t="s">
        <v>8428</v>
      </c>
      <c r="G3591" s="636" t="s">
        <v>8429</v>
      </c>
      <c r="H3591" s="636" t="s">
        <v>10243</v>
      </c>
      <c r="I3591" s="636"/>
      <c r="J3591" s="644" t="s">
        <v>643</v>
      </c>
      <c r="K3591" s="739"/>
      <c r="L3591" s="754"/>
      <c r="M3591" s="735"/>
      <c r="N3591" s="753">
        <v>6</v>
      </c>
      <c r="O3591" s="754">
        <v>6</v>
      </c>
      <c r="P3591" s="736">
        <v>11928</v>
      </c>
      <c r="Q3591" s="214"/>
    </row>
    <row r="3592" spans="1:17" ht="12" customHeight="1" x14ac:dyDescent="0.2">
      <c r="A3592" s="735" t="s">
        <v>7733</v>
      </c>
      <c r="B3592" s="735" t="s">
        <v>2170</v>
      </c>
      <c r="C3592" s="735" t="s">
        <v>451</v>
      </c>
      <c r="D3592" s="644" t="s">
        <v>8045</v>
      </c>
      <c r="E3592" s="736">
        <v>2200</v>
      </c>
      <c r="F3592" s="737" t="s">
        <v>8809</v>
      </c>
      <c r="G3592" s="636" t="s">
        <v>8810</v>
      </c>
      <c r="H3592" s="636" t="s">
        <v>10194</v>
      </c>
      <c r="I3592" s="636"/>
      <c r="J3592" s="644" t="s">
        <v>7991</v>
      </c>
      <c r="K3592" s="739"/>
      <c r="L3592" s="754"/>
      <c r="M3592" s="735"/>
      <c r="N3592" s="753">
        <v>5</v>
      </c>
      <c r="O3592" s="754">
        <v>6</v>
      </c>
      <c r="P3592" s="736">
        <v>15889.8</v>
      </c>
      <c r="Q3592" s="214"/>
    </row>
    <row r="3593" spans="1:17" ht="12" customHeight="1" x14ac:dyDescent="0.2">
      <c r="A3593" s="735" t="s">
        <v>7733</v>
      </c>
      <c r="B3593" s="735" t="s">
        <v>2170</v>
      </c>
      <c r="C3593" s="735" t="s">
        <v>451</v>
      </c>
      <c r="D3593" s="644" t="s">
        <v>7932</v>
      </c>
      <c r="E3593" s="736">
        <v>2500</v>
      </c>
      <c r="F3593" s="737" t="s">
        <v>8052</v>
      </c>
      <c r="G3593" s="636" t="s">
        <v>8053</v>
      </c>
      <c r="H3593" s="636"/>
      <c r="I3593" s="636"/>
      <c r="J3593" s="644" t="s">
        <v>642</v>
      </c>
      <c r="K3593" s="739"/>
      <c r="L3593" s="754"/>
      <c r="M3593" s="735"/>
      <c r="N3593" s="753">
        <v>6</v>
      </c>
      <c r="O3593" s="754">
        <v>6</v>
      </c>
      <c r="P3593" s="736">
        <v>17689.8</v>
      </c>
      <c r="Q3593" s="214"/>
    </row>
    <row r="3594" spans="1:17" ht="12" customHeight="1" x14ac:dyDescent="0.2">
      <c r="A3594" s="735" t="s">
        <v>7733</v>
      </c>
      <c r="B3594" s="735" t="s">
        <v>2170</v>
      </c>
      <c r="C3594" s="735" t="s">
        <v>451</v>
      </c>
      <c r="D3594" s="644" t="s">
        <v>7921</v>
      </c>
      <c r="E3594" s="736">
        <v>4000</v>
      </c>
      <c r="F3594" s="737" t="s">
        <v>7922</v>
      </c>
      <c r="G3594" s="636" t="s">
        <v>7923</v>
      </c>
      <c r="H3594" s="636" t="s">
        <v>10244</v>
      </c>
      <c r="I3594" s="636"/>
      <c r="J3594" s="644" t="s">
        <v>642</v>
      </c>
      <c r="K3594" s="739"/>
      <c r="L3594" s="754"/>
      <c r="M3594" s="735"/>
      <c r="N3594" s="753">
        <v>4</v>
      </c>
      <c r="O3594" s="754">
        <v>6</v>
      </c>
      <c r="P3594" s="736">
        <v>26689.8</v>
      </c>
      <c r="Q3594" s="214"/>
    </row>
    <row r="3595" spans="1:17" ht="12" customHeight="1" x14ac:dyDescent="0.2">
      <c r="A3595" s="735" t="s">
        <v>7733</v>
      </c>
      <c r="B3595" s="735" t="s">
        <v>2170</v>
      </c>
      <c r="C3595" s="735" t="s">
        <v>451</v>
      </c>
      <c r="D3595" s="644" t="s">
        <v>8268</v>
      </c>
      <c r="E3595" s="736">
        <v>2200</v>
      </c>
      <c r="F3595" s="737" t="s">
        <v>10069</v>
      </c>
      <c r="G3595" s="636" t="s">
        <v>10070</v>
      </c>
      <c r="H3595" s="636" t="s">
        <v>7916</v>
      </c>
      <c r="I3595" s="636" t="s">
        <v>7917</v>
      </c>
      <c r="J3595" s="644" t="s">
        <v>643</v>
      </c>
      <c r="K3595" s="739"/>
      <c r="L3595" s="754"/>
      <c r="M3595" s="735"/>
      <c r="N3595" s="753">
        <v>4</v>
      </c>
      <c r="O3595" s="754">
        <v>6</v>
      </c>
      <c r="P3595" s="736">
        <v>15889.8</v>
      </c>
      <c r="Q3595" s="214"/>
    </row>
    <row r="3596" spans="1:17" ht="12" customHeight="1" x14ac:dyDescent="0.2">
      <c r="A3596" s="735" t="s">
        <v>7733</v>
      </c>
      <c r="B3596" s="735" t="s">
        <v>2170</v>
      </c>
      <c r="C3596" s="735" t="s">
        <v>451</v>
      </c>
      <c r="D3596" s="644" t="s">
        <v>8452</v>
      </c>
      <c r="E3596" s="736">
        <v>3000</v>
      </c>
      <c r="F3596" s="737" t="s">
        <v>8453</v>
      </c>
      <c r="G3596" s="636" t="s">
        <v>8454</v>
      </c>
      <c r="H3596" s="636" t="s">
        <v>6778</v>
      </c>
      <c r="I3596" s="636"/>
      <c r="J3596" s="644" t="s">
        <v>642</v>
      </c>
      <c r="K3596" s="739"/>
      <c r="L3596" s="754"/>
      <c r="M3596" s="735"/>
      <c r="N3596" s="753">
        <v>2</v>
      </c>
      <c r="O3596" s="754">
        <v>2</v>
      </c>
      <c r="P3596" s="736">
        <v>8689.7999999999993</v>
      </c>
      <c r="Q3596" s="214"/>
    </row>
    <row r="3597" spans="1:17" ht="12" customHeight="1" x14ac:dyDescent="0.2">
      <c r="A3597" s="735" t="s">
        <v>7733</v>
      </c>
      <c r="B3597" s="735" t="s">
        <v>2170</v>
      </c>
      <c r="C3597" s="735" t="s">
        <v>451</v>
      </c>
      <c r="D3597" s="644" t="s">
        <v>8486</v>
      </c>
      <c r="E3597" s="736">
        <v>7000</v>
      </c>
      <c r="F3597" s="737" t="s">
        <v>8487</v>
      </c>
      <c r="G3597" s="636" t="s">
        <v>8488</v>
      </c>
      <c r="H3597" s="636" t="s">
        <v>6571</v>
      </c>
      <c r="I3597" s="636" t="s">
        <v>2179</v>
      </c>
      <c r="J3597" s="644" t="s">
        <v>642</v>
      </c>
      <c r="K3597" s="739"/>
      <c r="L3597" s="754"/>
      <c r="M3597" s="735"/>
      <c r="N3597" s="753">
        <v>4</v>
      </c>
      <c r="O3597" s="754">
        <v>6</v>
      </c>
      <c r="P3597" s="736">
        <v>44689.8</v>
      </c>
      <c r="Q3597" s="214"/>
    </row>
    <row r="3598" spans="1:17" ht="12" customHeight="1" x14ac:dyDescent="0.2">
      <c r="A3598" s="735" t="s">
        <v>7733</v>
      </c>
      <c r="B3598" s="735" t="s">
        <v>2170</v>
      </c>
      <c r="C3598" s="735" t="s">
        <v>451</v>
      </c>
      <c r="D3598" s="644" t="s">
        <v>8430</v>
      </c>
      <c r="E3598" s="736">
        <v>4500</v>
      </c>
      <c r="F3598" s="737" t="s">
        <v>9931</v>
      </c>
      <c r="G3598" s="636" t="s">
        <v>9932</v>
      </c>
      <c r="H3598" s="636" t="s">
        <v>6571</v>
      </c>
      <c r="I3598" s="636" t="s">
        <v>2179</v>
      </c>
      <c r="J3598" s="644" t="s">
        <v>642</v>
      </c>
      <c r="K3598" s="739"/>
      <c r="L3598" s="754"/>
      <c r="M3598" s="735"/>
      <c r="N3598" s="753">
        <v>4</v>
      </c>
      <c r="O3598" s="754">
        <v>6</v>
      </c>
      <c r="P3598" s="736">
        <v>29689.8</v>
      </c>
      <c r="Q3598" s="214"/>
    </row>
    <row r="3599" spans="1:17" ht="12" customHeight="1" x14ac:dyDescent="0.2">
      <c r="A3599" s="735" t="s">
        <v>7733</v>
      </c>
      <c r="B3599" s="735" t="s">
        <v>2170</v>
      </c>
      <c r="C3599" s="735" t="s">
        <v>451</v>
      </c>
      <c r="D3599" s="644" t="s">
        <v>8155</v>
      </c>
      <c r="E3599" s="736">
        <v>5000</v>
      </c>
      <c r="F3599" s="737" t="s">
        <v>8156</v>
      </c>
      <c r="G3599" s="636" t="s">
        <v>8157</v>
      </c>
      <c r="H3599" s="636"/>
      <c r="I3599" s="636"/>
      <c r="J3599" s="644" t="s">
        <v>642</v>
      </c>
      <c r="K3599" s="739"/>
      <c r="L3599" s="754"/>
      <c r="M3599" s="735"/>
      <c r="N3599" s="753">
        <v>6</v>
      </c>
      <c r="O3599" s="754">
        <v>6</v>
      </c>
      <c r="P3599" s="736">
        <v>32689.8</v>
      </c>
      <c r="Q3599" s="214"/>
    </row>
    <row r="3600" spans="1:17" ht="12" customHeight="1" x14ac:dyDescent="0.2">
      <c r="A3600" s="735" t="s">
        <v>7733</v>
      </c>
      <c r="B3600" s="735" t="s">
        <v>2170</v>
      </c>
      <c r="C3600" s="735" t="s">
        <v>451</v>
      </c>
      <c r="D3600" s="644" t="s">
        <v>7843</v>
      </c>
      <c r="E3600" s="736">
        <v>4000</v>
      </c>
      <c r="F3600" s="737" t="s">
        <v>9448</v>
      </c>
      <c r="G3600" s="636" t="s">
        <v>9449</v>
      </c>
      <c r="H3600" s="636" t="s">
        <v>7752</v>
      </c>
      <c r="I3600" s="636" t="s">
        <v>2766</v>
      </c>
      <c r="J3600" s="644" t="s">
        <v>642</v>
      </c>
      <c r="K3600" s="739"/>
      <c r="L3600" s="754"/>
      <c r="M3600" s="735"/>
      <c r="N3600" s="753">
        <v>6</v>
      </c>
      <c r="O3600" s="754">
        <v>6</v>
      </c>
      <c r="P3600" s="736">
        <v>26689.8</v>
      </c>
      <c r="Q3600" s="214"/>
    </row>
    <row r="3601" spans="1:17" ht="12" customHeight="1" x14ac:dyDescent="0.2">
      <c r="A3601" s="735" t="s">
        <v>7733</v>
      </c>
      <c r="B3601" s="735" t="s">
        <v>2170</v>
      </c>
      <c r="C3601" s="735" t="s">
        <v>451</v>
      </c>
      <c r="D3601" s="644" t="s">
        <v>7965</v>
      </c>
      <c r="E3601" s="736">
        <v>4000</v>
      </c>
      <c r="F3601" s="737" t="s">
        <v>8930</v>
      </c>
      <c r="G3601" s="636" t="s">
        <v>8931</v>
      </c>
      <c r="H3601" s="636" t="s">
        <v>7752</v>
      </c>
      <c r="I3601" s="636" t="s">
        <v>2179</v>
      </c>
      <c r="J3601" s="644" t="s">
        <v>642</v>
      </c>
      <c r="K3601" s="739"/>
      <c r="L3601" s="754"/>
      <c r="M3601" s="735"/>
      <c r="N3601" s="753">
        <v>4</v>
      </c>
      <c r="O3601" s="754">
        <v>6</v>
      </c>
      <c r="P3601" s="736">
        <v>26689.8</v>
      </c>
      <c r="Q3601" s="214"/>
    </row>
    <row r="3602" spans="1:17" ht="12" customHeight="1" x14ac:dyDescent="0.2">
      <c r="A3602" s="735" t="s">
        <v>7733</v>
      </c>
      <c r="B3602" s="735" t="s">
        <v>2170</v>
      </c>
      <c r="C3602" s="735" t="s">
        <v>451</v>
      </c>
      <c r="D3602" s="644" t="s">
        <v>2179</v>
      </c>
      <c r="E3602" s="736">
        <v>8000</v>
      </c>
      <c r="F3602" s="737" t="s">
        <v>8849</v>
      </c>
      <c r="G3602" s="636" t="s">
        <v>8850</v>
      </c>
      <c r="H3602" s="636" t="s">
        <v>6571</v>
      </c>
      <c r="I3602" s="636" t="s">
        <v>2179</v>
      </c>
      <c r="J3602" s="644" t="s">
        <v>642</v>
      </c>
      <c r="K3602" s="739"/>
      <c r="L3602" s="754"/>
      <c r="M3602" s="735"/>
      <c r="N3602" s="753">
        <v>4</v>
      </c>
      <c r="O3602" s="754">
        <v>6</v>
      </c>
      <c r="P3602" s="736">
        <v>50689.8</v>
      </c>
      <c r="Q3602" s="214"/>
    </row>
    <row r="3603" spans="1:17" ht="12" customHeight="1" x14ac:dyDescent="0.2">
      <c r="A3603" s="735" t="s">
        <v>7733</v>
      </c>
      <c r="B3603" s="735" t="s">
        <v>2170</v>
      </c>
      <c r="C3603" s="735" t="s">
        <v>451</v>
      </c>
      <c r="D3603" s="644" t="s">
        <v>7789</v>
      </c>
      <c r="E3603" s="736">
        <v>5500</v>
      </c>
      <c r="F3603" s="737" t="s">
        <v>7790</v>
      </c>
      <c r="G3603" s="636" t="s">
        <v>7791</v>
      </c>
      <c r="H3603" s="636" t="s">
        <v>7792</v>
      </c>
      <c r="I3603" s="636" t="s">
        <v>7793</v>
      </c>
      <c r="J3603" s="644" t="s">
        <v>642</v>
      </c>
      <c r="K3603" s="739"/>
      <c r="L3603" s="754"/>
      <c r="M3603" s="735"/>
      <c r="N3603" s="753">
        <v>4</v>
      </c>
      <c r="O3603" s="754">
        <v>6</v>
      </c>
      <c r="P3603" s="736">
        <v>35689.800000000003</v>
      </c>
      <c r="Q3603" s="214"/>
    </row>
    <row r="3604" spans="1:17" ht="12" customHeight="1" x14ac:dyDescent="0.2">
      <c r="A3604" s="735" t="s">
        <v>7733</v>
      </c>
      <c r="B3604" s="735" t="s">
        <v>2170</v>
      </c>
      <c r="C3604" s="735" t="s">
        <v>451</v>
      </c>
      <c r="D3604" s="644" t="s">
        <v>8622</v>
      </c>
      <c r="E3604" s="736">
        <v>4000</v>
      </c>
      <c r="F3604" s="737" t="s">
        <v>9969</v>
      </c>
      <c r="G3604" s="636" t="s">
        <v>9970</v>
      </c>
      <c r="H3604" s="636" t="s">
        <v>6571</v>
      </c>
      <c r="I3604" s="636" t="s">
        <v>2766</v>
      </c>
      <c r="J3604" s="644" t="s">
        <v>642</v>
      </c>
      <c r="K3604" s="739"/>
      <c r="L3604" s="754"/>
      <c r="M3604" s="735"/>
      <c r="N3604" s="753">
        <v>4</v>
      </c>
      <c r="O3604" s="754">
        <v>6</v>
      </c>
      <c r="P3604" s="736">
        <v>26689.8</v>
      </c>
      <c r="Q3604" s="214"/>
    </row>
    <row r="3605" spans="1:17" ht="12" customHeight="1" x14ac:dyDescent="0.2">
      <c r="A3605" s="735" t="s">
        <v>7733</v>
      </c>
      <c r="B3605" s="735" t="s">
        <v>2170</v>
      </c>
      <c r="C3605" s="735" t="s">
        <v>451</v>
      </c>
      <c r="D3605" s="644" t="s">
        <v>9325</v>
      </c>
      <c r="E3605" s="736">
        <v>6000</v>
      </c>
      <c r="F3605" s="737" t="s">
        <v>9914</v>
      </c>
      <c r="G3605" s="636" t="s">
        <v>9915</v>
      </c>
      <c r="H3605" s="636" t="s">
        <v>10244</v>
      </c>
      <c r="I3605" s="636"/>
      <c r="J3605" s="644" t="s">
        <v>642</v>
      </c>
      <c r="K3605" s="739"/>
      <c r="L3605" s="754"/>
      <c r="M3605" s="735"/>
      <c r="N3605" s="753">
        <v>3</v>
      </c>
      <c r="O3605" s="754">
        <v>5</v>
      </c>
      <c r="P3605" s="736">
        <v>32689.8</v>
      </c>
      <c r="Q3605" s="214"/>
    </row>
    <row r="3606" spans="1:17" ht="12" customHeight="1" x14ac:dyDescent="0.2">
      <c r="A3606" s="735" t="s">
        <v>7733</v>
      </c>
      <c r="B3606" s="735" t="s">
        <v>2170</v>
      </c>
      <c r="C3606" s="735" t="s">
        <v>451</v>
      </c>
      <c r="D3606" s="644" t="s">
        <v>8097</v>
      </c>
      <c r="E3606" s="736">
        <v>5000</v>
      </c>
      <c r="F3606" s="737" t="s">
        <v>9298</v>
      </c>
      <c r="G3606" s="636" t="s">
        <v>9299</v>
      </c>
      <c r="H3606" s="636" t="s">
        <v>6571</v>
      </c>
      <c r="I3606" s="636" t="s">
        <v>2179</v>
      </c>
      <c r="J3606" s="644" t="s">
        <v>642</v>
      </c>
      <c r="K3606" s="739"/>
      <c r="L3606" s="754"/>
      <c r="M3606" s="735"/>
      <c r="N3606" s="753">
        <v>5</v>
      </c>
      <c r="O3606" s="754">
        <v>6</v>
      </c>
      <c r="P3606" s="736">
        <v>32689.8</v>
      </c>
      <c r="Q3606" s="214"/>
    </row>
    <row r="3607" spans="1:17" ht="12" customHeight="1" x14ac:dyDescent="0.2">
      <c r="A3607" s="735" t="s">
        <v>7733</v>
      </c>
      <c r="B3607" s="735" t="s">
        <v>2170</v>
      </c>
      <c r="C3607" s="735" t="s">
        <v>451</v>
      </c>
      <c r="D3607" s="644" t="s">
        <v>8268</v>
      </c>
      <c r="E3607" s="736">
        <v>2200</v>
      </c>
      <c r="F3607" s="737" t="s">
        <v>9712</v>
      </c>
      <c r="G3607" s="636" t="s">
        <v>9713</v>
      </c>
      <c r="H3607" s="636" t="s">
        <v>7858</v>
      </c>
      <c r="I3607" s="636"/>
      <c r="J3607" s="644" t="s">
        <v>643</v>
      </c>
      <c r="K3607" s="739"/>
      <c r="L3607" s="754"/>
      <c r="M3607" s="735"/>
      <c r="N3607" s="753">
        <v>4</v>
      </c>
      <c r="O3607" s="754">
        <v>6</v>
      </c>
      <c r="P3607" s="736">
        <v>15889.8</v>
      </c>
      <c r="Q3607" s="214"/>
    </row>
    <row r="3608" spans="1:17" ht="12" customHeight="1" x14ac:dyDescent="0.2">
      <c r="A3608" s="735" t="s">
        <v>7733</v>
      </c>
      <c r="B3608" s="735" t="s">
        <v>2170</v>
      </c>
      <c r="C3608" s="735" t="s">
        <v>451</v>
      </c>
      <c r="D3608" s="644" t="s">
        <v>8401</v>
      </c>
      <c r="E3608" s="736">
        <v>5000</v>
      </c>
      <c r="F3608" s="737" t="s">
        <v>9746</v>
      </c>
      <c r="G3608" s="636" t="s">
        <v>9747</v>
      </c>
      <c r="H3608" s="636" t="s">
        <v>6571</v>
      </c>
      <c r="I3608" s="636" t="s">
        <v>2179</v>
      </c>
      <c r="J3608" s="644" t="s">
        <v>642</v>
      </c>
      <c r="K3608" s="739"/>
      <c r="L3608" s="754"/>
      <c r="M3608" s="735"/>
      <c r="N3608" s="753">
        <v>4</v>
      </c>
      <c r="O3608" s="754">
        <v>6</v>
      </c>
      <c r="P3608" s="736">
        <v>32689.8</v>
      </c>
      <c r="Q3608" s="214"/>
    </row>
    <row r="3609" spans="1:17" ht="12" customHeight="1" x14ac:dyDescent="0.2">
      <c r="A3609" s="735" t="s">
        <v>7733</v>
      </c>
      <c r="B3609" s="735" t="s">
        <v>2170</v>
      </c>
      <c r="C3609" s="735" t="s">
        <v>451</v>
      </c>
      <c r="D3609" s="644" t="s">
        <v>8168</v>
      </c>
      <c r="E3609" s="736">
        <v>4500</v>
      </c>
      <c r="F3609" s="737" t="s">
        <v>8192</v>
      </c>
      <c r="G3609" s="636" t="s">
        <v>8193</v>
      </c>
      <c r="H3609" s="636" t="s">
        <v>8135</v>
      </c>
      <c r="I3609" s="636" t="s">
        <v>8135</v>
      </c>
      <c r="J3609" s="644" t="s">
        <v>643</v>
      </c>
      <c r="K3609" s="739"/>
      <c r="L3609" s="754"/>
      <c r="M3609" s="735"/>
      <c r="N3609" s="753">
        <v>1</v>
      </c>
      <c r="O3609" s="754">
        <v>1</v>
      </c>
      <c r="P3609" s="736">
        <v>7189.8</v>
      </c>
      <c r="Q3609" s="214"/>
    </row>
    <row r="3610" spans="1:17" ht="12" customHeight="1" x14ac:dyDescent="0.2">
      <c r="A3610" s="735" t="s">
        <v>7733</v>
      </c>
      <c r="B3610" s="735" t="s">
        <v>2170</v>
      </c>
      <c r="C3610" s="735" t="s">
        <v>451</v>
      </c>
      <c r="D3610" s="644" t="s">
        <v>8045</v>
      </c>
      <c r="E3610" s="736">
        <v>2000</v>
      </c>
      <c r="F3610" s="737" t="s">
        <v>9369</v>
      </c>
      <c r="G3610" s="636" t="s">
        <v>9370</v>
      </c>
      <c r="H3610" s="636" t="s">
        <v>2745</v>
      </c>
      <c r="I3610" s="636" t="s">
        <v>9371</v>
      </c>
      <c r="J3610" s="644" t="s">
        <v>644</v>
      </c>
      <c r="K3610" s="739"/>
      <c r="L3610" s="754"/>
      <c r="M3610" s="735"/>
      <c r="N3610" s="753">
        <v>4</v>
      </c>
      <c r="O3610" s="754">
        <v>6</v>
      </c>
      <c r="P3610" s="736">
        <v>14689.8</v>
      </c>
      <c r="Q3610" s="214"/>
    </row>
    <row r="3611" spans="1:17" ht="12" customHeight="1" x14ac:dyDescent="0.2">
      <c r="A3611" s="735" t="s">
        <v>7733</v>
      </c>
      <c r="B3611" s="735" t="s">
        <v>2170</v>
      </c>
      <c r="C3611" s="735" t="s">
        <v>451</v>
      </c>
      <c r="D3611" s="644" t="s">
        <v>2788</v>
      </c>
      <c r="E3611" s="736">
        <v>1600</v>
      </c>
      <c r="F3611" s="737" t="s">
        <v>7937</v>
      </c>
      <c r="G3611" s="636" t="s">
        <v>7938</v>
      </c>
      <c r="H3611" s="636" t="s">
        <v>7939</v>
      </c>
      <c r="I3611" s="636" t="s">
        <v>7940</v>
      </c>
      <c r="J3611" s="644" t="s">
        <v>643</v>
      </c>
      <c r="K3611" s="739"/>
      <c r="L3611" s="754"/>
      <c r="M3611" s="735"/>
      <c r="N3611" s="753">
        <v>4</v>
      </c>
      <c r="O3611" s="754">
        <v>6</v>
      </c>
      <c r="P3611" s="736">
        <v>11928</v>
      </c>
      <c r="Q3611" s="214"/>
    </row>
    <row r="3612" spans="1:17" ht="12" customHeight="1" x14ac:dyDescent="0.2">
      <c r="A3612" s="735" t="s">
        <v>7733</v>
      </c>
      <c r="B3612" s="735" t="s">
        <v>2170</v>
      </c>
      <c r="C3612" s="735" t="s">
        <v>451</v>
      </c>
      <c r="D3612" s="644" t="s">
        <v>8367</v>
      </c>
      <c r="E3612" s="736">
        <v>2300</v>
      </c>
      <c r="F3612" s="737" t="s">
        <v>10135</v>
      </c>
      <c r="G3612" s="636" t="s">
        <v>10136</v>
      </c>
      <c r="H3612" s="636" t="s">
        <v>6571</v>
      </c>
      <c r="I3612" s="636" t="s">
        <v>2179</v>
      </c>
      <c r="J3612" s="644" t="s">
        <v>643</v>
      </c>
      <c r="K3612" s="739"/>
      <c r="L3612" s="754"/>
      <c r="M3612" s="735"/>
      <c r="N3612" s="753">
        <v>4</v>
      </c>
      <c r="O3612" s="754">
        <v>6</v>
      </c>
      <c r="P3612" s="736">
        <v>16489.8</v>
      </c>
      <c r="Q3612" s="214"/>
    </row>
    <row r="3613" spans="1:17" ht="12" customHeight="1" x14ac:dyDescent="0.2">
      <c r="A3613" s="735" t="s">
        <v>7733</v>
      </c>
      <c r="B3613" s="735" t="s">
        <v>2170</v>
      </c>
      <c r="C3613" s="735" t="s">
        <v>451</v>
      </c>
      <c r="D3613" s="644" t="s">
        <v>9338</v>
      </c>
      <c r="E3613" s="736">
        <v>1000</v>
      </c>
      <c r="F3613" s="737" t="s">
        <v>9539</v>
      </c>
      <c r="G3613" s="636" t="s">
        <v>9540</v>
      </c>
      <c r="H3613" s="636" t="s">
        <v>6613</v>
      </c>
      <c r="I3613" s="636" t="s">
        <v>2979</v>
      </c>
      <c r="J3613" s="644" t="s">
        <v>643</v>
      </c>
      <c r="K3613" s="739"/>
      <c r="L3613" s="754"/>
      <c r="M3613" s="735"/>
      <c r="N3613" s="753">
        <v>4</v>
      </c>
      <c r="O3613" s="754">
        <v>6</v>
      </c>
      <c r="P3613" s="736">
        <v>7680</v>
      </c>
      <c r="Q3613" s="214"/>
    </row>
    <row r="3614" spans="1:17" ht="12" customHeight="1" x14ac:dyDescent="0.2">
      <c r="A3614" s="735" t="s">
        <v>7733</v>
      </c>
      <c r="B3614" s="735" t="s">
        <v>2170</v>
      </c>
      <c r="C3614" s="735" t="s">
        <v>451</v>
      </c>
      <c r="D3614" s="644" t="s">
        <v>8007</v>
      </c>
      <c r="E3614" s="736">
        <v>4000</v>
      </c>
      <c r="F3614" s="737" t="s">
        <v>9669</v>
      </c>
      <c r="G3614" s="636" t="s">
        <v>9670</v>
      </c>
      <c r="H3614" s="636" t="s">
        <v>7752</v>
      </c>
      <c r="I3614" s="636" t="s">
        <v>8036</v>
      </c>
      <c r="J3614" s="644" t="s">
        <v>642</v>
      </c>
      <c r="K3614" s="739"/>
      <c r="L3614" s="754"/>
      <c r="M3614" s="735"/>
      <c r="N3614" s="753">
        <v>4</v>
      </c>
      <c r="O3614" s="754">
        <v>6</v>
      </c>
      <c r="P3614" s="736">
        <v>26689.8</v>
      </c>
      <c r="Q3614" s="214"/>
    </row>
    <row r="3615" spans="1:17" ht="12" customHeight="1" x14ac:dyDescent="0.2">
      <c r="A3615" s="735" t="s">
        <v>7733</v>
      </c>
      <c r="B3615" s="735" t="s">
        <v>2170</v>
      </c>
      <c r="C3615" s="735" t="s">
        <v>451</v>
      </c>
      <c r="D3615" s="644" t="s">
        <v>8414</v>
      </c>
      <c r="E3615" s="736">
        <v>2000</v>
      </c>
      <c r="F3615" s="737" t="s">
        <v>8679</v>
      </c>
      <c r="G3615" s="636" t="s">
        <v>8680</v>
      </c>
      <c r="H3615" s="636" t="s">
        <v>6778</v>
      </c>
      <c r="I3615" s="636" t="s">
        <v>6778</v>
      </c>
      <c r="J3615" s="644" t="s">
        <v>643</v>
      </c>
      <c r="K3615" s="739"/>
      <c r="L3615" s="754"/>
      <c r="M3615" s="735"/>
      <c r="N3615" s="753">
        <v>4</v>
      </c>
      <c r="O3615" s="754">
        <v>6</v>
      </c>
      <c r="P3615" s="736">
        <v>14689.8</v>
      </c>
      <c r="Q3615" s="214"/>
    </row>
    <row r="3616" spans="1:17" ht="12" customHeight="1" x14ac:dyDescent="0.2">
      <c r="A3616" s="735" t="s">
        <v>7733</v>
      </c>
      <c r="B3616" s="735" t="s">
        <v>2170</v>
      </c>
      <c r="C3616" s="735" t="s">
        <v>451</v>
      </c>
      <c r="D3616" s="644" t="s">
        <v>7904</v>
      </c>
      <c r="E3616" s="736">
        <v>3000</v>
      </c>
      <c r="F3616" s="737" t="s">
        <v>8201</v>
      </c>
      <c r="G3616" s="636" t="s">
        <v>8202</v>
      </c>
      <c r="H3616" s="636" t="s">
        <v>7916</v>
      </c>
      <c r="I3616" s="636" t="s">
        <v>7917</v>
      </c>
      <c r="J3616" s="644" t="s">
        <v>643</v>
      </c>
      <c r="K3616" s="739"/>
      <c r="L3616" s="754"/>
      <c r="M3616" s="735"/>
      <c r="N3616" s="753">
        <v>4</v>
      </c>
      <c r="O3616" s="754">
        <v>6</v>
      </c>
      <c r="P3616" s="736">
        <v>20689.8</v>
      </c>
      <c r="Q3616" s="214"/>
    </row>
    <row r="3617" spans="1:17" ht="12" customHeight="1" x14ac:dyDescent="0.2">
      <c r="A3617" s="735" t="s">
        <v>7733</v>
      </c>
      <c r="B3617" s="735" t="s">
        <v>2170</v>
      </c>
      <c r="C3617" s="735" t="s">
        <v>451</v>
      </c>
      <c r="D3617" s="644" t="s">
        <v>10195</v>
      </c>
      <c r="E3617" s="736">
        <v>2300</v>
      </c>
      <c r="F3617" s="737" t="s">
        <v>10196</v>
      </c>
      <c r="G3617" s="636" t="s">
        <v>10197</v>
      </c>
      <c r="H3617" s="636"/>
      <c r="I3617" s="636"/>
      <c r="J3617" s="644" t="s">
        <v>643</v>
      </c>
      <c r="K3617" s="739"/>
      <c r="L3617" s="754"/>
      <c r="M3617" s="735"/>
      <c r="N3617" s="753">
        <v>4</v>
      </c>
      <c r="O3617" s="754">
        <v>6</v>
      </c>
      <c r="P3617" s="736">
        <v>16489.8</v>
      </c>
      <c r="Q3617" s="214"/>
    </row>
    <row r="3618" spans="1:17" ht="12" customHeight="1" x14ac:dyDescent="0.2">
      <c r="A3618" s="735" t="s">
        <v>7733</v>
      </c>
      <c r="B3618" s="735" t="s">
        <v>2170</v>
      </c>
      <c r="C3618" s="735" t="s">
        <v>451</v>
      </c>
      <c r="D3618" s="644" t="s">
        <v>7740</v>
      </c>
      <c r="E3618" s="736">
        <v>2200</v>
      </c>
      <c r="F3618" s="737" t="s">
        <v>10007</v>
      </c>
      <c r="G3618" s="636" t="s">
        <v>10008</v>
      </c>
      <c r="H3618" s="636" t="s">
        <v>7866</v>
      </c>
      <c r="I3618" s="636" t="s">
        <v>7867</v>
      </c>
      <c r="J3618" s="644" t="s">
        <v>643</v>
      </c>
      <c r="K3618" s="739"/>
      <c r="L3618" s="754"/>
      <c r="M3618" s="735"/>
      <c r="N3618" s="753">
        <v>4</v>
      </c>
      <c r="O3618" s="754">
        <v>6</v>
      </c>
      <c r="P3618" s="736">
        <v>15889.8</v>
      </c>
      <c r="Q3618" s="214"/>
    </row>
    <row r="3619" spans="1:17" ht="12" customHeight="1" x14ac:dyDescent="0.2">
      <c r="A3619" s="735" t="s">
        <v>7733</v>
      </c>
      <c r="B3619" s="735" t="s">
        <v>2170</v>
      </c>
      <c r="C3619" s="735" t="s">
        <v>451</v>
      </c>
      <c r="D3619" s="644" t="s">
        <v>8041</v>
      </c>
      <c r="E3619" s="736">
        <v>2000</v>
      </c>
      <c r="F3619" s="737" t="s">
        <v>8726</v>
      </c>
      <c r="G3619" s="636" t="s">
        <v>8727</v>
      </c>
      <c r="H3619" s="636"/>
      <c r="I3619" s="636"/>
      <c r="J3619" s="644" t="s">
        <v>643</v>
      </c>
      <c r="K3619" s="739"/>
      <c r="L3619" s="754"/>
      <c r="M3619" s="735"/>
      <c r="N3619" s="753">
        <v>4</v>
      </c>
      <c r="O3619" s="754">
        <v>6</v>
      </c>
      <c r="P3619" s="736">
        <v>14689.8</v>
      </c>
      <c r="Q3619" s="214"/>
    </row>
    <row r="3620" spans="1:17" ht="12" customHeight="1" x14ac:dyDescent="0.2">
      <c r="A3620" s="735" t="s">
        <v>7733</v>
      </c>
      <c r="B3620" s="735" t="s">
        <v>2170</v>
      </c>
      <c r="C3620" s="735" t="s">
        <v>451</v>
      </c>
      <c r="D3620" s="644" t="s">
        <v>8791</v>
      </c>
      <c r="E3620" s="736">
        <v>2500</v>
      </c>
      <c r="F3620" s="737" t="s">
        <v>8792</v>
      </c>
      <c r="G3620" s="636" t="s">
        <v>8793</v>
      </c>
      <c r="H3620" s="636" t="s">
        <v>6571</v>
      </c>
      <c r="I3620" s="636" t="s">
        <v>2179</v>
      </c>
      <c r="J3620" s="644" t="s">
        <v>642</v>
      </c>
      <c r="K3620" s="739"/>
      <c r="L3620" s="754"/>
      <c r="M3620" s="735"/>
      <c r="N3620" s="753">
        <v>5</v>
      </c>
      <c r="O3620" s="754">
        <v>5</v>
      </c>
      <c r="P3620" s="736">
        <v>15189.8</v>
      </c>
      <c r="Q3620" s="214"/>
    </row>
    <row r="3621" spans="1:17" ht="12" customHeight="1" x14ac:dyDescent="0.2">
      <c r="A3621" s="735" t="s">
        <v>7733</v>
      </c>
      <c r="B3621" s="735" t="s">
        <v>2170</v>
      </c>
      <c r="C3621" s="735" t="s">
        <v>451</v>
      </c>
      <c r="D3621" s="644" t="s">
        <v>8514</v>
      </c>
      <c r="E3621" s="736">
        <v>8000</v>
      </c>
      <c r="F3621" s="737" t="s">
        <v>8515</v>
      </c>
      <c r="G3621" s="636" t="s">
        <v>8516</v>
      </c>
      <c r="H3621" s="636"/>
      <c r="I3621" s="636"/>
      <c r="J3621" s="644" t="s">
        <v>642</v>
      </c>
      <c r="K3621" s="739"/>
      <c r="L3621" s="754"/>
      <c r="M3621" s="735"/>
      <c r="N3621" s="753">
        <v>4</v>
      </c>
      <c r="O3621" s="754">
        <v>6</v>
      </c>
      <c r="P3621" s="736">
        <v>50689.8</v>
      </c>
      <c r="Q3621" s="214"/>
    </row>
    <row r="3622" spans="1:17" ht="12" customHeight="1" x14ac:dyDescent="0.2">
      <c r="A3622" s="735" t="s">
        <v>7733</v>
      </c>
      <c r="B3622" s="735" t="s">
        <v>2170</v>
      </c>
      <c r="C3622" s="735" t="s">
        <v>451</v>
      </c>
      <c r="D3622" s="644" t="s">
        <v>10245</v>
      </c>
      <c r="E3622" s="736">
        <v>5000</v>
      </c>
      <c r="F3622" s="737" t="s">
        <v>8972</v>
      </c>
      <c r="G3622" s="636" t="s">
        <v>8973</v>
      </c>
      <c r="H3622" s="636"/>
      <c r="I3622" s="636"/>
      <c r="J3622" s="644" t="s">
        <v>642</v>
      </c>
      <c r="K3622" s="739"/>
      <c r="L3622" s="754"/>
      <c r="M3622" s="735"/>
      <c r="N3622" s="753">
        <v>4</v>
      </c>
      <c r="O3622" s="754">
        <v>6</v>
      </c>
      <c r="P3622" s="736">
        <v>32689.8</v>
      </c>
      <c r="Q3622" s="214"/>
    </row>
    <row r="3623" spans="1:17" ht="12" customHeight="1" x14ac:dyDescent="0.2">
      <c r="A3623" s="735" t="s">
        <v>7733</v>
      </c>
      <c r="B3623" s="735" t="s">
        <v>2170</v>
      </c>
      <c r="C3623" s="735" t="s">
        <v>451</v>
      </c>
      <c r="D3623" s="644" t="s">
        <v>5880</v>
      </c>
      <c r="E3623" s="736">
        <v>4500</v>
      </c>
      <c r="F3623" s="737" t="s">
        <v>9263</v>
      </c>
      <c r="G3623" s="636" t="s">
        <v>9264</v>
      </c>
      <c r="H3623" s="636" t="s">
        <v>6778</v>
      </c>
      <c r="I3623" s="636" t="s">
        <v>2174</v>
      </c>
      <c r="J3623" s="644" t="s">
        <v>642</v>
      </c>
      <c r="K3623" s="739"/>
      <c r="L3623" s="754"/>
      <c r="M3623" s="735"/>
      <c r="N3623" s="753">
        <v>4</v>
      </c>
      <c r="O3623" s="754">
        <v>6</v>
      </c>
      <c r="P3623" s="736">
        <v>29689.8</v>
      </c>
      <c r="Q3623" s="214"/>
    </row>
    <row r="3624" spans="1:17" ht="12" customHeight="1" x14ac:dyDescent="0.2">
      <c r="A3624" s="735" t="s">
        <v>7733</v>
      </c>
      <c r="B3624" s="735" t="s">
        <v>2170</v>
      </c>
      <c r="C3624" s="735" t="s">
        <v>451</v>
      </c>
      <c r="D3624" s="644" t="s">
        <v>7843</v>
      </c>
      <c r="E3624" s="736">
        <v>4000</v>
      </c>
      <c r="F3624" s="737" t="s">
        <v>7844</v>
      </c>
      <c r="G3624" s="636" t="s">
        <v>7845</v>
      </c>
      <c r="H3624" s="636" t="s">
        <v>7752</v>
      </c>
      <c r="I3624" s="636" t="s">
        <v>2179</v>
      </c>
      <c r="J3624" s="644" t="s">
        <v>642</v>
      </c>
      <c r="K3624" s="739"/>
      <c r="L3624" s="754"/>
      <c r="M3624" s="735"/>
      <c r="N3624" s="753">
        <v>4</v>
      </c>
      <c r="O3624" s="754">
        <v>6</v>
      </c>
      <c r="P3624" s="736">
        <v>26689.8</v>
      </c>
      <c r="Q3624" s="214"/>
    </row>
    <row r="3625" spans="1:17" ht="12" customHeight="1" x14ac:dyDescent="0.2">
      <c r="A3625" s="735" t="s">
        <v>7733</v>
      </c>
      <c r="B3625" s="735" t="s">
        <v>2170</v>
      </c>
      <c r="C3625" s="735" t="s">
        <v>451</v>
      </c>
      <c r="D3625" s="644" t="s">
        <v>7825</v>
      </c>
      <c r="E3625" s="736">
        <v>3000</v>
      </c>
      <c r="F3625" s="737" t="s">
        <v>7826</v>
      </c>
      <c r="G3625" s="636" t="s">
        <v>7827</v>
      </c>
      <c r="H3625" s="636" t="s">
        <v>7782</v>
      </c>
      <c r="I3625" s="636" t="s">
        <v>2208</v>
      </c>
      <c r="J3625" s="644" t="s">
        <v>642</v>
      </c>
      <c r="K3625" s="739"/>
      <c r="L3625" s="754"/>
      <c r="M3625" s="735"/>
      <c r="N3625" s="753">
        <v>4</v>
      </c>
      <c r="O3625" s="754">
        <v>6</v>
      </c>
      <c r="P3625" s="736">
        <v>20689.8</v>
      </c>
      <c r="Q3625" s="214"/>
    </row>
    <row r="3626" spans="1:17" ht="12" customHeight="1" x14ac:dyDescent="0.2">
      <c r="A3626" s="735" t="s">
        <v>7733</v>
      </c>
      <c r="B3626" s="735" t="s">
        <v>2170</v>
      </c>
      <c r="C3626" s="735" t="s">
        <v>451</v>
      </c>
      <c r="D3626" s="644" t="s">
        <v>7871</v>
      </c>
      <c r="E3626" s="736">
        <v>4000</v>
      </c>
      <c r="F3626" s="737" t="s">
        <v>10125</v>
      </c>
      <c r="G3626" s="636" t="s">
        <v>10126</v>
      </c>
      <c r="H3626" s="636" t="s">
        <v>7782</v>
      </c>
      <c r="I3626" s="636" t="s">
        <v>7782</v>
      </c>
      <c r="J3626" s="644" t="s">
        <v>643</v>
      </c>
      <c r="K3626" s="739"/>
      <c r="L3626" s="754"/>
      <c r="M3626" s="735"/>
      <c r="N3626" s="753">
        <v>5</v>
      </c>
      <c r="O3626" s="754">
        <v>6</v>
      </c>
      <c r="P3626" s="736">
        <v>26689.8</v>
      </c>
      <c r="Q3626" s="214"/>
    </row>
    <row r="3627" spans="1:17" ht="12" customHeight="1" x14ac:dyDescent="0.2">
      <c r="A3627" s="735" t="s">
        <v>7733</v>
      </c>
      <c r="B3627" s="735" t="s">
        <v>2170</v>
      </c>
      <c r="C3627" s="735" t="s">
        <v>451</v>
      </c>
      <c r="D3627" s="644" t="s">
        <v>7968</v>
      </c>
      <c r="E3627" s="736">
        <v>4000</v>
      </c>
      <c r="F3627" s="737" t="s">
        <v>9227</v>
      </c>
      <c r="G3627" s="636" t="s">
        <v>9228</v>
      </c>
      <c r="H3627" s="636" t="s">
        <v>7782</v>
      </c>
      <c r="I3627" s="636" t="s">
        <v>2766</v>
      </c>
      <c r="J3627" s="644" t="s">
        <v>642</v>
      </c>
      <c r="K3627" s="739"/>
      <c r="L3627" s="754"/>
      <c r="M3627" s="735"/>
      <c r="N3627" s="753">
        <v>4</v>
      </c>
      <c r="O3627" s="754">
        <v>6</v>
      </c>
      <c r="P3627" s="736">
        <v>26689.8</v>
      </c>
      <c r="Q3627" s="214"/>
    </row>
    <row r="3628" spans="1:17" ht="12" customHeight="1" x14ac:dyDescent="0.2">
      <c r="A3628" s="735" t="s">
        <v>7733</v>
      </c>
      <c r="B3628" s="735" t="s">
        <v>2170</v>
      </c>
      <c r="C3628" s="735" t="s">
        <v>451</v>
      </c>
      <c r="D3628" s="644" t="s">
        <v>9135</v>
      </c>
      <c r="E3628" s="736">
        <v>4500</v>
      </c>
      <c r="F3628" s="737" t="s">
        <v>9136</v>
      </c>
      <c r="G3628" s="636" t="s">
        <v>9137</v>
      </c>
      <c r="H3628" s="636" t="s">
        <v>7752</v>
      </c>
      <c r="I3628" s="636" t="s">
        <v>2179</v>
      </c>
      <c r="J3628" s="644" t="s">
        <v>642</v>
      </c>
      <c r="K3628" s="739"/>
      <c r="L3628" s="754"/>
      <c r="M3628" s="735"/>
      <c r="N3628" s="753">
        <v>4</v>
      </c>
      <c r="O3628" s="754">
        <v>6</v>
      </c>
      <c r="P3628" s="736">
        <v>29689.8</v>
      </c>
      <c r="Q3628" s="214"/>
    </row>
    <row r="3629" spans="1:17" ht="12" customHeight="1" x14ac:dyDescent="0.2">
      <c r="A3629" s="735" t="s">
        <v>7733</v>
      </c>
      <c r="B3629" s="735" t="s">
        <v>2170</v>
      </c>
      <c r="C3629" s="735" t="s">
        <v>451</v>
      </c>
      <c r="D3629" s="644" t="s">
        <v>7746</v>
      </c>
      <c r="E3629" s="736">
        <v>1700</v>
      </c>
      <c r="F3629" s="737" t="s">
        <v>8163</v>
      </c>
      <c r="G3629" s="636" t="s">
        <v>8164</v>
      </c>
      <c r="H3629" s="636" t="s">
        <v>10194</v>
      </c>
      <c r="I3629" s="636"/>
      <c r="J3629" s="644" t="s">
        <v>643</v>
      </c>
      <c r="K3629" s="739"/>
      <c r="L3629" s="754"/>
      <c r="M3629" s="735"/>
      <c r="N3629" s="753">
        <v>4</v>
      </c>
      <c r="O3629" s="754">
        <v>6</v>
      </c>
      <c r="P3629" s="736">
        <v>12636</v>
      </c>
      <c r="Q3629" s="214"/>
    </row>
    <row r="3630" spans="1:17" ht="12" customHeight="1" x14ac:dyDescent="0.2">
      <c r="A3630" s="735" t="s">
        <v>7733</v>
      </c>
      <c r="B3630" s="735" t="s">
        <v>2170</v>
      </c>
      <c r="C3630" s="735" t="s">
        <v>451</v>
      </c>
      <c r="D3630" s="644" t="s">
        <v>7779</v>
      </c>
      <c r="E3630" s="736">
        <v>4000</v>
      </c>
      <c r="F3630" s="737" t="s">
        <v>9831</v>
      </c>
      <c r="G3630" s="636" t="s">
        <v>9832</v>
      </c>
      <c r="H3630" s="636" t="s">
        <v>7782</v>
      </c>
      <c r="I3630" s="636" t="s">
        <v>2208</v>
      </c>
      <c r="J3630" s="644" t="s">
        <v>642</v>
      </c>
      <c r="K3630" s="739"/>
      <c r="L3630" s="754"/>
      <c r="M3630" s="735"/>
      <c r="N3630" s="753">
        <v>6</v>
      </c>
      <c r="O3630" s="754">
        <v>6</v>
      </c>
      <c r="P3630" s="736">
        <v>26689.8</v>
      </c>
      <c r="Q3630" s="214"/>
    </row>
    <row r="3631" spans="1:17" ht="12" customHeight="1" x14ac:dyDescent="0.2">
      <c r="A3631" s="735" t="s">
        <v>7733</v>
      </c>
      <c r="B3631" s="735" t="s">
        <v>2170</v>
      </c>
      <c r="C3631" s="735" t="s">
        <v>451</v>
      </c>
      <c r="D3631" s="644" t="s">
        <v>7965</v>
      </c>
      <c r="E3631" s="736">
        <v>4000</v>
      </c>
      <c r="F3631" s="737" t="s">
        <v>8629</v>
      </c>
      <c r="G3631" s="636" t="s">
        <v>8630</v>
      </c>
      <c r="H3631" s="636" t="s">
        <v>6571</v>
      </c>
      <c r="I3631" s="636" t="s">
        <v>2179</v>
      </c>
      <c r="J3631" s="644" t="s">
        <v>642</v>
      </c>
      <c r="K3631" s="739"/>
      <c r="L3631" s="754"/>
      <c r="M3631" s="735"/>
      <c r="N3631" s="753">
        <v>4</v>
      </c>
      <c r="O3631" s="754">
        <v>6</v>
      </c>
      <c r="P3631" s="736">
        <v>26689.8</v>
      </c>
      <c r="Q3631" s="214"/>
    </row>
    <row r="3632" spans="1:17" ht="12" customHeight="1" x14ac:dyDescent="0.2">
      <c r="A3632" s="735" t="s">
        <v>7733</v>
      </c>
      <c r="B3632" s="735" t="s">
        <v>2170</v>
      </c>
      <c r="C3632" s="735" t="s">
        <v>451</v>
      </c>
      <c r="D3632" s="644" t="s">
        <v>8889</v>
      </c>
      <c r="E3632" s="736">
        <v>6000</v>
      </c>
      <c r="F3632" s="737" t="s">
        <v>9983</v>
      </c>
      <c r="G3632" s="636" t="s">
        <v>9984</v>
      </c>
      <c r="H3632" s="636" t="s">
        <v>9985</v>
      </c>
      <c r="I3632" s="636" t="s">
        <v>9986</v>
      </c>
      <c r="J3632" s="644" t="s">
        <v>642</v>
      </c>
      <c r="K3632" s="739"/>
      <c r="L3632" s="754"/>
      <c r="M3632" s="735"/>
      <c r="N3632" s="753">
        <v>3</v>
      </c>
      <c r="O3632" s="754">
        <v>3</v>
      </c>
      <c r="P3632" s="736">
        <v>20689.8</v>
      </c>
      <c r="Q3632" s="214"/>
    </row>
    <row r="3633" spans="1:17" ht="12" customHeight="1" x14ac:dyDescent="0.2">
      <c r="A3633" s="735" t="s">
        <v>7733</v>
      </c>
      <c r="B3633" s="735" t="s">
        <v>2170</v>
      </c>
      <c r="C3633" s="735" t="s">
        <v>451</v>
      </c>
      <c r="D3633" s="644" t="s">
        <v>8268</v>
      </c>
      <c r="E3633" s="736">
        <v>2200</v>
      </c>
      <c r="F3633" s="737" t="s">
        <v>8269</v>
      </c>
      <c r="G3633" s="636" t="s">
        <v>8270</v>
      </c>
      <c r="H3633" s="636"/>
      <c r="I3633" s="636"/>
      <c r="J3633" s="644" t="s">
        <v>642</v>
      </c>
      <c r="K3633" s="739"/>
      <c r="L3633" s="754"/>
      <c r="M3633" s="735"/>
      <c r="N3633" s="753">
        <v>4</v>
      </c>
      <c r="O3633" s="754">
        <v>6</v>
      </c>
      <c r="P3633" s="736">
        <v>15889.8</v>
      </c>
      <c r="Q3633" s="214"/>
    </row>
    <row r="3634" spans="1:17" ht="12" customHeight="1" x14ac:dyDescent="0.2">
      <c r="A3634" s="735" t="s">
        <v>7733</v>
      </c>
      <c r="B3634" s="735" t="s">
        <v>2170</v>
      </c>
      <c r="C3634" s="735" t="s">
        <v>451</v>
      </c>
      <c r="D3634" s="644" t="s">
        <v>8889</v>
      </c>
      <c r="E3634" s="736">
        <v>6000</v>
      </c>
      <c r="F3634" s="737" t="s">
        <v>10169</v>
      </c>
      <c r="G3634" s="636" t="s">
        <v>10170</v>
      </c>
      <c r="H3634" s="636" t="s">
        <v>6571</v>
      </c>
      <c r="I3634" s="636" t="s">
        <v>7835</v>
      </c>
      <c r="J3634" s="644" t="s">
        <v>642</v>
      </c>
      <c r="K3634" s="739"/>
      <c r="L3634" s="754"/>
      <c r="M3634" s="735"/>
      <c r="N3634" s="753">
        <v>1</v>
      </c>
      <c r="O3634" s="754">
        <v>0</v>
      </c>
      <c r="P3634" s="736">
        <v>2689.8</v>
      </c>
      <c r="Q3634" s="214"/>
    </row>
    <row r="3635" spans="1:17" ht="12" customHeight="1" x14ac:dyDescent="0.2">
      <c r="A3635" s="735" t="s">
        <v>7733</v>
      </c>
      <c r="B3635" s="735" t="s">
        <v>2170</v>
      </c>
      <c r="C3635" s="735" t="s">
        <v>451</v>
      </c>
      <c r="D3635" s="644" t="s">
        <v>9409</v>
      </c>
      <c r="E3635" s="736">
        <v>3000</v>
      </c>
      <c r="F3635" s="737" t="s">
        <v>9410</v>
      </c>
      <c r="G3635" s="636" t="s">
        <v>9411</v>
      </c>
      <c r="H3635" s="636" t="s">
        <v>7752</v>
      </c>
      <c r="I3635" s="636" t="s">
        <v>2179</v>
      </c>
      <c r="J3635" s="644" t="s">
        <v>642</v>
      </c>
      <c r="K3635" s="739"/>
      <c r="L3635" s="754"/>
      <c r="M3635" s="735"/>
      <c r="N3635" s="753">
        <v>4</v>
      </c>
      <c r="O3635" s="754">
        <v>6</v>
      </c>
      <c r="P3635" s="736">
        <v>20689.8</v>
      </c>
      <c r="Q3635" s="214"/>
    </row>
    <row r="3636" spans="1:17" ht="12" customHeight="1" x14ac:dyDescent="0.2">
      <c r="A3636" s="735" t="s">
        <v>7733</v>
      </c>
      <c r="B3636" s="735" t="s">
        <v>2170</v>
      </c>
      <c r="C3636" s="735" t="s">
        <v>451</v>
      </c>
      <c r="D3636" s="644" t="s">
        <v>8078</v>
      </c>
      <c r="E3636" s="736">
        <v>2500</v>
      </c>
      <c r="F3636" s="737" t="s">
        <v>8744</v>
      </c>
      <c r="G3636" s="636" t="s">
        <v>8745</v>
      </c>
      <c r="H3636" s="636" t="s">
        <v>10246</v>
      </c>
      <c r="I3636" s="636"/>
      <c r="J3636" s="644" t="s">
        <v>643</v>
      </c>
      <c r="K3636" s="739"/>
      <c r="L3636" s="754"/>
      <c r="M3636" s="735"/>
      <c r="N3636" s="753">
        <v>1</v>
      </c>
      <c r="O3636" s="754">
        <v>1</v>
      </c>
      <c r="P3636" s="736">
        <v>5189.8</v>
      </c>
      <c r="Q3636" s="214"/>
    </row>
    <row r="3637" spans="1:17" ht="12" customHeight="1" x14ac:dyDescent="0.2">
      <c r="A3637" s="735" t="s">
        <v>7733</v>
      </c>
      <c r="B3637" s="735" t="s">
        <v>2170</v>
      </c>
      <c r="C3637" s="735" t="s">
        <v>451</v>
      </c>
      <c r="D3637" s="644" t="s">
        <v>8247</v>
      </c>
      <c r="E3637" s="736">
        <v>4000</v>
      </c>
      <c r="F3637" s="737" t="s">
        <v>8248</v>
      </c>
      <c r="G3637" s="636" t="s">
        <v>8249</v>
      </c>
      <c r="H3637" s="636" t="s">
        <v>8250</v>
      </c>
      <c r="I3637" s="636" t="s">
        <v>8251</v>
      </c>
      <c r="J3637" s="644" t="s">
        <v>642</v>
      </c>
      <c r="K3637" s="739"/>
      <c r="L3637" s="754"/>
      <c r="M3637" s="735"/>
      <c r="N3637" s="753">
        <v>4</v>
      </c>
      <c r="O3637" s="754">
        <v>6</v>
      </c>
      <c r="P3637" s="736">
        <v>26689.8</v>
      </c>
      <c r="Q3637" s="214"/>
    </row>
    <row r="3638" spans="1:17" ht="12" customHeight="1" x14ac:dyDescent="0.2">
      <c r="A3638" s="735" t="s">
        <v>7733</v>
      </c>
      <c r="B3638" s="735" t="s">
        <v>2170</v>
      </c>
      <c r="C3638" s="735" t="s">
        <v>451</v>
      </c>
      <c r="D3638" s="644" t="s">
        <v>8172</v>
      </c>
      <c r="E3638" s="736">
        <v>3500</v>
      </c>
      <c r="F3638" s="737" t="s">
        <v>8173</v>
      </c>
      <c r="G3638" s="636" t="s">
        <v>8174</v>
      </c>
      <c r="H3638" s="636"/>
      <c r="I3638" s="636"/>
      <c r="J3638" s="644" t="s">
        <v>642</v>
      </c>
      <c r="K3638" s="739"/>
      <c r="L3638" s="754"/>
      <c r="M3638" s="735"/>
      <c r="N3638" s="753">
        <v>4</v>
      </c>
      <c r="O3638" s="754">
        <v>6</v>
      </c>
      <c r="P3638" s="736">
        <v>23689.8</v>
      </c>
      <c r="Q3638" s="214"/>
    </row>
    <row r="3639" spans="1:17" ht="12" customHeight="1" x14ac:dyDescent="0.2">
      <c r="A3639" s="735" t="s">
        <v>7733</v>
      </c>
      <c r="B3639" s="735" t="s">
        <v>2170</v>
      </c>
      <c r="C3639" s="735" t="s">
        <v>451</v>
      </c>
      <c r="D3639" s="644" t="s">
        <v>8554</v>
      </c>
      <c r="E3639" s="736">
        <v>3000</v>
      </c>
      <c r="F3639" s="737" t="s">
        <v>10046</v>
      </c>
      <c r="G3639" s="636" t="s">
        <v>10047</v>
      </c>
      <c r="H3639" s="636" t="s">
        <v>6571</v>
      </c>
      <c r="I3639" s="636" t="s">
        <v>2179</v>
      </c>
      <c r="J3639" s="644" t="s">
        <v>642</v>
      </c>
      <c r="K3639" s="739"/>
      <c r="L3639" s="754"/>
      <c r="M3639" s="735"/>
      <c r="N3639" s="753">
        <v>4</v>
      </c>
      <c r="O3639" s="754">
        <v>6</v>
      </c>
      <c r="P3639" s="736">
        <v>20689.8</v>
      </c>
      <c r="Q3639" s="214"/>
    </row>
    <row r="3640" spans="1:17" ht="12" customHeight="1" x14ac:dyDescent="0.2">
      <c r="A3640" s="735" t="s">
        <v>7733</v>
      </c>
      <c r="B3640" s="735" t="s">
        <v>2170</v>
      </c>
      <c r="C3640" s="735" t="s">
        <v>451</v>
      </c>
      <c r="D3640" s="644" t="s">
        <v>9325</v>
      </c>
      <c r="E3640" s="736">
        <v>6000</v>
      </c>
      <c r="F3640" s="737" t="s">
        <v>9729</v>
      </c>
      <c r="G3640" s="636" t="s">
        <v>9730</v>
      </c>
      <c r="H3640" s="636" t="s">
        <v>6571</v>
      </c>
      <c r="I3640" s="636" t="s">
        <v>2179</v>
      </c>
      <c r="J3640" s="644" t="s">
        <v>642</v>
      </c>
      <c r="K3640" s="739"/>
      <c r="L3640" s="754"/>
      <c r="M3640" s="735"/>
      <c r="N3640" s="753">
        <v>4</v>
      </c>
      <c r="O3640" s="754">
        <v>6</v>
      </c>
      <c r="P3640" s="736">
        <v>38689.800000000003</v>
      </c>
      <c r="Q3640" s="214"/>
    </row>
    <row r="3641" spans="1:17" ht="12" customHeight="1" x14ac:dyDescent="0.2">
      <c r="A3641" s="735" t="s">
        <v>7733</v>
      </c>
      <c r="B3641" s="735" t="s">
        <v>2170</v>
      </c>
      <c r="C3641" s="735" t="s">
        <v>451</v>
      </c>
      <c r="D3641" s="644" t="s">
        <v>8268</v>
      </c>
      <c r="E3641" s="736">
        <v>2200</v>
      </c>
      <c r="F3641" s="737" t="s">
        <v>9955</v>
      </c>
      <c r="G3641" s="636" t="s">
        <v>9956</v>
      </c>
      <c r="H3641" s="636" t="s">
        <v>7782</v>
      </c>
      <c r="I3641" s="636" t="s">
        <v>9142</v>
      </c>
      <c r="J3641" s="644" t="s">
        <v>644</v>
      </c>
      <c r="K3641" s="739"/>
      <c r="L3641" s="754"/>
      <c r="M3641" s="735"/>
      <c r="N3641" s="753">
        <v>4</v>
      </c>
      <c r="O3641" s="754">
        <v>6</v>
      </c>
      <c r="P3641" s="736">
        <v>15889.8</v>
      </c>
      <c r="Q3641" s="214"/>
    </row>
    <row r="3642" spans="1:17" ht="12" customHeight="1" x14ac:dyDescent="0.2">
      <c r="A3642" s="735" t="s">
        <v>7733</v>
      </c>
      <c r="B3642" s="735" t="s">
        <v>2170</v>
      </c>
      <c r="C3642" s="735" t="s">
        <v>451</v>
      </c>
      <c r="D3642" s="644" t="s">
        <v>7800</v>
      </c>
      <c r="E3642" s="736">
        <v>3500</v>
      </c>
      <c r="F3642" s="737" t="s">
        <v>7801</v>
      </c>
      <c r="G3642" s="636" t="s">
        <v>7802</v>
      </c>
      <c r="H3642" s="636"/>
      <c r="I3642" s="636"/>
      <c r="J3642" s="644" t="s">
        <v>642</v>
      </c>
      <c r="K3642" s="739"/>
      <c r="L3642" s="754"/>
      <c r="M3642" s="735"/>
      <c r="N3642" s="753">
        <v>6</v>
      </c>
      <c r="O3642" s="754">
        <v>6</v>
      </c>
      <c r="P3642" s="736">
        <v>23689.8</v>
      </c>
      <c r="Q3642" s="214"/>
    </row>
    <row r="3643" spans="1:17" ht="12" customHeight="1" x14ac:dyDescent="0.2">
      <c r="A3643" s="735" t="s">
        <v>7733</v>
      </c>
      <c r="B3643" s="735" t="s">
        <v>2170</v>
      </c>
      <c r="C3643" s="735" t="s">
        <v>451</v>
      </c>
      <c r="D3643" s="644" t="s">
        <v>7901</v>
      </c>
      <c r="E3643" s="736">
        <v>2500</v>
      </c>
      <c r="F3643" s="737" t="s">
        <v>8945</v>
      </c>
      <c r="G3643" s="636" t="s">
        <v>8946</v>
      </c>
      <c r="H3643" s="636"/>
      <c r="I3643" s="636"/>
      <c r="J3643" s="644" t="s">
        <v>643</v>
      </c>
      <c r="K3643" s="739"/>
      <c r="L3643" s="754"/>
      <c r="M3643" s="735"/>
      <c r="N3643" s="753">
        <v>6</v>
      </c>
      <c r="O3643" s="754">
        <v>6</v>
      </c>
      <c r="P3643" s="736">
        <v>17689.8</v>
      </c>
      <c r="Q3643" s="214"/>
    </row>
    <row r="3644" spans="1:17" ht="12" customHeight="1" x14ac:dyDescent="0.2">
      <c r="A3644" s="735" t="s">
        <v>7733</v>
      </c>
      <c r="B3644" s="735" t="s">
        <v>2170</v>
      </c>
      <c r="C3644" s="735" t="s">
        <v>451</v>
      </c>
      <c r="D3644" s="644" t="s">
        <v>8168</v>
      </c>
      <c r="E3644" s="736">
        <v>4500</v>
      </c>
      <c r="F3644" s="737" t="s">
        <v>8169</v>
      </c>
      <c r="G3644" s="636" t="s">
        <v>8170</v>
      </c>
      <c r="H3644" s="636" t="s">
        <v>8171</v>
      </c>
      <c r="I3644" s="636" t="s">
        <v>2543</v>
      </c>
      <c r="J3644" s="644" t="s">
        <v>642</v>
      </c>
      <c r="K3644" s="739"/>
      <c r="L3644" s="754"/>
      <c r="M3644" s="735"/>
      <c r="N3644" s="753">
        <v>3</v>
      </c>
      <c r="O3644" s="754">
        <v>3</v>
      </c>
      <c r="P3644" s="736">
        <v>16189.8</v>
      </c>
      <c r="Q3644" s="214"/>
    </row>
    <row r="3645" spans="1:17" ht="12" customHeight="1" x14ac:dyDescent="0.2">
      <c r="A3645" s="735" t="s">
        <v>7733</v>
      </c>
      <c r="B3645" s="735" t="s">
        <v>2170</v>
      </c>
      <c r="C3645" s="735" t="s">
        <v>451</v>
      </c>
      <c r="D3645" s="644" t="s">
        <v>9409</v>
      </c>
      <c r="E3645" s="736">
        <v>4000</v>
      </c>
      <c r="F3645" s="737" t="s">
        <v>9797</v>
      </c>
      <c r="G3645" s="636" t="s">
        <v>9798</v>
      </c>
      <c r="H3645" s="636" t="s">
        <v>6571</v>
      </c>
      <c r="I3645" s="636" t="s">
        <v>2179</v>
      </c>
      <c r="J3645" s="644" t="s">
        <v>642</v>
      </c>
      <c r="K3645" s="739"/>
      <c r="L3645" s="754"/>
      <c r="M3645" s="735"/>
      <c r="N3645" s="753">
        <v>4</v>
      </c>
      <c r="O3645" s="754">
        <v>6</v>
      </c>
      <c r="P3645" s="736">
        <v>26689.8</v>
      </c>
      <c r="Q3645" s="214"/>
    </row>
    <row r="3646" spans="1:17" ht="12" customHeight="1" x14ac:dyDescent="0.2">
      <c r="A3646" s="735" t="s">
        <v>7733</v>
      </c>
      <c r="B3646" s="735" t="s">
        <v>2170</v>
      </c>
      <c r="C3646" s="735" t="s">
        <v>451</v>
      </c>
      <c r="D3646" s="644" t="s">
        <v>10247</v>
      </c>
      <c r="E3646" s="736">
        <v>5000</v>
      </c>
      <c r="F3646" s="737" t="s">
        <v>9390</v>
      </c>
      <c r="G3646" s="636" t="s">
        <v>9391</v>
      </c>
      <c r="H3646" s="636" t="s">
        <v>9392</v>
      </c>
      <c r="I3646" s="636" t="s">
        <v>644</v>
      </c>
      <c r="J3646" s="644" t="s">
        <v>642</v>
      </c>
      <c r="K3646" s="739"/>
      <c r="L3646" s="754"/>
      <c r="M3646" s="735"/>
      <c r="N3646" s="753">
        <v>4</v>
      </c>
      <c r="O3646" s="754">
        <v>6</v>
      </c>
      <c r="P3646" s="736">
        <v>32689.8</v>
      </c>
      <c r="Q3646" s="214"/>
    </row>
    <row r="3647" spans="1:17" ht="12" customHeight="1" x14ac:dyDescent="0.2">
      <c r="A3647" s="735" t="s">
        <v>7733</v>
      </c>
      <c r="B3647" s="735" t="s">
        <v>2170</v>
      </c>
      <c r="C3647" s="735" t="s">
        <v>451</v>
      </c>
      <c r="D3647" s="644" t="s">
        <v>7769</v>
      </c>
      <c r="E3647" s="736">
        <v>2200</v>
      </c>
      <c r="F3647" s="737" t="s">
        <v>8887</v>
      </c>
      <c r="G3647" s="636" t="s">
        <v>8888</v>
      </c>
      <c r="H3647" s="636" t="s">
        <v>7782</v>
      </c>
      <c r="I3647" s="636" t="s">
        <v>2208</v>
      </c>
      <c r="J3647" s="644" t="s">
        <v>642</v>
      </c>
      <c r="K3647" s="739"/>
      <c r="L3647" s="754"/>
      <c r="M3647" s="735"/>
      <c r="N3647" s="753">
        <v>4</v>
      </c>
      <c r="O3647" s="754">
        <v>6</v>
      </c>
      <c r="P3647" s="736">
        <v>15889.8</v>
      </c>
      <c r="Q3647" s="214"/>
    </row>
    <row r="3648" spans="1:17" ht="12" customHeight="1" x14ac:dyDescent="0.2">
      <c r="A3648" s="735" t="s">
        <v>7733</v>
      </c>
      <c r="B3648" s="735" t="s">
        <v>2170</v>
      </c>
      <c r="C3648" s="735" t="s">
        <v>451</v>
      </c>
      <c r="D3648" s="644" t="s">
        <v>7813</v>
      </c>
      <c r="E3648" s="736">
        <v>1800</v>
      </c>
      <c r="F3648" s="737" t="s">
        <v>8491</v>
      </c>
      <c r="G3648" s="636" t="s">
        <v>8492</v>
      </c>
      <c r="H3648" s="636" t="s">
        <v>7073</v>
      </c>
      <c r="I3648" s="636" t="s">
        <v>2416</v>
      </c>
      <c r="J3648" s="644" t="s">
        <v>642</v>
      </c>
      <c r="K3648" s="739"/>
      <c r="L3648" s="754"/>
      <c r="M3648" s="735"/>
      <c r="N3648" s="753">
        <v>4</v>
      </c>
      <c r="O3648" s="754">
        <v>6</v>
      </c>
      <c r="P3648" s="736">
        <v>13344</v>
      </c>
      <c r="Q3648" s="214"/>
    </row>
    <row r="3649" spans="1:17" ht="12" customHeight="1" x14ac:dyDescent="0.2">
      <c r="A3649" s="735" t="s">
        <v>7733</v>
      </c>
      <c r="B3649" s="735" t="s">
        <v>2170</v>
      </c>
      <c r="C3649" s="735" t="s">
        <v>451</v>
      </c>
      <c r="D3649" s="644" t="s">
        <v>8144</v>
      </c>
      <c r="E3649" s="736">
        <v>2000</v>
      </c>
      <c r="F3649" s="737" t="s">
        <v>8145</v>
      </c>
      <c r="G3649" s="636" t="s">
        <v>8146</v>
      </c>
      <c r="H3649" s="636" t="s">
        <v>7152</v>
      </c>
      <c r="I3649" s="636" t="s">
        <v>4884</v>
      </c>
      <c r="J3649" s="644" t="s">
        <v>643</v>
      </c>
      <c r="K3649" s="739"/>
      <c r="L3649" s="754"/>
      <c r="M3649" s="735"/>
      <c r="N3649" s="753">
        <v>5</v>
      </c>
      <c r="O3649" s="754">
        <v>6</v>
      </c>
      <c r="P3649" s="736">
        <v>14689.8</v>
      </c>
      <c r="Q3649" s="214"/>
    </row>
    <row r="3650" spans="1:17" ht="12" customHeight="1" x14ac:dyDescent="0.2">
      <c r="A3650" s="735" t="s">
        <v>7733</v>
      </c>
      <c r="B3650" s="735" t="s">
        <v>2170</v>
      </c>
      <c r="C3650" s="735" t="s">
        <v>451</v>
      </c>
      <c r="D3650" s="644" t="s">
        <v>7828</v>
      </c>
      <c r="E3650" s="736">
        <v>1500</v>
      </c>
      <c r="F3650" s="737" t="s">
        <v>7829</v>
      </c>
      <c r="G3650" s="636" t="s">
        <v>7830</v>
      </c>
      <c r="H3650" s="636" t="s">
        <v>6778</v>
      </c>
      <c r="I3650" s="636" t="s">
        <v>2174</v>
      </c>
      <c r="J3650" s="644" t="s">
        <v>643</v>
      </c>
      <c r="K3650" s="739"/>
      <c r="L3650" s="754"/>
      <c r="M3650" s="735"/>
      <c r="N3650" s="753">
        <v>4</v>
      </c>
      <c r="O3650" s="754">
        <v>6</v>
      </c>
      <c r="P3650" s="736">
        <v>11220</v>
      </c>
      <c r="Q3650" s="214"/>
    </row>
    <row r="3651" spans="1:17" ht="12" customHeight="1" x14ac:dyDescent="0.2">
      <c r="A3651" s="735" t="s">
        <v>7733</v>
      </c>
      <c r="B3651" s="735" t="s">
        <v>2170</v>
      </c>
      <c r="C3651" s="735" t="s">
        <v>451</v>
      </c>
      <c r="D3651" s="644" t="s">
        <v>2179</v>
      </c>
      <c r="E3651" s="736">
        <v>5500</v>
      </c>
      <c r="F3651" s="737" t="s">
        <v>9307</v>
      </c>
      <c r="G3651" s="636" t="s">
        <v>9308</v>
      </c>
      <c r="H3651" s="636" t="s">
        <v>6571</v>
      </c>
      <c r="I3651" s="636" t="s">
        <v>2179</v>
      </c>
      <c r="J3651" s="644" t="s">
        <v>642</v>
      </c>
      <c r="K3651" s="739"/>
      <c r="L3651" s="754"/>
      <c r="M3651" s="735"/>
      <c r="N3651" s="753">
        <v>4</v>
      </c>
      <c r="O3651" s="754">
        <v>6</v>
      </c>
      <c r="P3651" s="736">
        <v>35689.800000000003</v>
      </c>
      <c r="Q3651" s="214"/>
    </row>
    <row r="3652" spans="1:17" ht="12" customHeight="1" x14ac:dyDescent="0.2">
      <c r="A3652" s="735" t="s">
        <v>7733</v>
      </c>
      <c r="B3652" s="735" t="s">
        <v>2170</v>
      </c>
      <c r="C3652" s="735" t="s">
        <v>451</v>
      </c>
      <c r="D3652" s="644" t="s">
        <v>7901</v>
      </c>
      <c r="E3652" s="736">
        <v>2500</v>
      </c>
      <c r="F3652" s="737" t="s">
        <v>9057</v>
      </c>
      <c r="G3652" s="636" t="s">
        <v>9058</v>
      </c>
      <c r="H3652" s="636"/>
      <c r="I3652" s="636"/>
      <c r="J3652" s="644" t="s">
        <v>644</v>
      </c>
      <c r="K3652" s="739"/>
      <c r="L3652" s="754"/>
      <c r="M3652" s="735"/>
      <c r="N3652" s="753">
        <v>4</v>
      </c>
      <c r="O3652" s="754">
        <v>6</v>
      </c>
      <c r="P3652" s="736">
        <v>17689.8</v>
      </c>
      <c r="Q3652" s="214"/>
    </row>
    <row r="3653" spans="1:17" ht="12" customHeight="1" x14ac:dyDescent="0.2">
      <c r="A3653" s="735" t="s">
        <v>7733</v>
      </c>
      <c r="B3653" s="735" t="s">
        <v>2170</v>
      </c>
      <c r="C3653" s="735" t="s">
        <v>451</v>
      </c>
      <c r="D3653" s="644" t="s">
        <v>2190</v>
      </c>
      <c r="E3653" s="736">
        <v>2200</v>
      </c>
      <c r="F3653" s="737" t="s">
        <v>9187</v>
      </c>
      <c r="G3653" s="636" t="s">
        <v>9188</v>
      </c>
      <c r="H3653" s="636" t="s">
        <v>8135</v>
      </c>
      <c r="I3653" s="636" t="s">
        <v>8135</v>
      </c>
      <c r="J3653" s="644" t="s">
        <v>644</v>
      </c>
      <c r="K3653" s="739"/>
      <c r="L3653" s="754"/>
      <c r="M3653" s="735"/>
      <c r="N3653" s="753">
        <v>4</v>
      </c>
      <c r="O3653" s="754">
        <v>6</v>
      </c>
      <c r="P3653" s="736">
        <v>15889.8</v>
      </c>
      <c r="Q3653" s="214"/>
    </row>
    <row r="3654" spans="1:17" ht="12" customHeight="1" x14ac:dyDescent="0.2">
      <c r="A3654" s="735" t="s">
        <v>7733</v>
      </c>
      <c r="B3654" s="735" t="s">
        <v>2170</v>
      </c>
      <c r="C3654" s="735" t="s">
        <v>451</v>
      </c>
      <c r="D3654" s="644" t="s">
        <v>10036</v>
      </c>
      <c r="E3654" s="736">
        <v>4000</v>
      </c>
      <c r="F3654" s="737" t="s">
        <v>10037</v>
      </c>
      <c r="G3654" s="636" t="s">
        <v>10038</v>
      </c>
      <c r="H3654" s="636" t="s">
        <v>10039</v>
      </c>
      <c r="I3654" s="636" t="s">
        <v>2766</v>
      </c>
      <c r="J3654" s="644" t="s">
        <v>642</v>
      </c>
      <c r="K3654" s="739"/>
      <c r="L3654" s="754"/>
      <c r="M3654" s="735"/>
      <c r="N3654" s="753">
        <v>4</v>
      </c>
      <c r="O3654" s="754">
        <v>6</v>
      </c>
      <c r="P3654" s="736">
        <v>26689.8</v>
      </c>
      <c r="Q3654" s="214"/>
    </row>
    <row r="3655" spans="1:17" ht="12" customHeight="1" x14ac:dyDescent="0.2">
      <c r="A3655" s="735" t="s">
        <v>7733</v>
      </c>
      <c r="B3655" s="735" t="s">
        <v>2170</v>
      </c>
      <c r="C3655" s="735" t="s">
        <v>451</v>
      </c>
      <c r="D3655" s="644" t="s">
        <v>8401</v>
      </c>
      <c r="E3655" s="736">
        <v>5000</v>
      </c>
      <c r="F3655" s="737" t="s">
        <v>9767</v>
      </c>
      <c r="G3655" s="636" t="s">
        <v>9768</v>
      </c>
      <c r="H3655" s="636" t="s">
        <v>7752</v>
      </c>
      <c r="I3655" s="636" t="s">
        <v>2179</v>
      </c>
      <c r="J3655" s="644" t="s">
        <v>642</v>
      </c>
      <c r="K3655" s="739"/>
      <c r="L3655" s="754"/>
      <c r="M3655" s="735"/>
      <c r="N3655" s="753">
        <v>4</v>
      </c>
      <c r="O3655" s="754">
        <v>6</v>
      </c>
      <c r="P3655" s="736">
        <v>32689.8</v>
      </c>
      <c r="Q3655" s="214"/>
    </row>
    <row r="3656" spans="1:17" ht="12" customHeight="1" x14ac:dyDescent="0.2">
      <c r="A3656" s="735" t="s">
        <v>7733</v>
      </c>
      <c r="B3656" s="735" t="s">
        <v>2170</v>
      </c>
      <c r="C3656" s="735" t="s">
        <v>451</v>
      </c>
      <c r="D3656" s="644" t="s">
        <v>8295</v>
      </c>
      <c r="E3656" s="736">
        <v>7000</v>
      </c>
      <c r="F3656" s="737" t="s">
        <v>8296</v>
      </c>
      <c r="G3656" s="636" t="s">
        <v>8297</v>
      </c>
      <c r="H3656" s="636"/>
      <c r="I3656" s="636"/>
      <c r="J3656" s="644" t="s">
        <v>642</v>
      </c>
      <c r="K3656" s="739"/>
      <c r="L3656" s="754"/>
      <c r="M3656" s="735"/>
      <c r="N3656" s="753">
        <v>4</v>
      </c>
      <c r="O3656" s="754">
        <v>6</v>
      </c>
      <c r="P3656" s="736">
        <v>44689.8</v>
      </c>
      <c r="Q3656" s="214"/>
    </row>
    <row r="3657" spans="1:17" ht="12" customHeight="1" x14ac:dyDescent="0.2">
      <c r="A3657" s="735" t="s">
        <v>7733</v>
      </c>
      <c r="B3657" s="735" t="s">
        <v>2170</v>
      </c>
      <c r="C3657" s="735" t="s">
        <v>451</v>
      </c>
      <c r="D3657" s="644" t="s">
        <v>8165</v>
      </c>
      <c r="E3657" s="736">
        <v>3500</v>
      </c>
      <c r="F3657" s="737" t="s">
        <v>8166</v>
      </c>
      <c r="G3657" s="636" t="s">
        <v>8167</v>
      </c>
      <c r="H3657" s="636" t="s">
        <v>6571</v>
      </c>
      <c r="I3657" s="636"/>
      <c r="J3657" s="644" t="s">
        <v>642</v>
      </c>
      <c r="K3657" s="739"/>
      <c r="L3657" s="754"/>
      <c r="M3657" s="735"/>
      <c r="N3657" s="753">
        <v>2</v>
      </c>
      <c r="O3657" s="754">
        <v>2</v>
      </c>
      <c r="P3657" s="736">
        <v>9689.7999999999993</v>
      </c>
      <c r="Q3657" s="214"/>
    </row>
    <row r="3658" spans="1:17" ht="12" customHeight="1" x14ac:dyDescent="0.2">
      <c r="A3658" s="735" t="s">
        <v>7733</v>
      </c>
      <c r="B3658" s="735" t="s">
        <v>2170</v>
      </c>
      <c r="C3658" s="735" t="s">
        <v>451</v>
      </c>
      <c r="D3658" s="644" t="s">
        <v>7901</v>
      </c>
      <c r="E3658" s="736">
        <v>2500</v>
      </c>
      <c r="F3658" s="737" t="s">
        <v>9584</v>
      </c>
      <c r="G3658" s="636" t="s">
        <v>9585</v>
      </c>
      <c r="H3658" s="636" t="s">
        <v>3754</v>
      </c>
      <c r="I3658" s="636" t="s">
        <v>2979</v>
      </c>
      <c r="J3658" s="644" t="s">
        <v>643</v>
      </c>
      <c r="K3658" s="739"/>
      <c r="L3658" s="754"/>
      <c r="M3658" s="735"/>
      <c r="N3658" s="753">
        <v>4</v>
      </c>
      <c r="O3658" s="754">
        <v>6</v>
      </c>
      <c r="P3658" s="736">
        <v>17689.8</v>
      </c>
      <c r="Q3658" s="214"/>
    </row>
    <row r="3659" spans="1:17" ht="12" customHeight="1" x14ac:dyDescent="0.2">
      <c r="A3659" s="735" t="s">
        <v>7733</v>
      </c>
      <c r="B3659" s="735" t="s">
        <v>2170</v>
      </c>
      <c r="C3659" s="735" t="s">
        <v>451</v>
      </c>
      <c r="D3659" s="644" t="s">
        <v>7932</v>
      </c>
      <c r="E3659" s="736">
        <v>2500</v>
      </c>
      <c r="F3659" s="737" t="s">
        <v>7933</v>
      </c>
      <c r="G3659" s="636" t="s">
        <v>7934</v>
      </c>
      <c r="H3659" s="636"/>
      <c r="I3659" s="636"/>
      <c r="J3659" s="644" t="s">
        <v>643</v>
      </c>
      <c r="K3659" s="739"/>
      <c r="L3659" s="754"/>
      <c r="M3659" s="735"/>
      <c r="N3659" s="753">
        <v>6</v>
      </c>
      <c r="O3659" s="754">
        <v>6</v>
      </c>
      <c r="P3659" s="736">
        <v>17689.8</v>
      </c>
      <c r="Q3659" s="214"/>
    </row>
    <row r="3660" spans="1:17" ht="12" customHeight="1" x14ac:dyDescent="0.2">
      <c r="A3660" s="735" t="s">
        <v>7733</v>
      </c>
      <c r="B3660" s="735" t="s">
        <v>2170</v>
      </c>
      <c r="C3660" s="735" t="s">
        <v>451</v>
      </c>
      <c r="D3660" s="644" t="s">
        <v>8078</v>
      </c>
      <c r="E3660" s="736">
        <v>2500</v>
      </c>
      <c r="F3660" s="737" t="s">
        <v>9367</v>
      </c>
      <c r="G3660" s="636" t="s">
        <v>9368</v>
      </c>
      <c r="H3660" s="636" t="s">
        <v>7816</v>
      </c>
      <c r="I3660" s="636" t="s">
        <v>2543</v>
      </c>
      <c r="J3660" s="644" t="s">
        <v>643</v>
      </c>
      <c r="K3660" s="739"/>
      <c r="L3660" s="754"/>
      <c r="M3660" s="735"/>
      <c r="N3660" s="753">
        <v>4</v>
      </c>
      <c r="O3660" s="754">
        <v>6</v>
      </c>
      <c r="P3660" s="736">
        <v>17689.8</v>
      </c>
      <c r="Q3660" s="214"/>
    </row>
    <row r="3661" spans="1:17" ht="12" customHeight="1" x14ac:dyDescent="0.2">
      <c r="A3661" s="735" t="s">
        <v>7733</v>
      </c>
      <c r="B3661" s="735" t="s">
        <v>2170</v>
      </c>
      <c r="C3661" s="735" t="s">
        <v>451</v>
      </c>
      <c r="D3661" s="644" t="s">
        <v>7740</v>
      </c>
      <c r="E3661" s="736">
        <v>2200</v>
      </c>
      <c r="F3661" s="737" t="s">
        <v>9874</v>
      </c>
      <c r="G3661" s="636" t="s">
        <v>9875</v>
      </c>
      <c r="H3661" s="636"/>
      <c r="I3661" s="636"/>
      <c r="J3661" s="644" t="s">
        <v>642</v>
      </c>
      <c r="K3661" s="739"/>
      <c r="L3661" s="754"/>
      <c r="M3661" s="735"/>
      <c r="N3661" s="753">
        <v>4</v>
      </c>
      <c r="O3661" s="754">
        <v>6</v>
      </c>
      <c r="P3661" s="736">
        <v>15889.8</v>
      </c>
      <c r="Q3661" s="214"/>
    </row>
    <row r="3662" spans="1:17" ht="12" customHeight="1" x14ac:dyDescent="0.2">
      <c r="A3662" s="735" t="s">
        <v>7733</v>
      </c>
      <c r="B3662" s="735" t="s">
        <v>2170</v>
      </c>
      <c r="C3662" s="735" t="s">
        <v>451</v>
      </c>
      <c r="D3662" s="644" t="s">
        <v>7843</v>
      </c>
      <c r="E3662" s="736">
        <v>3000</v>
      </c>
      <c r="F3662" s="737" t="s">
        <v>8557</v>
      </c>
      <c r="G3662" s="636" t="s">
        <v>8558</v>
      </c>
      <c r="H3662" s="636" t="s">
        <v>8089</v>
      </c>
      <c r="I3662" s="636" t="s">
        <v>8559</v>
      </c>
      <c r="J3662" s="644" t="s">
        <v>642</v>
      </c>
      <c r="K3662" s="739"/>
      <c r="L3662" s="754"/>
      <c r="M3662" s="735"/>
      <c r="N3662" s="753">
        <v>4</v>
      </c>
      <c r="O3662" s="754">
        <v>6</v>
      </c>
      <c r="P3662" s="736">
        <v>20689.8</v>
      </c>
      <c r="Q3662" s="214"/>
    </row>
    <row r="3663" spans="1:17" ht="12" customHeight="1" x14ac:dyDescent="0.2">
      <c r="A3663" s="735" t="s">
        <v>7733</v>
      </c>
      <c r="B3663" s="735" t="s">
        <v>2170</v>
      </c>
      <c r="C3663" s="735" t="s">
        <v>451</v>
      </c>
      <c r="D3663" s="644" t="s">
        <v>7838</v>
      </c>
      <c r="E3663" s="736">
        <v>2500</v>
      </c>
      <c r="F3663" s="737" t="s">
        <v>9905</v>
      </c>
      <c r="G3663" s="636" t="s">
        <v>9906</v>
      </c>
      <c r="H3663" s="636"/>
      <c r="I3663" s="636"/>
      <c r="J3663" s="644" t="s">
        <v>642</v>
      </c>
      <c r="K3663" s="739"/>
      <c r="L3663" s="754"/>
      <c r="M3663" s="735"/>
      <c r="N3663" s="753">
        <v>4</v>
      </c>
      <c r="O3663" s="754">
        <v>6</v>
      </c>
      <c r="P3663" s="736">
        <v>17689.8</v>
      </c>
      <c r="Q3663" s="214"/>
    </row>
    <row r="3664" spans="1:17" ht="12" customHeight="1" x14ac:dyDescent="0.2">
      <c r="A3664" s="735" t="s">
        <v>7733</v>
      </c>
      <c r="B3664" s="735" t="s">
        <v>2170</v>
      </c>
      <c r="C3664" s="735" t="s">
        <v>451</v>
      </c>
      <c r="D3664" s="644" t="s">
        <v>7779</v>
      </c>
      <c r="E3664" s="736">
        <v>4000</v>
      </c>
      <c r="F3664" s="737" t="s">
        <v>7796</v>
      </c>
      <c r="G3664" s="636" t="s">
        <v>7797</v>
      </c>
      <c r="H3664" s="636"/>
      <c r="I3664" s="636"/>
      <c r="J3664" s="644" t="s">
        <v>642</v>
      </c>
      <c r="K3664" s="739"/>
      <c r="L3664" s="754"/>
      <c r="M3664" s="735"/>
      <c r="N3664" s="753">
        <v>4</v>
      </c>
      <c r="O3664" s="754">
        <v>6</v>
      </c>
      <c r="P3664" s="736">
        <v>26689.8</v>
      </c>
      <c r="Q3664" s="214"/>
    </row>
    <row r="3665" spans="1:17" ht="12" customHeight="1" x14ac:dyDescent="0.2">
      <c r="A3665" s="735" t="s">
        <v>7733</v>
      </c>
      <c r="B3665" s="735" t="s">
        <v>2170</v>
      </c>
      <c r="C3665" s="735" t="s">
        <v>451</v>
      </c>
      <c r="D3665" s="644" t="s">
        <v>7104</v>
      </c>
      <c r="E3665" s="736">
        <v>3000</v>
      </c>
      <c r="F3665" s="737" t="s">
        <v>8005</v>
      </c>
      <c r="G3665" s="636" t="s">
        <v>8006</v>
      </c>
      <c r="H3665" s="636"/>
      <c r="I3665" s="636"/>
      <c r="J3665" s="644" t="s">
        <v>642</v>
      </c>
      <c r="K3665" s="739"/>
      <c r="L3665" s="754"/>
      <c r="M3665" s="735"/>
      <c r="N3665" s="753">
        <v>4</v>
      </c>
      <c r="O3665" s="754">
        <v>6</v>
      </c>
      <c r="P3665" s="736">
        <v>20689.8</v>
      </c>
      <c r="Q3665" s="214"/>
    </row>
    <row r="3666" spans="1:17" ht="12" customHeight="1" x14ac:dyDescent="0.2">
      <c r="A3666" s="735" t="s">
        <v>7733</v>
      </c>
      <c r="B3666" s="735" t="s">
        <v>2170</v>
      </c>
      <c r="C3666" s="735" t="s">
        <v>451</v>
      </c>
      <c r="D3666" s="644" t="s">
        <v>8114</v>
      </c>
      <c r="E3666" s="736">
        <v>3000</v>
      </c>
      <c r="F3666" s="737" t="s">
        <v>9114</v>
      </c>
      <c r="G3666" s="636" t="s">
        <v>9115</v>
      </c>
      <c r="H3666" s="636" t="s">
        <v>9116</v>
      </c>
      <c r="I3666" s="636" t="s">
        <v>9117</v>
      </c>
      <c r="J3666" s="644" t="s">
        <v>644</v>
      </c>
      <c r="K3666" s="739"/>
      <c r="L3666" s="754"/>
      <c r="M3666" s="735"/>
      <c r="N3666" s="753">
        <v>4</v>
      </c>
      <c r="O3666" s="754">
        <v>6</v>
      </c>
      <c r="P3666" s="736">
        <v>20689.8</v>
      </c>
      <c r="Q3666" s="214"/>
    </row>
    <row r="3667" spans="1:17" ht="12" customHeight="1" x14ac:dyDescent="0.2">
      <c r="A3667" s="735" t="s">
        <v>7733</v>
      </c>
      <c r="B3667" s="735" t="s">
        <v>2170</v>
      </c>
      <c r="C3667" s="735" t="s">
        <v>451</v>
      </c>
      <c r="D3667" s="644" t="s">
        <v>5538</v>
      </c>
      <c r="E3667" s="736">
        <v>5000</v>
      </c>
      <c r="F3667" s="737" t="s">
        <v>10198</v>
      </c>
      <c r="G3667" s="636" t="s">
        <v>10199</v>
      </c>
      <c r="H3667" s="636"/>
      <c r="I3667" s="636"/>
      <c r="J3667" s="644"/>
      <c r="K3667" s="739"/>
      <c r="L3667" s="754"/>
      <c r="M3667" s="735"/>
      <c r="N3667" s="753">
        <v>1</v>
      </c>
      <c r="O3667" s="754">
        <v>1</v>
      </c>
      <c r="P3667" s="736">
        <v>7689.8</v>
      </c>
      <c r="Q3667" s="214"/>
    </row>
    <row r="3668" spans="1:17" ht="12" customHeight="1" x14ac:dyDescent="0.2">
      <c r="A3668" s="735" t="s">
        <v>7733</v>
      </c>
      <c r="B3668" s="735" t="s">
        <v>2170</v>
      </c>
      <c r="C3668" s="735" t="s">
        <v>451</v>
      </c>
      <c r="D3668" s="644" t="s">
        <v>7838</v>
      </c>
      <c r="E3668" s="736">
        <v>2500</v>
      </c>
      <c r="F3668" s="737" t="s">
        <v>9334</v>
      </c>
      <c r="G3668" s="636" t="s">
        <v>9335</v>
      </c>
      <c r="H3668" s="636"/>
      <c r="I3668" s="636"/>
      <c r="J3668" s="644" t="s">
        <v>642</v>
      </c>
      <c r="K3668" s="739"/>
      <c r="L3668" s="754"/>
      <c r="M3668" s="735"/>
      <c r="N3668" s="753">
        <v>4</v>
      </c>
      <c r="O3668" s="754">
        <v>6</v>
      </c>
      <c r="P3668" s="736">
        <v>17689.8</v>
      </c>
      <c r="Q3668" s="214"/>
    </row>
    <row r="3669" spans="1:17" ht="12" customHeight="1" x14ac:dyDescent="0.2">
      <c r="A3669" s="735" t="s">
        <v>7733</v>
      </c>
      <c r="B3669" s="735" t="s">
        <v>2170</v>
      </c>
      <c r="C3669" s="735" t="s">
        <v>451</v>
      </c>
      <c r="D3669" s="644" t="s">
        <v>7901</v>
      </c>
      <c r="E3669" s="736">
        <v>2500</v>
      </c>
      <c r="F3669" s="737" t="s">
        <v>8342</v>
      </c>
      <c r="G3669" s="636" t="s">
        <v>8343</v>
      </c>
      <c r="H3669" s="636" t="s">
        <v>7752</v>
      </c>
      <c r="I3669" s="636" t="s">
        <v>8344</v>
      </c>
      <c r="J3669" s="644" t="s">
        <v>642</v>
      </c>
      <c r="K3669" s="739"/>
      <c r="L3669" s="754"/>
      <c r="M3669" s="735"/>
      <c r="N3669" s="753">
        <v>5</v>
      </c>
      <c r="O3669" s="754">
        <v>6</v>
      </c>
      <c r="P3669" s="736">
        <v>17689.8</v>
      </c>
      <c r="Q3669" s="214"/>
    </row>
    <row r="3670" spans="1:17" ht="12" customHeight="1" x14ac:dyDescent="0.2">
      <c r="A3670" s="735" t="s">
        <v>7733</v>
      </c>
      <c r="B3670" s="735" t="s">
        <v>2170</v>
      </c>
      <c r="C3670" s="735" t="s">
        <v>451</v>
      </c>
      <c r="D3670" s="644" t="s">
        <v>7868</v>
      </c>
      <c r="E3670" s="736">
        <v>4000</v>
      </c>
      <c r="F3670" s="737" t="s">
        <v>9213</v>
      </c>
      <c r="G3670" s="636" t="s">
        <v>9214</v>
      </c>
      <c r="H3670" s="636" t="s">
        <v>6571</v>
      </c>
      <c r="I3670" s="636" t="s">
        <v>2179</v>
      </c>
      <c r="J3670" s="644" t="s">
        <v>642</v>
      </c>
      <c r="K3670" s="739"/>
      <c r="L3670" s="754"/>
      <c r="M3670" s="735"/>
      <c r="N3670" s="753">
        <v>4</v>
      </c>
      <c r="O3670" s="754">
        <v>6</v>
      </c>
      <c r="P3670" s="736">
        <v>26689.8</v>
      </c>
      <c r="Q3670" s="214"/>
    </row>
    <row r="3671" spans="1:17" ht="12" customHeight="1" x14ac:dyDescent="0.2">
      <c r="A3671" s="735" t="s">
        <v>7733</v>
      </c>
      <c r="B3671" s="735" t="s">
        <v>2170</v>
      </c>
      <c r="C3671" s="735" t="s">
        <v>451</v>
      </c>
      <c r="D3671" s="644" t="s">
        <v>8959</v>
      </c>
      <c r="E3671" s="736">
        <v>8500</v>
      </c>
      <c r="F3671" s="737" t="s">
        <v>10044</v>
      </c>
      <c r="G3671" s="636" t="s">
        <v>10045</v>
      </c>
      <c r="H3671" s="636"/>
      <c r="I3671" s="636"/>
      <c r="J3671" s="644" t="s">
        <v>642</v>
      </c>
      <c r="K3671" s="739"/>
      <c r="L3671" s="754"/>
      <c r="M3671" s="735"/>
      <c r="N3671" s="753">
        <v>1</v>
      </c>
      <c r="O3671" s="754">
        <v>1</v>
      </c>
      <c r="P3671" s="736">
        <v>11189.8</v>
      </c>
      <c r="Q3671" s="214"/>
    </row>
    <row r="3672" spans="1:17" ht="12" customHeight="1" x14ac:dyDescent="0.2">
      <c r="A3672" s="735" t="s">
        <v>7733</v>
      </c>
      <c r="B3672" s="735" t="s">
        <v>2170</v>
      </c>
      <c r="C3672" s="735" t="s">
        <v>451</v>
      </c>
      <c r="D3672" s="644" t="s">
        <v>8414</v>
      </c>
      <c r="E3672" s="736">
        <v>2000</v>
      </c>
      <c r="F3672" s="737" t="s">
        <v>9444</v>
      </c>
      <c r="G3672" s="636" t="s">
        <v>9445</v>
      </c>
      <c r="H3672" s="636"/>
      <c r="I3672" s="636"/>
      <c r="J3672" s="644" t="s">
        <v>643</v>
      </c>
      <c r="K3672" s="739"/>
      <c r="L3672" s="754"/>
      <c r="M3672" s="735"/>
      <c r="N3672" s="753">
        <v>4</v>
      </c>
      <c r="O3672" s="754">
        <v>6</v>
      </c>
      <c r="P3672" s="736">
        <v>14689.8</v>
      </c>
      <c r="Q3672" s="214"/>
    </row>
    <row r="3673" spans="1:17" ht="12" customHeight="1" x14ac:dyDescent="0.2">
      <c r="A3673" s="735" t="s">
        <v>7733</v>
      </c>
      <c r="B3673" s="735" t="s">
        <v>2170</v>
      </c>
      <c r="C3673" s="735" t="s">
        <v>451</v>
      </c>
      <c r="D3673" s="644" t="s">
        <v>2179</v>
      </c>
      <c r="E3673" s="736">
        <v>3000</v>
      </c>
      <c r="F3673" s="737" t="s">
        <v>10015</v>
      </c>
      <c r="G3673" s="636" t="s">
        <v>10016</v>
      </c>
      <c r="H3673" s="636" t="s">
        <v>6571</v>
      </c>
      <c r="I3673" s="636" t="s">
        <v>2179</v>
      </c>
      <c r="J3673" s="644" t="s">
        <v>642</v>
      </c>
      <c r="K3673" s="739"/>
      <c r="L3673" s="754"/>
      <c r="M3673" s="735"/>
      <c r="N3673" s="753">
        <v>4</v>
      </c>
      <c r="O3673" s="754">
        <v>6</v>
      </c>
      <c r="P3673" s="736">
        <v>20689.8</v>
      </c>
      <c r="Q3673" s="214"/>
    </row>
    <row r="3674" spans="1:17" ht="12" customHeight="1" x14ac:dyDescent="0.2">
      <c r="A3674" s="735" t="s">
        <v>7733</v>
      </c>
      <c r="B3674" s="735" t="s">
        <v>2170</v>
      </c>
      <c r="C3674" s="735" t="s">
        <v>451</v>
      </c>
      <c r="D3674" s="644" t="s">
        <v>7871</v>
      </c>
      <c r="E3674" s="736">
        <v>4000</v>
      </c>
      <c r="F3674" s="737" t="s">
        <v>10200</v>
      </c>
      <c r="G3674" s="636" t="s">
        <v>10201</v>
      </c>
      <c r="H3674" s="636" t="s">
        <v>7782</v>
      </c>
      <c r="I3674" s="636"/>
      <c r="J3674" s="644" t="s">
        <v>642</v>
      </c>
      <c r="K3674" s="739"/>
      <c r="L3674" s="754"/>
      <c r="M3674" s="735"/>
      <c r="N3674" s="753">
        <v>4</v>
      </c>
      <c r="O3674" s="754">
        <v>6</v>
      </c>
      <c r="P3674" s="736">
        <v>26689.8</v>
      </c>
      <c r="Q3674" s="214"/>
    </row>
    <row r="3675" spans="1:17" ht="12" customHeight="1" x14ac:dyDescent="0.2">
      <c r="A3675" s="735" t="s">
        <v>7733</v>
      </c>
      <c r="B3675" s="735" t="s">
        <v>2170</v>
      </c>
      <c r="C3675" s="735" t="s">
        <v>451</v>
      </c>
      <c r="D3675" s="644" t="s">
        <v>9199</v>
      </c>
      <c r="E3675" s="736">
        <v>6000</v>
      </c>
      <c r="F3675" s="737" t="s">
        <v>9656</v>
      </c>
      <c r="G3675" s="636" t="s">
        <v>9657</v>
      </c>
      <c r="H3675" s="636" t="s">
        <v>8096</v>
      </c>
      <c r="I3675" s="636" t="s">
        <v>9658</v>
      </c>
      <c r="J3675" s="644" t="s">
        <v>642</v>
      </c>
      <c r="K3675" s="739"/>
      <c r="L3675" s="754"/>
      <c r="M3675" s="735"/>
      <c r="N3675" s="753">
        <v>4</v>
      </c>
      <c r="O3675" s="754">
        <v>6</v>
      </c>
      <c r="P3675" s="736">
        <v>38689.800000000003</v>
      </c>
      <c r="Q3675" s="214"/>
    </row>
    <row r="3676" spans="1:17" ht="12" customHeight="1" x14ac:dyDescent="0.2">
      <c r="A3676" s="735" t="s">
        <v>7733</v>
      </c>
      <c r="B3676" s="735" t="s">
        <v>2170</v>
      </c>
      <c r="C3676" s="735" t="s">
        <v>451</v>
      </c>
      <c r="D3676" s="644" t="s">
        <v>8023</v>
      </c>
      <c r="E3676" s="736">
        <v>2500</v>
      </c>
      <c r="F3676" s="737" t="s">
        <v>8024</v>
      </c>
      <c r="G3676" s="636" t="s">
        <v>8025</v>
      </c>
      <c r="H3676" s="636" t="s">
        <v>7752</v>
      </c>
      <c r="I3676" s="636" t="s">
        <v>2179</v>
      </c>
      <c r="J3676" s="644" t="s">
        <v>642</v>
      </c>
      <c r="K3676" s="739"/>
      <c r="L3676" s="754"/>
      <c r="M3676" s="735"/>
      <c r="N3676" s="753">
        <v>4</v>
      </c>
      <c r="O3676" s="754">
        <v>6</v>
      </c>
      <c r="P3676" s="736">
        <v>17689.8</v>
      </c>
      <c r="Q3676" s="214"/>
    </row>
    <row r="3677" spans="1:17" ht="12" customHeight="1" x14ac:dyDescent="0.2">
      <c r="A3677" s="735" t="s">
        <v>7733</v>
      </c>
      <c r="B3677" s="735" t="s">
        <v>2170</v>
      </c>
      <c r="C3677" s="735" t="s">
        <v>451</v>
      </c>
      <c r="D3677" s="644" t="s">
        <v>8445</v>
      </c>
      <c r="E3677" s="736">
        <v>2500</v>
      </c>
      <c r="F3677" s="737" t="s">
        <v>8446</v>
      </c>
      <c r="G3677" s="636" t="s">
        <v>8447</v>
      </c>
      <c r="H3677" s="636" t="s">
        <v>7752</v>
      </c>
      <c r="I3677" s="636" t="s">
        <v>2179</v>
      </c>
      <c r="J3677" s="644" t="s">
        <v>642</v>
      </c>
      <c r="K3677" s="739"/>
      <c r="L3677" s="754"/>
      <c r="M3677" s="735"/>
      <c r="N3677" s="753">
        <v>4</v>
      </c>
      <c r="O3677" s="754">
        <v>6</v>
      </c>
      <c r="P3677" s="736">
        <v>17689.8</v>
      </c>
      <c r="Q3677" s="214"/>
    </row>
    <row r="3678" spans="1:17" ht="12" customHeight="1" x14ac:dyDescent="0.2">
      <c r="A3678" s="735" t="s">
        <v>7733</v>
      </c>
      <c r="B3678" s="735" t="s">
        <v>2170</v>
      </c>
      <c r="C3678" s="735" t="s">
        <v>451</v>
      </c>
      <c r="D3678" s="644" t="s">
        <v>7871</v>
      </c>
      <c r="E3678" s="736">
        <v>4000</v>
      </c>
      <c r="F3678" s="737" t="s">
        <v>9131</v>
      </c>
      <c r="G3678" s="636" t="s">
        <v>9132</v>
      </c>
      <c r="H3678" s="636" t="s">
        <v>8000</v>
      </c>
      <c r="I3678" s="636" t="s">
        <v>2445</v>
      </c>
      <c r="J3678" s="644" t="s">
        <v>642</v>
      </c>
      <c r="K3678" s="739"/>
      <c r="L3678" s="754"/>
      <c r="M3678" s="735"/>
      <c r="N3678" s="753">
        <v>6</v>
      </c>
      <c r="O3678" s="754">
        <v>6</v>
      </c>
      <c r="P3678" s="736">
        <v>26689.8</v>
      </c>
      <c r="Q3678" s="214"/>
    </row>
    <row r="3679" spans="1:17" ht="12" customHeight="1" x14ac:dyDescent="0.2">
      <c r="A3679" s="735" t="s">
        <v>7733</v>
      </c>
      <c r="B3679" s="735" t="s">
        <v>2170</v>
      </c>
      <c r="C3679" s="735" t="s">
        <v>451</v>
      </c>
      <c r="D3679" s="644" t="s">
        <v>8177</v>
      </c>
      <c r="E3679" s="736">
        <v>7000</v>
      </c>
      <c r="F3679" s="737" t="s">
        <v>9941</v>
      </c>
      <c r="G3679" s="636" t="s">
        <v>9942</v>
      </c>
      <c r="H3679" s="636"/>
      <c r="I3679" s="636"/>
      <c r="J3679" s="644" t="s">
        <v>642</v>
      </c>
      <c r="K3679" s="739"/>
      <c r="L3679" s="754"/>
      <c r="M3679" s="735"/>
      <c r="N3679" s="753">
        <v>1</v>
      </c>
      <c r="O3679" s="754">
        <v>1</v>
      </c>
      <c r="P3679" s="736">
        <v>9689.7999999999993</v>
      </c>
      <c r="Q3679" s="214"/>
    </row>
    <row r="3680" spans="1:17" ht="12" customHeight="1" x14ac:dyDescent="0.2">
      <c r="A3680" s="735" t="s">
        <v>7733</v>
      </c>
      <c r="B3680" s="735" t="s">
        <v>2170</v>
      </c>
      <c r="C3680" s="735" t="s">
        <v>451</v>
      </c>
      <c r="D3680" s="644" t="s">
        <v>7868</v>
      </c>
      <c r="E3680" s="736">
        <v>4000</v>
      </c>
      <c r="F3680" s="737" t="s">
        <v>9023</v>
      </c>
      <c r="G3680" s="636" t="s">
        <v>9024</v>
      </c>
      <c r="H3680" s="636" t="s">
        <v>7752</v>
      </c>
      <c r="I3680" s="636" t="s">
        <v>2179</v>
      </c>
      <c r="J3680" s="644" t="s">
        <v>642</v>
      </c>
      <c r="K3680" s="739"/>
      <c r="L3680" s="754"/>
      <c r="M3680" s="735"/>
      <c r="N3680" s="753">
        <v>4</v>
      </c>
      <c r="O3680" s="754">
        <v>6</v>
      </c>
      <c r="P3680" s="736">
        <v>26689.8</v>
      </c>
      <c r="Q3680" s="214"/>
    </row>
    <row r="3681" spans="1:17" ht="12" customHeight="1" x14ac:dyDescent="0.2">
      <c r="A3681" s="735" t="s">
        <v>7733</v>
      </c>
      <c r="B3681" s="735" t="s">
        <v>2170</v>
      </c>
      <c r="C3681" s="735" t="s">
        <v>451</v>
      </c>
      <c r="D3681" s="644" t="s">
        <v>7897</v>
      </c>
      <c r="E3681" s="736">
        <v>3000</v>
      </c>
      <c r="F3681" s="737" t="s">
        <v>7898</v>
      </c>
      <c r="G3681" s="636" t="s">
        <v>7899</v>
      </c>
      <c r="H3681" s="636" t="s">
        <v>7900</v>
      </c>
      <c r="I3681" s="636" t="s">
        <v>2275</v>
      </c>
      <c r="J3681" s="644" t="s">
        <v>642</v>
      </c>
      <c r="K3681" s="739"/>
      <c r="L3681" s="754"/>
      <c r="M3681" s="735"/>
      <c r="N3681" s="753">
        <v>4</v>
      </c>
      <c r="O3681" s="754">
        <v>6</v>
      </c>
      <c r="P3681" s="736">
        <v>20689.8</v>
      </c>
      <c r="Q3681" s="214"/>
    </row>
    <row r="3682" spans="1:17" ht="12" customHeight="1" x14ac:dyDescent="0.2">
      <c r="A3682" s="735" t="s">
        <v>7733</v>
      </c>
      <c r="B3682" s="735" t="s">
        <v>2170</v>
      </c>
      <c r="C3682" s="735" t="s">
        <v>451</v>
      </c>
      <c r="D3682" s="644" t="s">
        <v>8360</v>
      </c>
      <c r="E3682" s="736">
        <v>3500</v>
      </c>
      <c r="F3682" s="737" t="s">
        <v>9636</v>
      </c>
      <c r="G3682" s="636" t="s">
        <v>9637</v>
      </c>
      <c r="H3682" s="636" t="s">
        <v>6571</v>
      </c>
      <c r="I3682" s="636" t="s">
        <v>2179</v>
      </c>
      <c r="J3682" s="644" t="s">
        <v>642</v>
      </c>
      <c r="K3682" s="739"/>
      <c r="L3682" s="754"/>
      <c r="M3682" s="735"/>
      <c r="N3682" s="753">
        <v>4</v>
      </c>
      <c r="O3682" s="754">
        <v>6</v>
      </c>
      <c r="P3682" s="736">
        <v>23689.8</v>
      </c>
      <c r="Q3682" s="214"/>
    </row>
    <row r="3683" spans="1:17" ht="12" customHeight="1" x14ac:dyDescent="0.2">
      <c r="A3683" s="735" t="s">
        <v>7733</v>
      </c>
      <c r="B3683" s="735" t="s">
        <v>2170</v>
      </c>
      <c r="C3683" s="735" t="s">
        <v>451</v>
      </c>
      <c r="D3683" s="644" t="s">
        <v>7977</v>
      </c>
      <c r="E3683" s="736">
        <v>4000</v>
      </c>
      <c r="F3683" s="737" t="s">
        <v>8388</v>
      </c>
      <c r="G3683" s="636" t="s">
        <v>8389</v>
      </c>
      <c r="H3683" s="636" t="s">
        <v>7782</v>
      </c>
      <c r="I3683" s="636" t="s">
        <v>2365</v>
      </c>
      <c r="J3683" s="644" t="s">
        <v>642</v>
      </c>
      <c r="K3683" s="739"/>
      <c r="L3683" s="754"/>
      <c r="M3683" s="735"/>
      <c r="N3683" s="753">
        <v>6</v>
      </c>
      <c r="O3683" s="754">
        <v>6</v>
      </c>
      <c r="P3683" s="736">
        <v>26689.8</v>
      </c>
      <c r="Q3683" s="214"/>
    </row>
    <row r="3684" spans="1:17" ht="12" customHeight="1" x14ac:dyDescent="0.2">
      <c r="A3684" s="735" t="s">
        <v>7733</v>
      </c>
      <c r="B3684" s="735" t="s">
        <v>2170</v>
      </c>
      <c r="C3684" s="735" t="s">
        <v>451</v>
      </c>
      <c r="D3684" s="644" t="s">
        <v>7858</v>
      </c>
      <c r="E3684" s="736">
        <v>3000</v>
      </c>
      <c r="F3684" s="737" t="s">
        <v>10102</v>
      </c>
      <c r="G3684" s="636" t="s">
        <v>10103</v>
      </c>
      <c r="H3684" s="636"/>
      <c r="I3684" s="636" t="s">
        <v>9726</v>
      </c>
      <c r="J3684" s="644" t="s">
        <v>642</v>
      </c>
      <c r="K3684" s="739"/>
      <c r="L3684" s="754"/>
      <c r="M3684" s="735"/>
      <c r="N3684" s="753">
        <v>5</v>
      </c>
      <c r="O3684" s="754">
        <v>6</v>
      </c>
      <c r="P3684" s="736">
        <v>20689.8</v>
      </c>
      <c r="Q3684" s="214"/>
    </row>
    <row r="3685" spans="1:17" ht="12" customHeight="1" x14ac:dyDescent="0.2">
      <c r="A3685" s="735" t="s">
        <v>7733</v>
      </c>
      <c r="B3685" s="735" t="s">
        <v>2170</v>
      </c>
      <c r="C3685" s="735" t="s">
        <v>451</v>
      </c>
      <c r="D3685" s="644" t="s">
        <v>7813</v>
      </c>
      <c r="E3685" s="736">
        <v>1800</v>
      </c>
      <c r="F3685" s="737" t="s">
        <v>7814</v>
      </c>
      <c r="G3685" s="636" t="s">
        <v>7815</v>
      </c>
      <c r="H3685" s="636" t="s">
        <v>7816</v>
      </c>
      <c r="I3685" s="636" t="s">
        <v>2543</v>
      </c>
      <c r="J3685" s="644" t="s">
        <v>642</v>
      </c>
      <c r="K3685" s="739"/>
      <c r="L3685" s="754"/>
      <c r="M3685" s="735"/>
      <c r="N3685" s="753">
        <v>4</v>
      </c>
      <c r="O3685" s="754">
        <v>6</v>
      </c>
      <c r="P3685" s="736">
        <v>13344</v>
      </c>
      <c r="Q3685" s="214"/>
    </row>
    <row r="3686" spans="1:17" ht="12" customHeight="1" x14ac:dyDescent="0.2">
      <c r="A3686" s="735" t="s">
        <v>7733</v>
      </c>
      <c r="B3686" s="735" t="s">
        <v>2170</v>
      </c>
      <c r="C3686" s="735" t="s">
        <v>451</v>
      </c>
      <c r="D3686" s="644" t="s">
        <v>8268</v>
      </c>
      <c r="E3686" s="736">
        <v>2500</v>
      </c>
      <c r="F3686" s="737" t="s">
        <v>9993</v>
      </c>
      <c r="G3686" s="636" t="s">
        <v>9994</v>
      </c>
      <c r="H3686" s="636" t="s">
        <v>8227</v>
      </c>
      <c r="I3686" s="636" t="s">
        <v>2766</v>
      </c>
      <c r="J3686" s="644" t="s">
        <v>643</v>
      </c>
      <c r="K3686" s="739"/>
      <c r="L3686" s="754"/>
      <c r="M3686" s="735"/>
      <c r="N3686" s="753">
        <v>4</v>
      </c>
      <c r="O3686" s="754">
        <v>6</v>
      </c>
      <c r="P3686" s="736">
        <v>17689.8</v>
      </c>
      <c r="Q3686" s="214"/>
    </row>
    <row r="3687" spans="1:17" ht="12" customHeight="1" x14ac:dyDescent="0.2">
      <c r="A3687" s="735" t="s">
        <v>7733</v>
      </c>
      <c r="B3687" s="735" t="s">
        <v>2170</v>
      </c>
      <c r="C3687" s="735" t="s">
        <v>451</v>
      </c>
      <c r="D3687" s="644" t="s">
        <v>8367</v>
      </c>
      <c r="E3687" s="736">
        <v>2300</v>
      </c>
      <c r="F3687" s="737" t="s">
        <v>9509</v>
      </c>
      <c r="G3687" s="636" t="s">
        <v>9510</v>
      </c>
      <c r="H3687" s="636" t="s">
        <v>7752</v>
      </c>
      <c r="I3687" s="636" t="s">
        <v>2569</v>
      </c>
      <c r="J3687" s="644" t="s">
        <v>643</v>
      </c>
      <c r="K3687" s="739"/>
      <c r="L3687" s="754"/>
      <c r="M3687" s="735"/>
      <c r="N3687" s="753">
        <v>4</v>
      </c>
      <c r="O3687" s="754">
        <v>6</v>
      </c>
      <c r="P3687" s="736">
        <v>16489.8</v>
      </c>
      <c r="Q3687" s="214"/>
    </row>
    <row r="3688" spans="1:17" ht="12" customHeight="1" x14ac:dyDescent="0.2">
      <c r="A3688" s="735" t="s">
        <v>7733</v>
      </c>
      <c r="B3688" s="735" t="s">
        <v>2170</v>
      </c>
      <c r="C3688" s="735" t="s">
        <v>451</v>
      </c>
      <c r="D3688" s="644" t="s">
        <v>8041</v>
      </c>
      <c r="E3688" s="736">
        <v>2000</v>
      </c>
      <c r="F3688" s="737" t="s">
        <v>8981</v>
      </c>
      <c r="G3688" s="636" t="s">
        <v>8982</v>
      </c>
      <c r="H3688" s="636"/>
      <c r="I3688" s="636"/>
      <c r="J3688" s="644" t="s">
        <v>644</v>
      </c>
      <c r="K3688" s="739"/>
      <c r="L3688" s="754"/>
      <c r="M3688" s="735"/>
      <c r="N3688" s="753">
        <v>4</v>
      </c>
      <c r="O3688" s="754">
        <v>6</v>
      </c>
      <c r="P3688" s="736">
        <v>14689.8</v>
      </c>
      <c r="Q3688" s="214"/>
    </row>
    <row r="3689" spans="1:17" ht="12" customHeight="1" x14ac:dyDescent="0.2">
      <c r="A3689" s="735" t="s">
        <v>7733</v>
      </c>
      <c r="B3689" s="735" t="s">
        <v>2170</v>
      </c>
      <c r="C3689" s="735" t="s">
        <v>451</v>
      </c>
      <c r="D3689" s="644" t="s">
        <v>7786</v>
      </c>
      <c r="E3689" s="736">
        <v>7500</v>
      </c>
      <c r="F3689" s="737" t="s">
        <v>7787</v>
      </c>
      <c r="G3689" s="636" t="s">
        <v>7788</v>
      </c>
      <c r="H3689" s="636" t="s">
        <v>6571</v>
      </c>
      <c r="I3689" s="636" t="s">
        <v>2179</v>
      </c>
      <c r="J3689" s="644" t="s">
        <v>642</v>
      </c>
      <c r="K3689" s="739"/>
      <c r="L3689" s="754"/>
      <c r="M3689" s="735"/>
      <c r="N3689" s="753">
        <v>4</v>
      </c>
      <c r="O3689" s="754">
        <v>6</v>
      </c>
      <c r="P3689" s="736">
        <v>47689.8</v>
      </c>
      <c r="Q3689" s="214"/>
    </row>
    <row r="3690" spans="1:17" ht="12" customHeight="1" x14ac:dyDescent="0.2">
      <c r="A3690" s="735" t="s">
        <v>7733</v>
      </c>
      <c r="B3690" s="735" t="s">
        <v>2170</v>
      </c>
      <c r="C3690" s="735" t="s">
        <v>451</v>
      </c>
      <c r="D3690" s="644" t="s">
        <v>8010</v>
      </c>
      <c r="E3690" s="736">
        <v>2000</v>
      </c>
      <c r="F3690" s="737" t="s">
        <v>8011</v>
      </c>
      <c r="G3690" s="636" t="s">
        <v>8012</v>
      </c>
      <c r="H3690" s="636" t="s">
        <v>8013</v>
      </c>
      <c r="I3690" s="636" t="s">
        <v>8014</v>
      </c>
      <c r="J3690" s="644" t="s">
        <v>643</v>
      </c>
      <c r="K3690" s="739"/>
      <c r="L3690" s="754"/>
      <c r="M3690" s="735"/>
      <c r="N3690" s="753">
        <v>4</v>
      </c>
      <c r="O3690" s="754">
        <v>6</v>
      </c>
      <c r="P3690" s="736">
        <v>14689.8</v>
      </c>
      <c r="Q3690" s="214"/>
    </row>
    <row r="3691" spans="1:17" ht="12" customHeight="1" x14ac:dyDescent="0.2">
      <c r="A3691" s="735" t="s">
        <v>7733</v>
      </c>
      <c r="B3691" s="735" t="s">
        <v>2170</v>
      </c>
      <c r="C3691" s="735" t="s">
        <v>451</v>
      </c>
      <c r="D3691" s="644" t="s">
        <v>7904</v>
      </c>
      <c r="E3691" s="736">
        <v>3000</v>
      </c>
      <c r="F3691" s="737" t="s">
        <v>8748</v>
      </c>
      <c r="G3691" s="636" t="s">
        <v>8749</v>
      </c>
      <c r="H3691" s="636" t="s">
        <v>7152</v>
      </c>
      <c r="I3691" s="636" t="s">
        <v>2317</v>
      </c>
      <c r="J3691" s="644" t="s">
        <v>643</v>
      </c>
      <c r="K3691" s="739"/>
      <c r="L3691" s="754"/>
      <c r="M3691" s="735"/>
      <c r="N3691" s="753">
        <v>6</v>
      </c>
      <c r="O3691" s="754">
        <v>6</v>
      </c>
      <c r="P3691" s="736">
        <v>20689.8</v>
      </c>
      <c r="Q3691" s="214"/>
    </row>
    <row r="3692" spans="1:17" ht="12" customHeight="1" x14ac:dyDescent="0.2">
      <c r="A3692" s="735" t="s">
        <v>7733</v>
      </c>
      <c r="B3692" s="735" t="s">
        <v>2170</v>
      </c>
      <c r="C3692" s="735" t="s">
        <v>451</v>
      </c>
      <c r="D3692" s="644" t="s">
        <v>8236</v>
      </c>
      <c r="E3692" s="736">
        <v>4000</v>
      </c>
      <c r="F3692" s="737" t="s">
        <v>9716</v>
      </c>
      <c r="G3692" s="636" t="s">
        <v>9717</v>
      </c>
      <c r="H3692" s="636" t="s">
        <v>7816</v>
      </c>
      <c r="I3692" s="636" t="s">
        <v>3328</v>
      </c>
      <c r="J3692" s="644" t="s">
        <v>642</v>
      </c>
      <c r="K3692" s="739"/>
      <c r="L3692" s="754"/>
      <c r="M3692" s="735"/>
      <c r="N3692" s="753">
        <v>4</v>
      </c>
      <c r="O3692" s="754">
        <v>6</v>
      </c>
      <c r="P3692" s="736">
        <v>26689.8</v>
      </c>
      <c r="Q3692" s="214"/>
    </row>
    <row r="3693" spans="1:17" ht="12" customHeight="1" x14ac:dyDescent="0.2">
      <c r="A3693" s="735" t="s">
        <v>7733</v>
      </c>
      <c r="B3693" s="735" t="s">
        <v>2170</v>
      </c>
      <c r="C3693" s="735" t="s">
        <v>451</v>
      </c>
      <c r="D3693" s="644" t="s">
        <v>7921</v>
      </c>
      <c r="E3693" s="736">
        <v>4000</v>
      </c>
      <c r="F3693" s="737" t="s">
        <v>9781</v>
      </c>
      <c r="G3693" s="636" t="s">
        <v>9782</v>
      </c>
      <c r="H3693" s="636" t="s">
        <v>7782</v>
      </c>
      <c r="I3693" s="636" t="s">
        <v>2208</v>
      </c>
      <c r="J3693" s="644" t="s">
        <v>642</v>
      </c>
      <c r="K3693" s="739"/>
      <c r="L3693" s="754"/>
      <c r="M3693" s="735"/>
      <c r="N3693" s="753">
        <v>4</v>
      </c>
      <c r="O3693" s="754">
        <v>6</v>
      </c>
      <c r="P3693" s="736">
        <v>26689.8</v>
      </c>
      <c r="Q3693" s="214"/>
    </row>
    <row r="3694" spans="1:17" ht="12" customHeight="1" x14ac:dyDescent="0.2">
      <c r="A3694" s="735" t="s">
        <v>7733</v>
      </c>
      <c r="B3694" s="735" t="s">
        <v>2170</v>
      </c>
      <c r="C3694" s="735" t="s">
        <v>451</v>
      </c>
      <c r="D3694" s="644" t="s">
        <v>7817</v>
      </c>
      <c r="E3694" s="736">
        <v>2500</v>
      </c>
      <c r="F3694" s="737" t="s">
        <v>9549</v>
      </c>
      <c r="G3694" s="636" t="s">
        <v>9550</v>
      </c>
      <c r="H3694" s="636" t="s">
        <v>8536</v>
      </c>
      <c r="I3694" s="636" t="s">
        <v>3057</v>
      </c>
      <c r="J3694" s="644" t="s">
        <v>643</v>
      </c>
      <c r="K3694" s="739"/>
      <c r="L3694" s="754"/>
      <c r="M3694" s="735"/>
      <c r="N3694" s="753">
        <v>4</v>
      </c>
      <c r="O3694" s="754">
        <v>6</v>
      </c>
      <c r="P3694" s="736">
        <v>17689.8</v>
      </c>
      <c r="Q3694" s="214"/>
    </row>
    <row r="3695" spans="1:17" ht="12" customHeight="1" x14ac:dyDescent="0.2">
      <c r="A3695" s="735" t="s">
        <v>7733</v>
      </c>
      <c r="B3695" s="735" t="s">
        <v>2170</v>
      </c>
      <c r="C3695" s="735" t="s">
        <v>451</v>
      </c>
      <c r="D3695" s="644" t="s">
        <v>7817</v>
      </c>
      <c r="E3695" s="736">
        <v>2500</v>
      </c>
      <c r="F3695" s="737" t="s">
        <v>9888</v>
      </c>
      <c r="G3695" s="636" t="s">
        <v>9889</v>
      </c>
      <c r="H3695" s="636" t="s">
        <v>8386</v>
      </c>
      <c r="I3695" s="636" t="s">
        <v>8387</v>
      </c>
      <c r="J3695" s="644" t="s">
        <v>643</v>
      </c>
      <c r="K3695" s="739"/>
      <c r="L3695" s="754"/>
      <c r="M3695" s="735"/>
      <c r="N3695" s="753">
        <v>4</v>
      </c>
      <c r="O3695" s="754">
        <v>6</v>
      </c>
      <c r="P3695" s="736">
        <v>17689.8</v>
      </c>
      <c r="Q3695" s="214"/>
    </row>
    <row r="3696" spans="1:17" ht="12" customHeight="1" x14ac:dyDescent="0.2">
      <c r="A3696" s="735" t="s">
        <v>7733</v>
      </c>
      <c r="B3696" s="735" t="s">
        <v>2170</v>
      </c>
      <c r="C3696" s="735" t="s">
        <v>451</v>
      </c>
      <c r="D3696" s="644" t="s">
        <v>2636</v>
      </c>
      <c r="E3696" s="736">
        <v>5600</v>
      </c>
      <c r="F3696" s="737" t="s">
        <v>9323</v>
      </c>
      <c r="G3696" s="636" t="s">
        <v>9324</v>
      </c>
      <c r="H3696" s="636" t="s">
        <v>7816</v>
      </c>
      <c r="I3696" s="636" t="s">
        <v>8756</v>
      </c>
      <c r="J3696" s="644" t="s">
        <v>642</v>
      </c>
      <c r="K3696" s="739"/>
      <c r="L3696" s="754"/>
      <c r="M3696" s="735"/>
      <c r="N3696" s="753">
        <v>4</v>
      </c>
      <c r="O3696" s="754">
        <v>6</v>
      </c>
      <c r="P3696" s="736">
        <v>36289.800000000003</v>
      </c>
      <c r="Q3696" s="214"/>
    </row>
    <row r="3697" spans="1:17" ht="12" customHeight="1" x14ac:dyDescent="0.2">
      <c r="A3697" s="735" t="s">
        <v>7733</v>
      </c>
      <c r="B3697" s="735" t="s">
        <v>2170</v>
      </c>
      <c r="C3697" s="735" t="s">
        <v>451</v>
      </c>
      <c r="D3697" s="644" t="s">
        <v>8247</v>
      </c>
      <c r="E3697" s="736">
        <v>4000</v>
      </c>
      <c r="F3697" s="737" t="s">
        <v>9714</v>
      </c>
      <c r="G3697" s="636" t="s">
        <v>9715</v>
      </c>
      <c r="H3697" s="636" t="s">
        <v>2365</v>
      </c>
      <c r="I3697" s="636" t="s">
        <v>7782</v>
      </c>
      <c r="J3697" s="644" t="s">
        <v>642</v>
      </c>
      <c r="K3697" s="739"/>
      <c r="L3697" s="754"/>
      <c r="M3697" s="735"/>
      <c r="N3697" s="753">
        <v>4</v>
      </c>
      <c r="O3697" s="754">
        <v>6</v>
      </c>
      <c r="P3697" s="736">
        <v>26689.8</v>
      </c>
      <c r="Q3697" s="214"/>
    </row>
    <row r="3698" spans="1:17" ht="12" customHeight="1" x14ac:dyDescent="0.2">
      <c r="A3698" s="735" t="s">
        <v>7733</v>
      </c>
      <c r="B3698" s="735" t="s">
        <v>2170</v>
      </c>
      <c r="C3698" s="735" t="s">
        <v>451</v>
      </c>
      <c r="D3698" s="644" t="s">
        <v>8172</v>
      </c>
      <c r="E3698" s="736">
        <v>3500</v>
      </c>
      <c r="F3698" s="737" t="s">
        <v>8493</v>
      </c>
      <c r="G3698" s="636" t="s">
        <v>8494</v>
      </c>
      <c r="H3698" s="636"/>
      <c r="I3698" s="636"/>
      <c r="J3698" s="644" t="s">
        <v>642</v>
      </c>
      <c r="K3698" s="739"/>
      <c r="L3698" s="754"/>
      <c r="M3698" s="735"/>
      <c r="N3698" s="753">
        <v>5</v>
      </c>
      <c r="O3698" s="754">
        <v>5</v>
      </c>
      <c r="P3698" s="736">
        <v>20189.8</v>
      </c>
      <c r="Q3698" s="214"/>
    </row>
    <row r="3699" spans="1:17" ht="12" customHeight="1" x14ac:dyDescent="0.2">
      <c r="A3699" s="735" t="s">
        <v>7733</v>
      </c>
      <c r="B3699" s="735" t="s">
        <v>2170</v>
      </c>
      <c r="C3699" s="735" t="s">
        <v>451</v>
      </c>
      <c r="D3699" s="644" t="s">
        <v>8554</v>
      </c>
      <c r="E3699" s="736">
        <v>3000</v>
      </c>
      <c r="F3699" s="737" t="s">
        <v>10164</v>
      </c>
      <c r="G3699" s="636" t="s">
        <v>10165</v>
      </c>
      <c r="H3699" s="636" t="s">
        <v>6571</v>
      </c>
      <c r="I3699" s="636" t="s">
        <v>7835</v>
      </c>
      <c r="J3699" s="644" t="s">
        <v>642</v>
      </c>
      <c r="K3699" s="739"/>
      <c r="L3699" s="754"/>
      <c r="M3699" s="735"/>
      <c r="N3699" s="753">
        <v>2</v>
      </c>
      <c r="O3699" s="754">
        <v>1</v>
      </c>
      <c r="P3699" s="736">
        <v>5689.8</v>
      </c>
      <c r="Q3699" s="214"/>
    </row>
    <row r="3700" spans="1:17" ht="12" customHeight="1" x14ac:dyDescent="0.2">
      <c r="A3700" s="735" t="s">
        <v>7733</v>
      </c>
      <c r="B3700" s="735" t="s">
        <v>2170</v>
      </c>
      <c r="C3700" s="735" t="s">
        <v>451</v>
      </c>
      <c r="D3700" s="644" t="s">
        <v>9358</v>
      </c>
      <c r="E3700" s="736">
        <v>3500</v>
      </c>
      <c r="F3700" s="737" t="s">
        <v>9359</v>
      </c>
      <c r="G3700" s="636" t="s">
        <v>9360</v>
      </c>
      <c r="H3700" s="636" t="s">
        <v>3754</v>
      </c>
      <c r="I3700" s="636" t="s">
        <v>8036</v>
      </c>
      <c r="J3700" s="644" t="s">
        <v>644</v>
      </c>
      <c r="K3700" s="739"/>
      <c r="L3700" s="754"/>
      <c r="M3700" s="735"/>
      <c r="N3700" s="753">
        <v>4</v>
      </c>
      <c r="O3700" s="754">
        <v>6</v>
      </c>
      <c r="P3700" s="736">
        <v>23689.8</v>
      </c>
      <c r="Q3700" s="214"/>
    </row>
    <row r="3701" spans="1:17" ht="12" customHeight="1" x14ac:dyDescent="0.2">
      <c r="A3701" s="735" t="s">
        <v>7733</v>
      </c>
      <c r="B3701" s="735" t="s">
        <v>2170</v>
      </c>
      <c r="C3701" s="735" t="s">
        <v>451</v>
      </c>
      <c r="D3701" s="644" t="s">
        <v>8568</v>
      </c>
      <c r="E3701" s="736">
        <v>3000</v>
      </c>
      <c r="F3701" s="737" t="s">
        <v>8569</v>
      </c>
      <c r="G3701" s="636" t="s">
        <v>8570</v>
      </c>
      <c r="H3701" s="636" t="s">
        <v>7782</v>
      </c>
      <c r="I3701" s="636" t="s">
        <v>2208</v>
      </c>
      <c r="J3701" s="644" t="s">
        <v>642</v>
      </c>
      <c r="K3701" s="739"/>
      <c r="L3701" s="754"/>
      <c r="M3701" s="735"/>
      <c r="N3701" s="753">
        <v>6</v>
      </c>
      <c r="O3701" s="754">
        <v>6</v>
      </c>
      <c r="P3701" s="736">
        <v>20689.8</v>
      </c>
      <c r="Q3701" s="214"/>
    </row>
    <row r="3702" spans="1:17" ht="12" customHeight="1" x14ac:dyDescent="0.2">
      <c r="A3702" s="735" t="s">
        <v>7733</v>
      </c>
      <c r="B3702" s="735" t="s">
        <v>2170</v>
      </c>
      <c r="C3702" s="735" t="s">
        <v>451</v>
      </c>
      <c r="D3702" s="644" t="s">
        <v>5788</v>
      </c>
      <c r="E3702" s="736">
        <v>5000</v>
      </c>
      <c r="F3702" s="737" t="s">
        <v>8560</v>
      </c>
      <c r="G3702" s="636" t="s">
        <v>8561</v>
      </c>
      <c r="H3702" s="636" t="s">
        <v>7752</v>
      </c>
      <c r="I3702" s="636" t="s">
        <v>2179</v>
      </c>
      <c r="J3702" s="644" t="s">
        <v>642</v>
      </c>
      <c r="K3702" s="739"/>
      <c r="L3702" s="754"/>
      <c r="M3702" s="735"/>
      <c r="N3702" s="753">
        <v>4</v>
      </c>
      <c r="O3702" s="754">
        <v>6</v>
      </c>
      <c r="P3702" s="736">
        <v>32689.8</v>
      </c>
      <c r="Q3702" s="214"/>
    </row>
    <row r="3703" spans="1:17" ht="12" customHeight="1" x14ac:dyDescent="0.2">
      <c r="A3703" s="735" t="s">
        <v>7733</v>
      </c>
      <c r="B3703" s="735" t="s">
        <v>2170</v>
      </c>
      <c r="C3703" s="735" t="s">
        <v>451</v>
      </c>
      <c r="D3703" s="644" t="s">
        <v>2179</v>
      </c>
      <c r="E3703" s="736">
        <v>3000</v>
      </c>
      <c r="F3703" s="737" t="s">
        <v>9480</v>
      </c>
      <c r="G3703" s="636" t="s">
        <v>9481</v>
      </c>
      <c r="H3703" s="636" t="s">
        <v>6571</v>
      </c>
      <c r="I3703" s="636" t="s">
        <v>2569</v>
      </c>
      <c r="J3703" s="644" t="s">
        <v>642</v>
      </c>
      <c r="K3703" s="739"/>
      <c r="L3703" s="754"/>
      <c r="M3703" s="735"/>
      <c r="N3703" s="753">
        <v>6</v>
      </c>
      <c r="O3703" s="754">
        <v>6</v>
      </c>
      <c r="P3703" s="736">
        <v>20689.8</v>
      </c>
      <c r="Q3703" s="214"/>
    </row>
    <row r="3704" spans="1:17" ht="12" customHeight="1" x14ac:dyDescent="0.2">
      <c r="A3704" s="735" t="s">
        <v>7733</v>
      </c>
      <c r="B3704" s="735" t="s">
        <v>2170</v>
      </c>
      <c r="C3704" s="735" t="s">
        <v>451</v>
      </c>
      <c r="D3704" s="644" t="s">
        <v>7977</v>
      </c>
      <c r="E3704" s="736">
        <v>4000</v>
      </c>
      <c r="F3704" s="737" t="s">
        <v>7978</v>
      </c>
      <c r="G3704" s="636" t="s">
        <v>7979</v>
      </c>
      <c r="H3704" s="636" t="s">
        <v>7782</v>
      </c>
      <c r="I3704" s="636" t="s">
        <v>2208</v>
      </c>
      <c r="J3704" s="644" t="s">
        <v>642</v>
      </c>
      <c r="K3704" s="739"/>
      <c r="L3704" s="754"/>
      <c r="M3704" s="735"/>
      <c r="N3704" s="753">
        <v>6</v>
      </c>
      <c r="O3704" s="754">
        <v>6</v>
      </c>
      <c r="P3704" s="736">
        <v>26689.8</v>
      </c>
      <c r="Q3704" s="214"/>
    </row>
    <row r="3705" spans="1:17" ht="12" customHeight="1" x14ac:dyDescent="0.2">
      <c r="A3705" s="735" t="s">
        <v>7733</v>
      </c>
      <c r="B3705" s="735" t="s">
        <v>2170</v>
      </c>
      <c r="C3705" s="735" t="s">
        <v>451</v>
      </c>
      <c r="D3705" s="644" t="s">
        <v>8791</v>
      </c>
      <c r="E3705" s="736">
        <v>2500</v>
      </c>
      <c r="F3705" s="737" t="s">
        <v>9901</v>
      </c>
      <c r="G3705" s="636" t="s">
        <v>9902</v>
      </c>
      <c r="H3705" s="636" t="s">
        <v>6571</v>
      </c>
      <c r="I3705" s="636" t="s">
        <v>2179</v>
      </c>
      <c r="J3705" s="644" t="s">
        <v>642</v>
      </c>
      <c r="K3705" s="739"/>
      <c r="L3705" s="754"/>
      <c r="M3705" s="735"/>
      <c r="N3705" s="753">
        <v>4</v>
      </c>
      <c r="O3705" s="754">
        <v>6</v>
      </c>
      <c r="P3705" s="736">
        <v>17689.8</v>
      </c>
      <c r="Q3705" s="214"/>
    </row>
    <row r="3706" spans="1:17" ht="12" customHeight="1" x14ac:dyDescent="0.2">
      <c r="A3706" s="735" t="s">
        <v>7733</v>
      </c>
      <c r="B3706" s="735" t="s">
        <v>2170</v>
      </c>
      <c r="C3706" s="735" t="s">
        <v>451</v>
      </c>
      <c r="D3706" s="644" t="s">
        <v>9764</v>
      </c>
      <c r="E3706" s="736">
        <v>6000</v>
      </c>
      <c r="F3706" s="737" t="s">
        <v>9765</v>
      </c>
      <c r="G3706" s="636" t="s">
        <v>9766</v>
      </c>
      <c r="H3706" s="636" t="s">
        <v>6571</v>
      </c>
      <c r="I3706" s="636" t="s">
        <v>2179</v>
      </c>
      <c r="J3706" s="644" t="s">
        <v>642</v>
      </c>
      <c r="K3706" s="739"/>
      <c r="L3706" s="754"/>
      <c r="M3706" s="735"/>
      <c r="N3706" s="753">
        <v>4</v>
      </c>
      <c r="O3706" s="754">
        <v>6</v>
      </c>
      <c r="P3706" s="736">
        <v>38689.800000000003</v>
      </c>
      <c r="Q3706" s="214"/>
    </row>
    <row r="3707" spans="1:17" ht="12" customHeight="1" x14ac:dyDescent="0.2">
      <c r="A3707" s="735" t="s">
        <v>7733</v>
      </c>
      <c r="B3707" s="735" t="s">
        <v>2170</v>
      </c>
      <c r="C3707" s="735" t="s">
        <v>451</v>
      </c>
      <c r="D3707" s="644" t="s">
        <v>7871</v>
      </c>
      <c r="E3707" s="736">
        <v>4000</v>
      </c>
      <c r="F3707" s="737" t="s">
        <v>10202</v>
      </c>
      <c r="G3707" s="636" t="s">
        <v>10203</v>
      </c>
      <c r="H3707" s="636" t="s">
        <v>7782</v>
      </c>
      <c r="I3707" s="636"/>
      <c r="J3707" s="644" t="s">
        <v>642</v>
      </c>
      <c r="K3707" s="739"/>
      <c r="L3707" s="754"/>
      <c r="M3707" s="735"/>
      <c r="N3707" s="753">
        <v>4</v>
      </c>
      <c r="O3707" s="754">
        <v>6</v>
      </c>
      <c r="P3707" s="736">
        <v>26689.8</v>
      </c>
      <c r="Q3707" s="214"/>
    </row>
    <row r="3708" spans="1:17" ht="12" customHeight="1" x14ac:dyDescent="0.2">
      <c r="A3708" s="735" t="s">
        <v>7733</v>
      </c>
      <c r="B3708" s="735" t="s">
        <v>2170</v>
      </c>
      <c r="C3708" s="735" t="s">
        <v>451</v>
      </c>
      <c r="D3708" s="644" t="s">
        <v>8268</v>
      </c>
      <c r="E3708" s="736">
        <v>2200</v>
      </c>
      <c r="F3708" s="737" t="s">
        <v>9566</v>
      </c>
      <c r="G3708" s="636" t="s">
        <v>9567</v>
      </c>
      <c r="H3708" s="636" t="s">
        <v>7916</v>
      </c>
      <c r="I3708" s="636" t="s">
        <v>7917</v>
      </c>
      <c r="J3708" s="644" t="s">
        <v>643</v>
      </c>
      <c r="K3708" s="739"/>
      <c r="L3708" s="754"/>
      <c r="M3708" s="735"/>
      <c r="N3708" s="753">
        <v>4</v>
      </c>
      <c r="O3708" s="754">
        <v>6</v>
      </c>
      <c r="P3708" s="736">
        <v>15889.8</v>
      </c>
      <c r="Q3708" s="214"/>
    </row>
    <row r="3709" spans="1:17" ht="12" customHeight="1" x14ac:dyDescent="0.2">
      <c r="A3709" s="735" t="s">
        <v>7733</v>
      </c>
      <c r="B3709" s="735" t="s">
        <v>2170</v>
      </c>
      <c r="C3709" s="735" t="s">
        <v>451</v>
      </c>
      <c r="D3709" s="644" t="s">
        <v>7822</v>
      </c>
      <c r="E3709" s="736">
        <v>5000</v>
      </c>
      <c r="F3709" s="737" t="s">
        <v>8681</v>
      </c>
      <c r="G3709" s="636" t="s">
        <v>8682</v>
      </c>
      <c r="H3709" s="636" t="s">
        <v>7752</v>
      </c>
      <c r="I3709" s="636" t="s">
        <v>2179</v>
      </c>
      <c r="J3709" s="644" t="s">
        <v>642</v>
      </c>
      <c r="K3709" s="739"/>
      <c r="L3709" s="754"/>
      <c r="M3709" s="735"/>
      <c r="N3709" s="753">
        <v>4</v>
      </c>
      <c r="O3709" s="754">
        <v>6</v>
      </c>
      <c r="P3709" s="736">
        <v>32689.8</v>
      </c>
      <c r="Q3709" s="214"/>
    </row>
    <row r="3710" spans="1:17" ht="12" customHeight="1" x14ac:dyDescent="0.2">
      <c r="A3710" s="735" t="s">
        <v>7733</v>
      </c>
      <c r="B3710" s="735" t="s">
        <v>2170</v>
      </c>
      <c r="C3710" s="735" t="s">
        <v>451</v>
      </c>
      <c r="D3710" s="644" t="s">
        <v>7921</v>
      </c>
      <c r="E3710" s="736">
        <v>4000</v>
      </c>
      <c r="F3710" s="737" t="s">
        <v>8190</v>
      </c>
      <c r="G3710" s="636" t="s">
        <v>8191</v>
      </c>
      <c r="H3710" s="636" t="s">
        <v>7782</v>
      </c>
      <c r="I3710" s="636" t="s">
        <v>2208</v>
      </c>
      <c r="J3710" s="644" t="s">
        <v>642</v>
      </c>
      <c r="K3710" s="739"/>
      <c r="L3710" s="754"/>
      <c r="M3710" s="735"/>
      <c r="N3710" s="753">
        <v>4</v>
      </c>
      <c r="O3710" s="754">
        <v>6</v>
      </c>
      <c r="P3710" s="736">
        <v>26689.8</v>
      </c>
      <c r="Q3710" s="214"/>
    </row>
    <row r="3711" spans="1:17" ht="12" customHeight="1" x14ac:dyDescent="0.2">
      <c r="A3711" s="735" t="s">
        <v>7733</v>
      </c>
      <c r="B3711" s="735" t="s">
        <v>2170</v>
      </c>
      <c r="C3711" s="735" t="s">
        <v>451</v>
      </c>
      <c r="D3711" s="644" t="s">
        <v>7755</v>
      </c>
      <c r="E3711" s="736">
        <v>2500</v>
      </c>
      <c r="F3711" s="737" t="s">
        <v>8750</v>
      </c>
      <c r="G3711" s="636" t="s">
        <v>8751</v>
      </c>
      <c r="H3711" s="636"/>
      <c r="I3711" s="636"/>
      <c r="J3711" s="644" t="s">
        <v>643</v>
      </c>
      <c r="K3711" s="739"/>
      <c r="L3711" s="754"/>
      <c r="M3711" s="735"/>
      <c r="N3711" s="753">
        <v>4</v>
      </c>
      <c r="O3711" s="754">
        <v>6</v>
      </c>
      <c r="P3711" s="736">
        <v>17689.8</v>
      </c>
      <c r="Q3711" s="214"/>
    </row>
    <row r="3712" spans="1:17" ht="12" customHeight="1" x14ac:dyDescent="0.2">
      <c r="A3712" s="735" t="s">
        <v>7733</v>
      </c>
      <c r="B3712" s="735" t="s">
        <v>2170</v>
      </c>
      <c r="C3712" s="735" t="s">
        <v>451</v>
      </c>
      <c r="D3712" s="644" t="s">
        <v>8998</v>
      </c>
      <c r="E3712" s="736">
        <v>4500</v>
      </c>
      <c r="F3712" s="737" t="s">
        <v>8999</v>
      </c>
      <c r="G3712" s="636" t="s">
        <v>9000</v>
      </c>
      <c r="H3712" s="636" t="s">
        <v>7752</v>
      </c>
      <c r="I3712" s="636" t="s">
        <v>2179</v>
      </c>
      <c r="J3712" s="644" t="s">
        <v>642</v>
      </c>
      <c r="K3712" s="739"/>
      <c r="L3712" s="754"/>
      <c r="M3712" s="735"/>
      <c r="N3712" s="753">
        <v>3</v>
      </c>
      <c r="O3712" s="754">
        <v>3</v>
      </c>
      <c r="P3712" s="736">
        <v>16189.8</v>
      </c>
      <c r="Q3712" s="214"/>
    </row>
    <row r="3713" spans="1:17" ht="12" customHeight="1" x14ac:dyDescent="0.2">
      <c r="A3713" s="735" t="s">
        <v>7733</v>
      </c>
      <c r="B3713" s="735" t="s">
        <v>2170</v>
      </c>
      <c r="C3713" s="735" t="s">
        <v>451</v>
      </c>
      <c r="D3713" s="644" t="s">
        <v>9520</v>
      </c>
      <c r="E3713" s="736">
        <v>4000</v>
      </c>
      <c r="F3713" s="737" t="s">
        <v>9521</v>
      </c>
      <c r="G3713" s="636" t="s">
        <v>9522</v>
      </c>
      <c r="H3713" s="636" t="s">
        <v>9523</v>
      </c>
      <c r="I3713" s="636" t="s">
        <v>3760</v>
      </c>
      <c r="J3713" s="644" t="s">
        <v>643</v>
      </c>
      <c r="K3713" s="739"/>
      <c r="L3713" s="754"/>
      <c r="M3713" s="735"/>
      <c r="N3713" s="753">
        <v>4</v>
      </c>
      <c r="O3713" s="754">
        <v>6</v>
      </c>
      <c r="P3713" s="736">
        <v>26689.8</v>
      </c>
      <c r="Q3713" s="214"/>
    </row>
    <row r="3714" spans="1:17" ht="12" customHeight="1" x14ac:dyDescent="0.2">
      <c r="A3714" s="735" t="s">
        <v>7733</v>
      </c>
      <c r="B3714" s="735" t="s">
        <v>2170</v>
      </c>
      <c r="C3714" s="735" t="s">
        <v>451</v>
      </c>
      <c r="D3714" s="644" t="s">
        <v>7982</v>
      </c>
      <c r="E3714" s="736">
        <v>3500</v>
      </c>
      <c r="F3714" s="737" t="s">
        <v>7983</v>
      </c>
      <c r="G3714" s="636" t="s">
        <v>7984</v>
      </c>
      <c r="H3714" s="636" t="s">
        <v>7782</v>
      </c>
      <c r="I3714" s="636" t="s">
        <v>2208</v>
      </c>
      <c r="J3714" s="644" t="s">
        <v>642</v>
      </c>
      <c r="K3714" s="739"/>
      <c r="L3714" s="754"/>
      <c r="M3714" s="735"/>
      <c r="N3714" s="753">
        <v>4</v>
      </c>
      <c r="O3714" s="754">
        <v>6</v>
      </c>
      <c r="P3714" s="736">
        <v>23689.8</v>
      </c>
      <c r="Q3714" s="214"/>
    </row>
    <row r="3715" spans="1:17" ht="12" customHeight="1" x14ac:dyDescent="0.2">
      <c r="A3715" s="735" t="s">
        <v>7733</v>
      </c>
      <c r="B3715" s="735" t="s">
        <v>2170</v>
      </c>
      <c r="C3715" s="735" t="s">
        <v>451</v>
      </c>
      <c r="D3715" s="644" t="s">
        <v>10166</v>
      </c>
      <c r="E3715" s="736">
        <v>3900</v>
      </c>
      <c r="F3715" s="737" t="s">
        <v>10167</v>
      </c>
      <c r="G3715" s="636" t="s">
        <v>10168</v>
      </c>
      <c r="H3715" s="636" t="s">
        <v>7816</v>
      </c>
      <c r="I3715" s="636" t="s">
        <v>3328</v>
      </c>
      <c r="J3715" s="644" t="s">
        <v>643</v>
      </c>
      <c r="K3715" s="739"/>
      <c r="L3715" s="754"/>
      <c r="M3715" s="735"/>
      <c r="N3715" s="753">
        <v>4</v>
      </c>
      <c r="O3715" s="754">
        <v>6</v>
      </c>
      <c r="P3715" s="736">
        <v>26089.8</v>
      </c>
      <c r="Q3715" s="214"/>
    </row>
    <row r="3716" spans="1:17" ht="12" customHeight="1" x14ac:dyDescent="0.2">
      <c r="A3716" s="735" t="s">
        <v>7733</v>
      </c>
      <c r="B3716" s="735" t="s">
        <v>2170</v>
      </c>
      <c r="C3716" s="735" t="s">
        <v>451</v>
      </c>
      <c r="D3716" s="644" t="s">
        <v>7897</v>
      </c>
      <c r="E3716" s="736">
        <v>3000</v>
      </c>
      <c r="F3716" s="737" t="s">
        <v>8100</v>
      </c>
      <c r="G3716" s="636" t="s">
        <v>8101</v>
      </c>
      <c r="H3716" s="636" t="s">
        <v>7782</v>
      </c>
      <c r="I3716" s="636" t="s">
        <v>2208</v>
      </c>
      <c r="J3716" s="644" t="s">
        <v>642</v>
      </c>
      <c r="K3716" s="739"/>
      <c r="L3716" s="754"/>
      <c r="M3716" s="735"/>
      <c r="N3716" s="753">
        <v>4</v>
      </c>
      <c r="O3716" s="754">
        <v>6</v>
      </c>
      <c r="P3716" s="736">
        <v>20689.8</v>
      </c>
      <c r="Q3716" s="214"/>
    </row>
    <row r="3717" spans="1:17" ht="12" customHeight="1" x14ac:dyDescent="0.2">
      <c r="A3717" s="735" t="s">
        <v>7733</v>
      </c>
      <c r="B3717" s="735" t="s">
        <v>2170</v>
      </c>
      <c r="C3717" s="735" t="s">
        <v>451</v>
      </c>
      <c r="D3717" s="644" t="s">
        <v>2261</v>
      </c>
      <c r="E3717" s="736">
        <v>2200</v>
      </c>
      <c r="F3717" s="737" t="s">
        <v>8832</v>
      </c>
      <c r="G3717" s="636" t="s">
        <v>8833</v>
      </c>
      <c r="H3717" s="636" t="s">
        <v>7752</v>
      </c>
      <c r="I3717" s="636" t="s">
        <v>8036</v>
      </c>
      <c r="J3717" s="644" t="s">
        <v>644</v>
      </c>
      <c r="K3717" s="739"/>
      <c r="L3717" s="754"/>
      <c r="M3717" s="735"/>
      <c r="N3717" s="753">
        <v>5</v>
      </c>
      <c r="O3717" s="754">
        <v>6</v>
      </c>
      <c r="P3717" s="736">
        <v>15889.8</v>
      </c>
      <c r="Q3717" s="214"/>
    </row>
    <row r="3718" spans="1:17" ht="12" customHeight="1" x14ac:dyDescent="0.2">
      <c r="A3718" s="735" t="s">
        <v>7733</v>
      </c>
      <c r="B3718" s="735" t="s">
        <v>2170</v>
      </c>
      <c r="C3718" s="735" t="s">
        <v>451</v>
      </c>
      <c r="D3718" s="644" t="s">
        <v>7761</v>
      </c>
      <c r="E3718" s="736">
        <v>1500</v>
      </c>
      <c r="F3718" s="737" t="s">
        <v>7762</v>
      </c>
      <c r="G3718" s="636" t="s">
        <v>7763</v>
      </c>
      <c r="H3718" s="636" t="s">
        <v>3754</v>
      </c>
      <c r="I3718" s="636" t="s">
        <v>2745</v>
      </c>
      <c r="J3718" s="644" t="s">
        <v>643</v>
      </c>
      <c r="K3718" s="739"/>
      <c r="L3718" s="754"/>
      <c r="M3718" s="735"/>
      <c r="N3718" s="753">
        <v>4</v>
      </c>
      <c r="O3718" s="754">
        <v>6</v>
      </c>
      <c r="P3718" s="736">
        <v>11220</v>
      </c>
      <c r="Q3718" s="214"/>
    </row>
    <row r="3719" spans="1:17" ht="12" customHeight="1" x14ac:dyDescent="0.2">
      <c r="A3719" s="735" t="s">
        <v>7733</v>
      </c>
      <c r="B3719" s="735" t="s">
        <v>2170</v>
      </c>
      <c r="C3719" s="735" t="s">
        <v>451</v>
      </c>
      <c r="D3719" s="644" t="s">
        <v>9341</v>
      </c>
      <c r="E3719" s="736">
        <v>2500</v>
      </c>
      <c r="F3719" s="737" t="s">
        <v>9342</v>
      </c>
      <c r="G3719" s="636" t="s">
        <v>9343</v>
      </c>
      <c r="H3719" s="636" t="s">
        <v>8354</v>
      </c>
      <c r="I3719" s="636" t="s">
        <v>3057</v>
      </c>
      <c r="J3719" s="644" t="s">
        <v>643</v>
      </c>
      <c r="K3719" s="739"/>
      <c r="L3719" s="754"/>
      <c r="M3719" s="735"/>
      <c r="N3719" s="753">
        <v>4</v>
      </c>
      <c r="O3719" s="754">
        <v>6</v>
      </c>
      <c r="P3719" s="736">
        <v>17689.8</v>
      </c>
      <c r="Q3719" s="214"/>
    </row>
    <row r="3720" spans="1:17" ht="12" customHeight="1" x14ac:dyDescent="0.2">
      <c r="A3720" s="735" t="s">
        <v>7733</v>
      </c>
      <c r="B3720" s="735" t="s">
        <v>2170</v>
      </c>
      <c r="C3720" s="735" t="s">
        <v>451</v>
      </c>
      <c r="D3720" s="644" t="s">
        <v>7855</v>
      </c>
      <c r="E3720" s="736">
        <v>2200</v>
      </c>
      <c r="F3720" s="737" t="s">
        <v>7914</v>
      </c>
      <c r="G3720" s="636" t="s">
        <v>7915</v>
      </c>
      <c r="H3720" s="636" t="s">
        <v>7916</v>
      </c>
      <c r="I3720" s="636" t="s">
        <v>7917</v>
      </c>
      <c r="J3720" s="644" t="s">
        <v>644</v>
      </c>
      <c r="K3720" s="739"/>
      <c r="L3720" s="754"/>
      <c r="M3720" s="735"/>
      <c r="N3720" s="753">
        <v>4</v>
      </c>
      <c r="O3720" s="754">
        <v>6</v>
      </c>
      <c r="P3720" s="736">
        <v>15889.8</v>
      </c>
      <c r="Q3720" s="214"/>
    </row>
    <row r="3721" spans="1:17" ht="12" customHeight="1" x14ac:dyDescent="0.2">
      <c r="A3721" s="735" t="s">
        <v>7733</v>
      </c>
      <c r="B3721" s="735" t="s">
        <v>2170</v>
      </c>
      <c r="C3721" s="735" t="s">
        <v>451</v>
      </c>
      <c r="D3721" s="644" t="s">
        <v>8701</v>
      </c>
      <c r="E3721" s="736">
        <v>3500</v>
      </c>
      <c r="F3721" s="737" t="s">
        <v>9532</v>
      </c>
      <c r="G3721" s="636" t="s">
        <v>9533</v>
      </c>
      <c r="H3721" s="636"/>
      <c r="I3721" s="636"/>
      <c r="J3721" s="644" t="s">
        <v>642</v>
      </c>
      <c r="K3721" s="739"/>
      <c r="L3721" s="754"/>
      <c r="M3721" s="735"/>
      <c r="N3721" s="753">
        <v>4</v>
      </c>
      <c r="O3721" s="754">
        <v>6</v>
      </c>
      <c r="P3721" s="736">
        <v>23689.8</v>
      </c>
      <c r="Q3721" s="214"/>
    </row>
    <row r="3722" spans="1:17" ht="12" customHeight="1" x14ac:dyDescent="0.2">
      <c r="A3722" s="735" t="s">
        <v>7733</v>
      </c>
      <c r="B3722" s="735" t="s">
        <v>2170</v>
      </c>
      <c r="C3722" s="735" t="s">
        <v>451</v>
      </c>
      <c r="D3722" s="644" t="s">
        <v>7921</v>
      </c>
      <c r="E3722" s="736">
        <v>4000</v>
      </c>
      <c r="F3722" s="737" t="s">
        <v>9693</v>
      </c>
      <c r="G3722" s="636" t="s">
        <v>9694</v>
      </c>
      <c r="H3722" s="636"/>
      <c r="I3722" s="636"/>
      <c r="J3722" s="644" t="s">
        <v>642</v>
      </c>
      <c r="K3722" s="739"/>
      <c r="L3722" s="754"/>
      <c r="M3722" s="735"/>
      <c r="N3722" s="753">
        <v>4</v>
      </c>
      <c r="O3722" s="754">
        <v>6</v>
      </c>
      <c r="P3722" s="736">
        <v>26689.8</v>
      </c>
      <c r="Q3722" s="214"/>
    </row>
    <row r="3723" spans="1:17" ht="12" customHeight="1" x14ac:dyDescent="0.2">
      <c r="A3723" s="735" t="s">
        <v>7733</v>
      </c>
      <c r="B3723" s="735" t="s">
        <v>2170</v>
      </c>
      <c r="C3723" s="735" t="s">
        <v>451</v>
      </c>
      <c r="D3723" s="644" t="s">
        <v>8551</v>
      </c>
      <c r="E3723" s="736">
        <v>3500</v>
      </c>
      <c r="F3723" s="737" t="s">
        <v>8552</v>
      </c>
      <c r="G3723" s="636" t="s">
        <v>8553</v>
      </c>
      <c r="H3723" s="636" t="s">
        <v>8135</v>
      </c>
      <c r="I3723" s="636" t="s">
        <v>3070</v>
      </c>
      <c r="J3723" s="644" t="s">
        <v>642</v>
      </c>
      <c r="K3723" s="739"/>
      <c r="L3723" s="754"/>
      <c r="M3723" s="735"/>
      <c r="N3723" s="753">
        <v>6</v>
      </c>
      <c r="O3723" s="754">
        <v>6</v>
      </c>
      <c r="P3723" s="736">
        <v>23689.8</v>
      </c>
      <c r="Q3723" s="214"/>
    </row>
    <row r="3724" spans="1:17" ht="12" customHeight="1" x14ac:dyDescent="0.2">
      <c r="A3724" s="735" t="s">
        <v>7733</v>
      </c>
      <c r="B3724" s="735" t="s">
        <v>2170</v>
      </c>
      <c r="C3724" s="735" t="s">
        <v>451</v>
      </c>
      <c r="D3724" s="644" t="s">
        <v>7871</v>
      </c>
      <c r="E3724" s="736">
        <v>4000</v>
      </c>
      <c r="F3724" s="737" t="s">
        <v>8732</v>
      </c>
      <c r="G3724" s="636" t="s">
        <v>8733</v>
      </c>
      <c r="H3724" s="636" t="s">
        <v>2365</v>
      </c>
      <c r="I3724" s="636" t="s">
        <v>2208</v>
      </c>
      <c r="J3724" s="644" t="s">
        <v>642</v>
      </c>
      <c r="K3724" s="739"/>
      <c r="L3724" s="754"/>
      <c r="M3724" s="735"/>
      <c r="N3724" s="753">
        <v>5</v>
      </c>
      <c r="O3724" s="754">
        <v>6</v>
      </c>
      <c r="P3724" s="736">
        <v>26689.8</v>
      </c>
      <c r="Q3724" s="214"/>
    </row>
    <row r="3725" spans="1:17" ht="12" customHeight="1" x14ac:dyDescent="0.2">
      <c r="A3725" s="735" t="s">
        <v>7733</v>
      </c>
      <c r="B3725" s="735" t="s">
        <v>2170</v>
      </c>
      <c r="C3725" s="735" t="s">
        <v>451</v>
      </c>
      <c r="D3725" s="644" t="s">
        <v>8078</v>
      </c>
      <c r="E3725" s="736">
        <v>2500</v>
      </c>
      <c r="F3725" s="737" t="s">
        <v>10073</v>
      </c>
      <c r="G3725" s="636" t="s">
        <v>10074</v>
      </c>
      <c r="H3725" s="636" t="s">
        <v>3522</v>
      </c>
      <c r="I3725" s="636" t="s">
        <v>2346</v>
      </c>
      <c r="J3725" s="644" t="s">
        <v>643</v>
      </c>
      <c r="K3725" s="739"/>
      <c r="L3725" s="754"/>
      <c r="M3725" s="735"/>
      <c r="N3725" s="753">
        <v>6</v>
      </c>
      <c r="O3725" s="754">
        <v>6</v>
      </c>
      <c r="P3725" s="736">
        <v>17689.8</v>
      </c>
      <c r="Q3725" s="214"/>
    </row>
    <row r="3726" spans="1:17" ht="12" customHeight="1" x14ac:dyDescent="0.2">
      <c r="A3726" s="735" t="s">
        <v>7733</v>
      </c>
      <c r="B3726" s="735" t="s">
        <v>2170</v>
      </c>
      <c r="C3726" s="735" t="s">
        <v>451</v>
      </c>
      <c r="D3726" s="644" t="s">
        <v>8219</v>
      </c>
      <c r="E3726" s="736">
        <v>6500</v>
      </c>
      <c r="F3726" s="737" t="s">
        <v>8220</v>
      </c>
      <c r="G3726" s="636" t="s">
        <v>8221</v>
      </c>
      <c r="H3726" s="636" t="s">
        <v>6571</v>
      </c>
      <c r="I3726" s="636" t="s">
        <v>2179</v>
      </c>
      <c r="J3726" s="644" t="s">
        <v>642</v>
      </c>
      <c r="K3726" s="739"/>
      <c r="L3726" s="754"/>
      <c r="M3726" s="735"/>
      <c r="N3726" s="753">
        <v>4</v>
      </c>
      <c r="O3726" s="754">
        <v>6</v>
      </c>
      <c r="P3726" s="736">
        <v>41689.800000000003</v>
      </c>
      <c r="Q3726" s="214"/>
    </row>
    <row r="3727" spans="1:17" ht="12" customHeight="1" x14ac:dyDescent="0.2">
      <c r="A3727" s="735" t="s">
        <v>7733</v>
      </c>
      <c r="B3727" s="735" t="s">
        <v>2170</v>
      </c>
      <c r="C3727" s="735" t="s">
        <v>451</v>
      </c>
      <c r="D3727" s="644" t="s">
        <v>9704</v>
      </c>
      <c r="E3727" s="736">
        <v>1600</v>
      </c>
      <c r="F3727" s="737" t="s">
        <v>9705</v>
      </c>
      <c r="G3727" s="636" t="s">
        <v>9706</v>
      </c>
      <c r="H3727" s="636" t="s">
        <v>3754</v>
      </c>
      <c r="I3727" s="636" t="s">
        <v>2979</v>
      </c>
      <c r="J3727" s="644" t="s">
        <v>643</v>
      </c>
      <c r="K3727" s="739"/>
      <c r="L3727" s="754"/>
      <c r="M3727" s="735"/>
      <c r="N3727" s="753">
        <v>4</v>
      </c>
      <c r="O3727" s="754">
        <v>6</v>
      </c>
      <c r="P3727" s="736">
        <v>11928</v>
      </c>
      <c r="Q3727" s="214"/>
    </row>
    <row r="3728" spans="1:17" ht="12" customHeight="1" x14ac:dyDescent="0.2">
      <c r="A3728" s="735" t="s">
        <v>7733</v>
      </c>
      <c r="B3728" s="735" t="s">
        <v>2170</v>
      </c>
      <c r="C3728" s="735" t="s">
        <v>451</v>
      </c>
      <c r="D3728" s="644" t="s">
        <v>7855</v>
      </c>
      <c r="E3728" s="736">
        <v>2200</v>
      </c>
      <c r="F3728" s="737" t="s">
        <v>8880</v>
      </c>
      <c r="G3728" s="636" t="s">
        <v>8881</v>
      </c>
      <c r="H3728" s="636" t="s">
        <v>7867</v>
      </c>
      <c r="I3728" s="636" t="s">
        <v>7867</v>
      </c>
      <c r="J3728" s="644" t="s">
        <v>644</v>
      </c>
      <c r="K3728" s="739"/>
      <c r="L3728" s="754"/>
      <c r="M3728" s="735"/>
      <c r="N3728" s="753">
        <v>4</v>
      </c>
      <c r="O3728" s="754">
        <v>6</v>
      </c>
      <c r="P3728" s="736">
        <v>15889.8</v>
      </c>
      <c r="Q3728" s="214"/>
    </row>
    <row r="3729" spans="1:17" ht="12" customHeight="1" x14ac:dyDescent="0.2">
      <c r="A3729" s="735" t="s">
        <v>7733</v>
      </c>
      <c r="B3729" s="735" t="s">
        <v>2170</v>
      </c>
      <c r="C3729" s="735" t="s">
        <v>451</v>
      </c>
      <c r="D3729" s="644" t="s">
        <v>8268</v>
      </c>
      <c r="E3729" s="736">
        <v>2200</v>
      </c>
      <c r="F3729" s="737" t="s">
        <v>9217</v>
      </c>
      <c r="G3729" s="636" t="s">
        <v>9218</v>
      </c>
      <c r="H3729" s="636"/>
      <c r="I3729" s="636"/>
      <c r="J3729" s="644" t="s">
        <v>642</v>
      </c>
      <c r="K3729" s="739"/>
      <c r="L3729" s="754"/>
      <c r="M3729" s="735"/>
      <c r="N3729" s="753">
        <v>4</v>
      </c>
      <c r="O3729" s="754">
        <v>6</v>
      </c>
      <c r="P3729" s="736">
        <v>15889.8</v>
      </c>
      <c r="Q3729" s="214"/>
    </row>
    <row r="3730" spans="1:17" ht="12" customHeight="1" x14ac:dyDescent="0.2">
      <c r="A3730" s="735" t="s">
        <v>7733</v>
      </c>
      <c r="B3730" s="735" t="s">
        <v>2170</v>
      </c>
      <c r="C3730" s="735" t="s">
        <v>451</v>
      </c>
      <c r="D3730" s="644" t="s">
        <v>7904</v>
      </c>
      <c r="E3730" s="736">
        <v>3000</v>
      </c>
      <c r="F3730" s="737" t="s">
        <v>8764</v>
      </c>
      <c r="G3730" s="636" t="s">
        <v>8765</v>
      </c>
      <c r="H3730" s="636" t="s">
        <v>7858</v>
      </c>
      <c r="I3730" s="636" t="s">
        <v>7858</v>
      </c>
      <c r="J3730" s="644" t="s">
        <v>642</v>
      </c>
      <c r="K3730" s="739"/>
      <c r="L3730" s="754"/>
      <c r="M3730" s="735"/>
      <c r="N3730" s="753">
        <v>4</v>
      </c>
      <c r="O3730" s="754">
        <v>6</v>
      </c>
      <c r="P3730" s="736">
        <v>20689.8</v>
      </c>
      <c r="Q3730" s="214"/>
    </row>
    <row r="3731" spans="1:17" ht="12" customHeight="1" x14ac:dyDescent="0.2">
      <c r="A3731" s="735" t="s">
        <v>7733</v>
      </c>
      <c r="B3731" s="735" t="s">
        <v>2170</v>
      </c>
      <c r="C3731" s="735" t="s">
        <v>451</v>
      </c>
      <c r="D3731" s="644" t="s">
        <v>8614</v>
      </c>
      <c r="E3731" s="736">
        <v>3000</v>
      </c>
      <c r="F3731" s="737" t="s">
        <v>8615</v>
      </c>
      <c r="G3731" s="636" t="s">
        <v>8616</v>
      </c>
      <c r="H3731" s="636" t="s">
        <v>6571</v>
      </c>
      <c r="I3731" s="636" t="s">
        <v>2179</v>
      </c>
      <c r="J3731" s="644" t="s">
        <v>642</v>
      </c>
      <c r="K3731" s="739"/>
      <c r="L3731" s="754"/>
      <c r="M3731" s="735"/>
      <c r="N3731" s="753">
        <v>6</v>
      </c>
      <c r="O3731" s="754">
        <v>6</v>
      </c>
      <c r="P3731" s="736">
        <v>20689.8</v>
      </c>
      <c r="Q3731" s="214"/>
    </row>
    <row r="3732" spans="1:17" ht="12" customHeight="1" x14ac:dyDescent="0.2">
      <c r="A3732" s="735" t="s">
        <v>7733</v>
      </c>
      <c r="B3732" s="735" t="s">
        <v>2170</v>
      </c>
      <c r="C3732" s="735" t="s">
        <v>451</v>
      </c>
      <c r="D3732" s="644" t="s">
        <v>2179</v>
      </c>
      <c r="E3732" s="736">
        <v>6000</v>
      </c>
      <c r="F3732" s="737" t="s">
        <v>8608</v>
      </c>
      <c r="G3732" s="636" t="s">
        <v>8609</v>
      </c>
      <c r="H3732" s="636" t="s">
        <v>6571</v>
      </c>
      <c r="I3732" s="636" t="s">
        <v>2179</v>
      </c>
      <c r="J3732" s="644" t="s">
        <v>642</v>
      </c>
      <c r="K3732" s="739"/>
      <c r="L3732" s="754"/>
      <c r="M3732" s="735"/>
      <c r="N3732" s="753">
        <v>4</v>
      </c>
      <c r="O3732" s="754">
        <v>6</v>
      </c>
      <c r="P3732" s="736">
        <v>38689.800000000003</v>
      </c>
      <c r="Q3732" s="214"/>
    </row>
    <row r="3733" spans="1:17" ht="12" customHeight="1" x14ac:dyDescent="0.2">
      <c r="A3733" s="735" t="s">
        <v>7733</v>
      </c>
      <c r="B3733" s="735" t="s">
        <v>2170</v>
      </c>
      <c r="C3733" s="735" t="s">
        <v>451</v>
      </c>
      <c r="D3733" s="644" t="s">
        <v>7985</v>
      </c>
      <c r="E3733" s="736">
        <v>3000</v>
      </c>
      <c r="F3733" s="737" t="s">
        <v>8384</v>
      </c>
      <c r="G3733" s="636" t="s">
        <v>8385</v>
      </c>
      <c r="H3733" s="636" t="s">
        <v>8386</v>
      </c>
      <c r="I3733" s="636" t="s">
        <v>8387</v>
      </c>
      <c r="J3733" s="644" t="s">
        <v>643</v>
      </c>
      <c r="K3733" s="739"/>
      <c r="L3733" s="754"/>
      <c r="M3733" s="735"/>
      <c r="N3733" s="753">
        <v>5</v>
      </c>
      <c r="O3733" s="754">
        <v>6</v>
      </c>
      <c r="P3733" s="736">
        <v>20689.8</v>
      </c>
      <c r="Q3733" s="214"/>
    </row>
    <row r="3734" spans="1:17" ht="12" customHeight="1" x14ac:dyDescent="0.2">
      <c r="A3734" s="735" t="s">
        <v>7733</v>
      </c>
      <c r="B3734" s="735" t="s">
        <v>2170</v>
      </c>
      <c r="C3734" s="735" t="s">
        <v>451</v>
      </c>
      <c r="D3734" s="644" t="s">
        <v>7901</v>
      </c>
      <c r="E3734" s="736">
        <v>2500</v>
      </c>
      <c r="F3734" s="737" t="s">
        <v>9853</v>
      </c>
      <c r="G3734" s="636" t="s">
        <v>9854</v>
      </c>
      <c r="H3734" s="636" t="s">
        <v>8536</v>
      </c>
      <c r="I3734" s="636" t="s">
        <v>7835</v>
      </c>
      <c r="J3734" s="644" t="s">
        <v>644</v>
      </c>
      <c r="K3734" s="739"/>
      <c r="L3734" s="754"/>
      <c r="M3734" s="735"/>
      <c r="N3734" s="753">
        <v>2</v>
      </c>
      <c r="O3734" s="754">
        <v>2</v>
      </c>
      <c r="P3734" s="736">
        <v>7689.8</v>
      </c>
      <c r="Q3734" s="214"/>
    </row>
    <row r="3735" spans="1:17" ht="12" customHeight="1" x14ac:dyDescent="0.2">
      <c r="A3735" s="735" t="s">
        <v>7733</v>
      </c>
      <c r="B3735" s="735" t="s">
        <v>2170</v>
      </c>
      <c r="C3735" s="735" t="s">
        <v>451</v>
      </c>
      <c r="D3735" s="644" t="s">
        <v>8759</v>
      </c>
      <c r="E3735" s="736">
        <v>2800</v>
      </c>
      <c r="F3735" s="737" t="s">
        <v>8760</v>
      </c>
      <c r="G3735" s="636" t="s">
        <v>8761</v>
      </c>
      <c r="H3735" s="636" t="s">
        <v>3915</v>
      </c>
      <c r="I3735" s="636" t="s">
        <v>4559</v>
      </c>
      <c r="J3735" s="644" t="s">
        <v>644</v>
      </c>
      <c r="K3735" s="739"/>
      <c r="L3735" s="754"/>
      <c r="M3735" s="735"/>
      <c r="N3735" s="753">
        <v>4</v>
      </c>
      <c r="O3735" s="754">
        <v>6</v>
      </c>
      <c r="P3735" s="736">
        <v>19489.8</v>
      </c>
      <c r="Q3735" s="214"/>
    </row>
    <row r="3736" spans="1:17" ht="12" customHeight="1" x14ac:dyDescent="0.2">
      <c r="A3736" s="735" t="s">
        <v>7733</v>
      </c>
      <c r="B3736" s="735" t="s">
        <v>2170</v>
      </c>
      <c r="C3736" s="735" t="s">
        <v>451</v>
      </c>
      <c r="D3736" s="644" t="s">
        <v>10248</v>
      </c>
      <c r="E3736" s="736">
        <v>3000</v>
      </c>
      <c r="F3736" s="737" t="s">
        <v>9464</v>
      </c>
      <c r="G3736" s="636" t="s">
        <v>9465</v>
      </c>
      <c r="H3736" s="636" t="s">
        <v>3915</v>
      </c>
      <c r="I3736" s="636" t="s">
        <v>4559</v>
      </c>
      <c r="J3736" s="644" t="s">
        <v>643</v>
      </c>
      <c r="K3736" s="739"/>
      <c r="L3736" s="754"/>
      <c r="M3736" s="735"/>
      <c r="N3736" s="753">
        <v>4</v>
      </c>
      <c r="O3736" s="754">
        <v>6</v>
      </c>
      <c r="P3736" s="736">
        <v>20689.8</v>
      </c>
      <c r="Q3736" s="214"/>
    </row>
    <row r="3737" spans="1:17" ht="12" customHeight="1" x14ac:dyDescent="0.2">
      <c r="A3737" s="735" t="s">
        <v>7733</v>
      </c>
      <c r="B3737" s="735" t="s">
        <v>2170</v>
      </c>
      <c r="C3737" s="735" t="s">
        <v>451</v>
      </c>
      <c r="D3737" s="644" t="s">
        <v>7932</v>
      </c>
      <c r="E3737" s="736">
        <v>2500</v>
      </c>
      <c r="F3737" s="737" t="s">
        <v>7952</v>
      </c>
      <c r="G3737" s="636" t="s">
        <v>7953</v>
      </c>
      <c r="H3737" s="636"/>
      <c r="I3737" s="636"/>
      <c r="J3737" s="644" t="s">
        <v>643</v>
      </c>
      <c r="K3737" s="739"/>
      <c r="L3737" s="754"/>
      <c r="M3737" s="735"/>
      <c r="N3737" s="753">
        <v>4</v>
      </c>
      <c r="O3737" s="754">
        <v>6</v>
      </c>
      <c r="P3737" s="736">
        <v>17689.8</v>
      </c>
      <c r="Q3737" s="214"/>
    </row>
    <row r="3738" spans="1:17" ht="12" customHeight="1" x14ac:dyDescent="0.2">
      <c r="A3738" s="735" t="s">
        <v>7733</v>
      </c>
      <c r="B3738" s="735" t="s">
        <v>2170</v>
      </c>
      <c r="C3738" s="735" t="s">
        <v>451</v>
      </c>
      <c r="D3738" s="644" t="s">
        <v>8268</v>
      </c>
      <c r="E3738" s="736">
        <v>2200</v>
      </c>
      <c r="F3738" s="737" t="s">
        <v>9010</v>
      </c>
      <c r="G3738" s="636" t="s">
        <v>9011</v>
      </c>
      <c r="H3738" s="636" t="s">
        <v>10243</v>
      </c>
      <c r="I3738" s="636"/>
      <c r="J3738" s="644" t="s">
        <v>643</v>
      </c>
      <c r="K3738" s="739"/>
      <c r="L3738" s="754"/>
      <c r="M3738" s="735"/>
      <c r="N3738" s="753">
        <v>4</v>
      </c>
      <c r="O3738" s="754">
        <v>6</v>
      </c>
      <c r="P3738" s="736">
        <v>15889.8</v>
      </c>
      <c r="Q3738" s="214"/>
    </row>
    <row r="3739" spans="1:17" ht="12" customHeight="1" x14ac:dyDescent="0.2">
      <c r="A3739" s="735" t="s">
        <v>7733</v>
      </c>
      <c r="B3739" s="735" t="s">
        <v>2170</v>
      </c>
      <c r="C3739" s="735" t="s">
        <v>451</v>
      </c>
      <c r="D3739" s="644" t="s">
        <v>8072</v>
      </c>
      <c r="E3739" s="736">
        <v>4500</v>
      </c>
      <c r="F3739" s="737" t="s">
        <v>8073</v>
      </c>
      <c r="G3739" s="636" t="s">
        <v>8074</v>
      </c>
      <c r="H3739" s="636" t="s">
        <v>7772</v>
      </c>
      <c r="I3739" s="636" t="s">
        <v>8075</v>
      </c>
      <c r="J3739" s="644" t="s">
        <v>642</v>
      </c>
      <c r="K3739" s="739"/>
      <c r="L3739" s="754"/>
      <c r="M3739" s="735"/>
      <c r="N3739" s="753">
        <v>4</v>
      </c>
      <c r="O3739" s="754">
        <v>6</v>
      </c>
      <c r="P3739" s="736">
        <v>29689.8</v>
      </c>
      <c r="Q3739" s="214"/>
    </row>
    <row r="3740" spans="1:17" ht="12" customHeight="1" x14ac:dyDescent="0.2">
      <c r="A3740" s="735" t="s">
        <v>7733</v>
      </c>
      <c r="B3740" s="735" t="s">
        <v>2170</v>
      </c>
      <c r="C3740" s="735" t="s">
        <v>451</v>
      </c>
      <c r="D3740" s="644" t="s">
        <v>7901</v>
      </c>
      <c r="E3740" s="736">
        <v>2500</v>
      </c>
      <c r="F3740" s="737" t="s">
        <v>8857</v>
      </c>
      <c r="G3740" s="636" t="s">
        <v>8858</v>
      </c>
      <c r="H3740" s="636" t="s">
        <v>6778</v>
      </c>
      <c r="I3740" s="636" t="s">
        <v>2174</v>
      </c>
      <c r="J3740" s="644" t="s">
        <v>644</v>
      </c>
      <c r="K3740" s="739"/>
      <c r="L3740" s="754"/>
      <c r="M3740" s="735"/>
      <c r="N3740" s="753">
        <v>6</v>
      </c>
      <c r="O3740" s="754">
        <v>6</v>
      </c>
      <c r="P3740" s="736">
        <v>17689.8</v>
      </c>
      <c r="Q3740" s="214"/>
    </row>
    <row r="3741" spans="1:17" ht="12" customHeight="1" x14ac:dyDescent="0.2">
      <c r="A3741" s="735" t="s">
        <v>7733</v>
      </c>
      <c r="B3741" s="735" t="s">
        <v>2170</v>
      </c>
      <c r="C3741" s="735" t="s">
        <v>451</v>
      </c>
      <c r="D3741" s="644" t="s">
        <v>10142</v>
      </c>
      <c r="E3741" s="736">
        <v>3500</v>
      </c>
      <c r="F3741" s="737" t="s">
        <v>10143</v>
      </c>
      <c r="G3741" s="636" t="s">
        <v>10144</v>
      </c>
      <c r="H3741" s="636"/>
      <c r="I3741" s="636"/>
      <c r="J3741" s="644" t="s">
        <v>642</v>
      </c>
      <c r="K3741" s="739"/>
      <c r="L3741" s="754"/>
      <c r="M3741" s="735"/>
      <c r="N3741" s="753">
        <v>4</v>
      </c>
      <c r="O3741" s="754">
        <v>6</v>
      </c>
      <c r="P3741" s="736">
        <v>23689.8</v>
      </c>
      <c r="Q3741" s="214"/>
    </row>
    <row r="3742" spans="1:17" ht="12" customHeight="1" x14ac:dyDescent="0.2">
      <c r="A3742" s="735" t="s">
        <v>7733</v>
      </c>
      <c r="B3742" s="735" t="s">
        <v>2170</v>
      </c>
      <c r="C3742" s="735" t="s">
        <v>451</v>
      </c>
      <c r="D3742" s="644" t="s">
        <v>8168</v>
      </c>
      <c r="E3742" s="736">
        <v>4500</v>
      </c>
      <c r="F3742" s="737" t="s">
        <v>9752</v>
      </c>
      <c r="G3742" s="636" t="s">
        <v>9753</v>
      </c>
      <c r="H3742" s="636" t="s">
        <v>6778</v>
      </c>
      <c r="I3742" s="636" t="s">
        <v>2174</v>
      </c>
      <c r="J3742" s="644" t="s">
        <v>642</v>
      </c>
      <c r="K3742" s="739"/>
      <c r="L3742" s="754"/>
      <c r="M3742" s="735"/>
      <c r="N3742" s="753">
        <v>5</v>
      </c>
      <c r="O3742" s="754">
        <v>6</v>
      </c>
      <c r="P3742" s="736">
        <v>29689.8</v>
      </c>
      <c r="Q3742" s="214"/>
    </row>
    <row r="3743" spans="1:17" ht="12" customHeight="1" x14ac:dyDescent="0.2">
      <c r="A3743" s="735" t="s">
        <v>7733</v>
      </c>
      <c r="B3743" s="735" t="s">
        <v>2170</v>
      </c>
      <c r="C3743" s="735" t="s">
        <v>451</v>
      </c>
      <c r="D3743" s="644" t="s">
        <v>9184</v>
      </c>
      <c r="E3743" s="736">
        <v>5600</v>
      </c>
      <c r="F3743" s="737" t="s">
        <v>9185</v>
      </c>
      <c r="G3743" s="636" t="s">
        <v>9186</v>
      </c>
      <c r="H3743" s="636"/>
      <c r="I3743" s="636"/>
      <c r="J3743" s="644" t="s">
        <v>642</v>
      </c>
      <c r="K3743" s="739"/>
      <c r="L3743" s="754"/>
      <c r="M3743" s="735"/>
      <c r="N3743" s="753">
        <v>4</v>
      </c>
      <c r="O3743" s="754">
        <v>6</v>
      </c>
      <c r="P3743" s="736">
        <v>36289.800000000003</v>
      </c>
      <c r="Q3743" s="214"/>
    </row>
    <row r="3744" spans="1:17" ht="12" customHeight="1" x14ac:dyDescent="0.2">
      <c r="A3744" s="735" t="s">
        <v>7733</v>
      </c>
      <c r="B3744" s="735" t="s">
        <v>2170</v>
      </c>
      <c r="C3744" s="735" t="s">
        <v>451</v>
      </c>
      <c r="D3744" s="644" t="s">
        <v>7977</v>
      </c>
      <c r="E3744" s="736">
        <v>4000</v>
      </c>
      <c r="F3744" s="737" t="s">
        <v>9967</v>
      </c>
      <c r="G3744" s="636" t="s">
        <v>9968</v>
      </c>
      <c r="H3744" s="636" t="s">
        <v>7782</v>
      </c>
      <c r="I3744" s="636" t="s">
        <v>3760</v>
      </c>
      <c r="J3744" s="644" t="s">
        <v>642</v>
      </c>
      <c r="K3744" s="739"/>
      <c r="L3744" s="754"/>
      <c r="M3744" s="735"/>
      <c r="N3744" s="753">
        <v>4</v>
      </c>
      <c r="O3744" s="754">
        <v>6</v>
      </c>
      <c r="P3744" s="736">
        <v>26689.8</v>
      </c>
      <c r="Q3744" s="214"/>
    </row>
    <row r="3745" spans="1:17" ht="12" customHeight="1" x14ac:dyDescent="0.2">
      <c r="A3745" s="735" t="s">
        <v>7733</v>
      </c>
      <c r="B3745" s="735" t="s">
        <v>2170</v>
      </c>
      <c r="C3745" s="735" t="s">
        <v>451</v>
      </c>
      <c r="D3745" s="644" t="s">
        <v>7988</v>
      </c>
      <c r="E3745" s="736">
        <v>2000</v>
      </c>
      <c r="F3745" s="737" t="s">
        <v>7989</v>
      </c>
      <c r="G3745" s="636" t="s">
        <v>7990</v>
      </c>
      <c r="H3745" s="636" t="s">
        <v>10194</v>
      </c>
      <c r="I3745" s="636"/>
      <c r="J3745" s="644" t="s">
        <v>7991</v>
      </c>
      <c r="K3745" s="739"/>
      <c r="L3745" s="754"/>
      <c r="M3745" s="735"/>
      <c r="N3745" s="753">
        <v>4</v>
      </c>
      <c r="O3745" s="754">
        <v>6</v>
      </c>
      <c r="P3745" s="736">
        <v>14689.8</v>
      </c>
      <c r="Q3745" s="214"/>
    </row>
    <row r="3746" spans="1:17" ht="12" customHeight="1" x14ac:dyDescent="0.2">
      <c r="A3746" s="735" t="s">
        <v>7733</v>
      </c>
      <c r="B3746" s="735" t="s">
        <v>2170</v>
      </c>
      <c r="C3746" s="735" t="s">
        <v>451</v>
      </c>
      <c r="D3746" s="644" t="s">
        <v>9111</v>
      </c>
      <c r="E3746" s="736">
        <v>5000</v>
      </c>
      <c r="F3746" s="737" t="s">
        <v>9112</v>
      </c>
      <c r="G3746" s="636" t="s">
        <v>9113</v>
      </c>
      <c r="H3746" s="636" t="s">
        <v>6571</v>
      </c>
      <c r="I3746" s="636" t="s">
        <v>2179</v>
      </c>
      <c r="J3746" s="644" t="s">
        <v>642</v>
      </c>
      <c r="K3746" s="739"/>
      <c r="L3746" s="754"/>
      <c r="M3746" s="735"/>
      <c r="N3746" s="753">
        <v>2</v>
      </c>
      <c r="O3746" s="754">
        <v>2</v>
      </c>
      <c r="P3746" s="736">
        <v>12689.8</v>
      </c>
      <c r="Q3746" s="214"/>
    </row>
    <row r="3747" spans="1:17" ht="12" customHeight="1" x14ac:dyDescent="0.2">
      <c r="A3747" s="735" t="s">
        <v>7733</v>
      </c>
      <c r="B3747" s="735" t="s">
        <v>2170</v>
      </c>
      <c r="C3747" s="735" t="s">
        <v>451</v>
      </c>
      <c r="D3747" s="644" t="s">
        <v>7897</v>
      </c>
      <c r="E3747" s="736">
        <v>3000</v>
      </c>
      <c r="F3747" s="737" t="s">
        <v>8925</v>
      </c>
      <c r="G3747" s="636" t="s">
        <v>8926</v>
      </c>
      <c r="H3747" s="636" t="s">
        <v>2365</v>
      </c>
      <c r="I3747" s="636" t="s">
        <v>2365</v>
      </c>
      <c r="J3747" s="644" t="s">
        <v>642</v>
      </c>
      <c r="K3747" s="739"/>
      <c r="L3747" s="754"/>
      <c r="M3747" s="735"/>
      <c r="N3747" s="753">
        <v>4</v>
      </c>
      <c r="O3747" s="754">
        <v>6</v>
      </c>
      <c r="P3747" s="736">
        <v>20689.8</v>
      </c>
      <c r="Q3747" s="214"/>
    </row>
    <row r="3748" spans="1:17" ht="12" customHeight="1" x14ac:dyDescent="0.2">
      <c r="A3748" s="735" t="s">
        <v>7733</v>
      </c>
      <c r="B3748" s="735" t="s">
        <v>2170</v>
      </c>
      <c r="C3748" s="735" t="s">
        <v>451</v>
      </c>
      <c r="D3748" s="644" t="s">
        <v>8172</v>
      </c>
      <c r="E3748" s="736">
        <v>3500</v>
      </c>
      <c r="F3748" s="737" t="s">
        <v>9718</v>
      </c>
      <c r="G3748" s="636" t="s">
        <v>9719</v>
      </c>
      <c r="H3748" s="636" t="s">
        <v>7782</v>
      </c>
      <c r="I3748" s="636" t="s">
        <v>3760</v>
      </c>
      <c r="J3748" s="644" t="s">
        <v>643</v>
      </c>
      <c r="K3748" s="739"/>
      <c r="L3748" s="754"/>
      <c r="M3748" s="735"/>
      <c r="N3748" s="753">
        <v>4</v>
      </c>
      <c r="O3748" s="754">
        <v>6</v>
      </c>
      <c r="P3748" s="736">
        <v>23689.8</v>
      </c>
      <c r="Q3748" s="214"/>
    </row>
    <row r="3749" spans="1:17" ht="12" customHeight="1" x14ac:dyDescent="0.2">
      <c r="A3749" s="735" t="s">
        <v>7733</v>
      </c>
      <c r="B3749" s="735" t="s">
        <v>2170</v>
      </c>
      <c r="C3749" s="735" t="s">
        <v>451</v>
      </c>
      <c r="D3749" s="644" t="s">
        <v>7740</v>
      </c>
      <c r="E3749" s="736">
        <v>2200</v>
      </c>
      <c r="F3749" s="737" t="s">
        <v>8884</v>
      </c>
      <c r="G3749" s="636" t="s">
        <v>8885</v>
      </c>
      <c r="H3749" s="636" t="s">
        <v>8886</v>
      </c>
      <c r="I3749" s="636" t="s">
        <v>2323</v>
      </c>
      <c r="J3749" s="644" t="s">
        <v>642</v>
      </c>
      <c r="K3749" s="739"/>
      <c r="L3749" s="754"/>
      <c r="M3749" s="735"/>
      <c r="N3749" s="753">
        <v>6</v>
      </c>
      <c r="O3749" s="754">
        <v>6</v>
      </c>
      <c r="P3749" s="736">
        <v>15889.8</v>
      </c>
      <c r="Q3749" s="214"/>
    </row>
    <row r="3750" spans="1:17" ht="12" customHeight="1" x14ac:dyDescent="0.2">
      <c r="A3750" s="735" t="s">
        <v>7733</v>
      </c>
      <c r="B3750" s="735" t="s">
        <v>2170</v>
      </c>
      <c r="C3750" s="735" t="s">
        <v>451</v>
      </c>
      <c r="D3750" s="644" t="s">
        <v>8820</v>
      </c>
      <c r="E3750" s="736">
        <v>2000</v>
      </c>
      <c r="F3750" s="737" t="s">
        <v>8821</v>
      </c>
      <c r="G3750" s="636" t="s">
        <v>8822</v>
      </c>
      <c r="H3750" s="636" t="s">
        <v>7816</v>
      </c>
      <c r="I3750" s="636" t="s">
        <v>8036</v>
      </c>
      <c r="J3750" s="644" t="s">
        <v>643</v>
      </c>
      <c r="K3750" s="739"/>
      <c r="L3750" s="754"/>
      <c r="M3750" s="735"/>
      <c r="N3750" s="753">
        <v>4</v>
      </c>
      <c r="O3750" s="754">
        <v>6</v>
      </c>
      <c r="P3750" s="736">
        <v>14689.8</v>
      </c>
      <c r="Q3750" s="214"/>
    </row>
    <row r="3751" spans="1:17" ht="12" customHeight="1" x14ac:dyDescent="0.2">
      <c r="A3751" s="735" t="s">
        <v>7733</v>
      </c>
      <c r="B3751" s="735" t="s">
        <v>2170</v>
      </c>
      <c r="C3751" s="735" t="s">
        <v>451</v>
      </c>
      <c r="D3751" s="644" t="s">
        <v>8401</v>
      </c>
      <c r="E3751" s="736">
        <v>5000</v>
      </c>
      <c r="F3751" s="737" t="s">
        <v>9452</v>
      </c>
      <c r="G3751" s="636" t="s">
        <v>9453</v>
      </c>
      <c r="H3751" s="636" t="s">
        <v>7752</v>
      </c>
      <c r="I3751" s="636" t="s">
        <v>2179</v>
      </c>
      <c r="J3751" s="644" t="s">
        <v>642</v>
      </c>
      <c r="K3751" s="739"/>
      <c r="L3751" s="754"/>
      <c r="M3751" s="735"/>
      <c r="N3751" s="753">
        <v>5</v>
      </c>
      <c r="O3751" s="754">
        <v>6</v>
      </c>
      <c r="P3751" s="736">
        <v>32689.8</v>
      </c>
      <c r="Q3751" s="214"/>
    </row>
    <row r="3752" spans="1:17" ht="12" customHeight="1" x14ac:dyDescent="0.2">
      <c r="A3752" s="735" t="s">
        <v>7733</v>
      </c>
      <c r="B3752" s="735" t="s">
        <v>2170</v>
      </c>
      <c r="C3752" s="735" t="s">
        <v>451</v>
      </c>
      <c r="D3752" s="644" t="s">
        <v>7904</v>
      </c>
      <c r="E3752" s="736">
        <v>3000</v>
      </c>
      <c r="F3752" s="737" t="s">
        <v>7912</v>
      </c>
      <c r="G3752" s="636" t="s">
        <v>7913</v>
      </c>
      <c r="H3752" s="636" t="s">
        <v>6613</v>
      </c>
      <c r="I3752" s="636" t="s">
        <v>2745</v>
      </c>
      <c r="J3752" s="644" t="s">
        <v>643</v>
      </c>
      <c r="K3752" s="739"/>
      <c r="L3752" s="754"/>
      <c r="M3752" s="735"/>
      <c r="N3752" s="753">
        <v>4</v>
      </c>
      <c r="O3752" s="754">
        <v>6</v>
      </c>
      <c r="P3752" s="736">
        <v>20689.8</v>
      </c>
      <c r="Q3752" s="214"/>
    </row>
    <row r="3753" spans="1:17" ht="12" customHeight="1" x14ac:dyDescent="0.2">
      <c r="A3753" s="735" t="s">
        <v>7733</v>
      </c>
      <c r="B3753" s="735" t="s">
        <v>2170</v>
      </c>
      <c r="C3753" s="735" t="s">
        <v>451</v>
      </c>
      <c r="D3753" s="644" t="s">
        <v>9642</v>
      </c>
      <c r="E3753" s="736">
        <v>3000</v>
      </c>
      <c r="F3753" s="737" t="s">
        <v>9643</v>
      </c>
      <c r="G3753" s="636" t="s">
        <v>9644</v>
      </c>
      <c r="H3753" s="636" t="s">
        <v>6778</v>
      </c>
      <c r="I3753" s="636" t="s">
        <v>3092</v>
      </c>
      <c r="J3753" s="644" t="s">
        <v>642</v>
      </c>
      <c r="K3753" s="739"/>
      <c r="L3753" s="754"/>
      <c r="M3753" s="735"/>
      <c r="N3753" s="753">
        <v>4</v>
      </c>
      <c r="O3753" s="754">
        <v>6</v>
      </c>
      <c r="P3753" s="736">
        <v>20689.8</v>
      </c>
      <c r="Q3753" s="214"/>
    </row>
    <row r="3754" spans="1:17" ht="12" customHeight="1" x14ac:dyDescent="0.2">
      <c r="A3754" s="735" t="s">
        <v>7733</v>
      </c>
      <c r="B3754" s="735" t="s">
        <v>2170</v>
      </c>
      <c r="C3754" s="735" t="s">
        <v>451</v>
      </c>
      <c r="D3754" s="644" t="s">
        <v>8837</v>
      </c>
      <c r="E3754" s="736">
        <v>4000</v>
      </c>
      <c r="F3754" s="737" t="s">
        <v>8838</v>
      </c>
      <c r="G3754" s="636" t="s">
        <v>8839</v>
      </c>
      <c r="H3754" s="636" t="s">
        <v>6778</v>
      </c>
      <c r="I3754" s="636" t="s">
        <v>2174</v>
      </c>
      <c r="J3754" s="644" t="s">
        <v>642</v>
      </c>
      <c r="K3754" s="739"/>
      <c r="L3754" s="754"/>
      <c r="M3754" s="735"/>
      <c r="N3754" s="753">
        <v>4</v>
      </c>
      <c r="O3754" s="754">
        <v>6</v>
      </c>
      <c r="P3754" s="736">
        <v>26689.8</v>
      </c>
      <c r="Q3754" s="214"/>
    </row>
    <row r="3755" spans="1:17" ht="12" customHeight="1" x14ac:dyDescent="0.2">
      <c r="A3755" s="735" t="s">
        <v>7733</v>
      </c>
      <c r="B3755" s="735" t="s">
        <v>2170</v>
      </c>
      <c r="C3755" s="735" t="s">
        <v>451</v>
      </c>
      <c r="D3755" s="644" t="s">
        <v>7831</v>
      </c>
      <c r="E3755" s="736">
        <v>1400</v>
      </c>
      <c r="F3755" s="737" t="s">
        <v>9511</v>
      </c>
      <c r="G3755" s="636" t="s">
        <v>9512</v>
      </c>
      <c r="H3755" s="636" t="s">
        <v>9513</v>
      </c>
      <c r="I3755" s="636" t="s">
        <v>9513</v>
      </c>
      <c r="J3755" s="644" t="s">
        <v>643</v>
      </c>
      <c r="K3755" s="739"/>
      <c r="L3755" s="754"/>
      <c r="M3755" s="735"/>
      <c r="N3755" s="753">
        <v>4</v>
      </c>
      <c r="O3755" s="754">
        <v>6</v>
      </c>
      <c r="P3755" s="736">
        <v>10512</v>
      </c>
      <c r="Q3755" s="214"/>
    </row>
    <row r="3756" spans="1:17" ht="12" customHeight="1" x14ac:dyDescent="0.2">
      <c r="A3756" s="735" t="s">
        <v>7733</v>
      </c>
      <c r="B3756" s="735" t="s">
        <v>2170</v>
      </c>
      <c r="C3756" s="735" t="s">
        <v>451</v>
      </c>
      <c r="D3756" s="644" t="s">
        <v>8301</v>
      </c>
      <c r="E3756" s="736">
        <v>1600</v>
      </c>
      <c r="F3756" s="737" t="s">
        <v>8302</v>
      </c>
      <c r="G3756" s="636" t="s">
        <v>8303</v>
      </c>
      <c r="H3756" s="636" t="s">
        <v>8089</v>
      </c>
      <c r="I3756" s="636" t="s">
        <v>8090</v>
      </c>
      <c r="J3756" s="644" t="s">
        <v>643</v>
      </c>
      <c r="K3756" s="739"/>
      <c r="L3756" s="754"/>
      <c r="M3756" s="735"/>
      <c r="N3756" s="753">
        <v>5</v>
      </c>
      <c r="O3756" s="754">
        <v>6</v>
      </c>
      <c r="P3756" s="736">
        <v>11928</v>
      </c>
      <c r="Q3756" s="214"/>
    </row>
    <row r="3757" spans="1:17" ht="12" customHeight="1" x14ac:dyDescent="0.2">
      <c r="A3757" s="735" t="s">
        <v>7733</v>
      </c>
      <c r="B3757" s="735" t="s">
        <v>2170</v>
      </c>
      <c r="C3757" s="735" t="s">
        <v>451</v>
      </c>
      <c r="D3757" s="644" t="s">
        <v>7817</v>
      </c>
      <c r="E3757" s="736">
        <v>1800</v>
      </c>
      <c r="F3757" s="737" t="s">
        <v>9166</v>
      </c>
      <c r="G3757" s="636" t="s">
        <v>9167</v>
      </c>
      <c r="H3757" s="636" t="s">
        <v>9168</v>
      </c>
      <c r="I3757" s="636" t="s">
        <v>8323</v>
      </c>
      <c r="J3757" s="644" t="s">
        <v>643</v>
      </c>
      <c r="K3757" s="739"/>
      <c r="L3757" s="754"/>
      <c r="M3757" s="735"/>
      <c r="N3757" s="753">
        <v>4</v>
      </c>
      <c r="O3757" s="754">
        <v>6</v>
      </c>
      <c r="P3757" s="736">
        <v>13344</v>
      </c>
      <c r="Q3757" s="214"/>
    </row>
    <row r="3758" spans="1:17" ht="12" customHeight="1" x14ac:dyDescent="0.2">
      <c r="A3758" s="735" t="s">
        <v>7733</v>
      </c>
      <c r="B3758" s="735" t="s">
        <v>2170</v>
      </c>
      <c r="C3758" s="735" t="s">
        <v>451</v>
      </c>
      <c r="D3758" s="644" t="s">
        <v>2179</v>
      </c>
      <c r="E3758" s="736">
        <v>5000</v>
      </c>
      <c r="F3758" s="737" t="s">
        <v>10131</v>
      </c>
      <c r="G3758" s="636" t="s">
        <v>10132</v>
      </c>
      <c r="H3758" s="636" t="s">
        <v>6571</v>
      </c>
      <c r="I3758" s="636" t="s">
        <v>2179</v>
      </c>
      <c r="J3758" s="644" t="s">
        <v>642</v>
      </c>
      <c r="K3758" s="739"/>
      <c r="L3758" s="754"/>
      <c r="M3758" s="735"/>
      <c r="N3758" s="753">
        <v>4</v>
      </c>
      <c r="O3758" s="754">
        <v>6</v>
      </c>
      <c r="P3758" s="736">
        <v>32689.8</v>
      </c>
      <c r="Q3758" s="214"/>
    </row>
    <row r="3759" spans="1:17" ht="12" customHeight="1" x14ac:dyDescent="0.2">
      <c r="A3759" s="735" t="s">
        <v>7733</v>
      </c>
      <c r="B3759" s="735" t="s">
        <v>2170</v>
      </c>
      <c r="C3759" s="735" t="s">
        <v>451</v>
      </c>
      <c r="D3759" s="644" t="s">
        <v>7965</v>
      </c>
      <c r="E3759" s="736">
        <v>4000</v>
      </c>
      <c r="F3759" s="737" t="s">
        <v>10075</v>
      </c>
      <c r="G3759" s="636" t="s">
        <v>10076</v>
      </c>
      <c r="H3759" s="636" t="s">
        <v>6571</v>
      </c>
      <c r="I3759" s="636" t="s">
        <v>2179</v>
      </c>
      <c r="J3759" s="644" t="s">
        <v>642</v>
      </c>
      <c r="K3759" s="739"/>
      <c r="L3759" s="754"/>
      <c r="M3759" s="735"/>
      <c r="N3759" s="753">
        <v>4</v>
      </c>
      <c r="O3759" s="754">
        <v>6</v>
      </c>
      <c r="P3759" s="736">
        <v>26689.8</v>
      </c>
      <c r="Q3759" s="214"/>
    </row>
    <row r="3760" spans="1:17" ht="12" customHeight="1" x14ac:dyDescent="0.2">
      <c r="A3760" s="735" t="s">
        <v>7733</v>
      </c>
      <c r="B3760" s="735" t="s">
        <v>2170</v>
      </c>
      <c r="C3760" s="735" t="s">
        <v>451</v>
      </c>
      <c r="D3760" s="644" t="s">
        <v>8078</v>
      </c>
      <c r="E3760" s="736">
        <v>2500</v>
      </c>
      <c r="F3760" s="737" t="s">
        <v>9122</v>
      </c>
      <c r="G3760" s="636" t="s">
        <v>9123</v>
      </c>
      <c r="H3760" s="636" t="s">
        <v>7854</v>
      </c>
      <c r="I3760" s="636" t="s">
        <v>7854</v>
      </c>
      <c r="J3760" s="644" t="s">
        <v>643</v>
      </c>
      <c r="K3760" s="739"/>
      <c r="L3760" s="754"/>
      <c r="M3760" s="735"/>
      <c r="N3760" s="753">
        <v>4</v>
      </c>
      <c r="O3760" s="754">
        <v>6</v>
      </c>
      <c r="P3760" s="736">
        <v>17689.8</v>
      </c>
      <c r="Q3760" s="214"/>
    </row>
    <row r="3761" spans="1:17" ht="12" customHeight="1" x14ac:dyDescent="0.2">
      <c r="A3761" s="735" t="s">
        <v>7733</v>
      </c>
      <c r="B3761" s="735" t="s">
        <v>2170</v>
      </c>
      <c r="C3761" s="735" t="s">
        <v>451</v>
      </c>
      <c r="D3761" s="644" t="s">
        <v>8995</v>
      </c>
      <c r="E3761" s="736">
        <v>4000</v>
      </c>
      <c r="F3761" s="737" t="s">
        <v>9001</v>
      </c>
      <c r="G3761" s="636" t="s">
        <v>10249</v>
      </c>
      <c r="H3761" s="636" t="s">
        <v>6571</v>
      </c>
      <c r="I3761" s="636"/>
      <c r="J3761" s="644" t="s">
        <v>642</v>
      </c>
      <c r="K3761" s="739"/>
      <c r="L3761" s="754"/>
      <c r="M3761" s="735"/>
      <c r="N3761" s="753">
        <v>2</v>
      </c>
      <c r="O3761" s="754">
        <v>2</v>
      </c>
      <c r="P3761" s="736">
        <v>10689.8</v>
      </c>
      <c r="Q3761" s="214"/>
    </row>
    <row r="3762" spans="1:17" ht="12" customHeight="1" x14ac:dyDescent="0.2">
      <c r="A3762" s="735" t="s">
        <v>7733</v>
      </c>
      <c r="B3762" s="735" t="s">
        <v>2170</v>
      </c>
      <c r="C3762" s="735" t="s">
        <v>451</v>
      </c>
      <c r="D3762" s="644" t="s">
        <v>8268</v>
      </c>
      <c r="E3762" s="736">
        <v>2500</v>
      </c>
      <c r="F3762" s="737" t="s">
        <v>10133</v>
      </c>
      <c r="G3762" s="636" t="s">
        <v>10134</v>
      </c>
      <c r="H3762" s="636"/>
      <c r="I3762" s="636"/>
      <c r="J3762" s="644" t="s">
        <v>643</v>
      </c>
      <c r="K3762" s="739"/>
      <c r="L3762" s="754"/>
      <c r="M3762" s="735"/>
      <c r="N3762" s="753">
        <v>4</v>
      </c>
      <c r="O3762" s="754">
        <v>6</v>
      </c>
      <c r="P3762" s="736">
        <v>17689.8</v>
      </c>
      <c r="Q3762" s="214"/>
    </row>
    <row r="3763" spans="1:17" ht="12" customHeight="1" x14ac:dyDescent="0.2">
      <c r="A3763" s="735" t="s">
        <v>7733</v>
      </c>
      <c r="B3763" s="735" t="s">
        <v>2170</v>
      </c>
      <c r="C3763" s="735" t="s">
        <v>451</v>
      </c>
      <c r="D3763" s="644" t="s">
        <v>7904</v>
      </c>
      <c r="E3763" s="736">
        <v>1800</v>
      </c>
      <c r="F3763" s="737" t="s">
        <v>9426</v>
      </c>
      <c r="G3763" s="636" t="s">
        <v>9427</v>
      </c>
      <c r="H3763" s="636" t="s">
        <v>7858</v>
      </c>
      <c r="I3763" s="636" t="s">
        <v>7859</v>
      </c>
      <c r="J3763" s="644" t="s">
        <v>643</v>
      </c>
      <c r="K3763" s="739"/>
      <c r="L3763" s="754"/>
      <c r="M3763" s="735"/>
      <c r="N3763" s="753">
        <v>5</v>
      </c>
      <c r="O3763" s="754">
        <v>6</v>
      </c>
      <c r="P3763" s="736">
        <v>13344</v>
      </c>
      <c r="Q3763" s="214"/>
    </row>
    <row r="3764" spans="1:17" ht="12" customHeight="1" x14ac:dyDescent="0.2">
      <c r="A3764" s="735" t="s">
        <v>7733</v>
      </c>
      <c r="B3764" s="735" t="s">
        <v>2170</v>
      </c>
      <c r="C3764" s="735" t="s">
        <v>451</v>
      </c>
      <c r="D3764" s="644" t="s">
        <v>8268</v>
      </c>
      <c r="E3764" s="736">
        <v>2200</v>
      </c>
      <c r="F3764" s="737" t="s">
        <v>9524</v>
      </c>
      <c r="G3764" s="636" t="s">
        <v>9525</v>
      </c>
      <c r="H3764" s="636" t="s">
        <v>7858</v>
      </c>
      <c r="I3764" s="636" t="s">
        <v>7858</v>
      </c>
      <c r="J3764" s="644" t="s">
        <v>644</v>
      </c>
      <c r="K3764" s="739"/>
      <c r="L3764" s="754"/>
      <c r="M3764" s="735"/>
      <c r="N3764" s="753">
        <v>4</v>
      </c>
      <c r="O3764" s="754">
        <v>6</v>
      </c>
      <c r="P3764" s="736">
        <v>15889.8</v>
      </c>
      <c r="Q3764" s="214"/>
    </row>
    <row r="3765" spans="1:17" ht="12" customHeight="1" x14ac:dyDescent="0.2">
      <c r="A3765" s="735" t="s">
        <v>7733</v>
      </c>
      <c r="B3765" s="735" t="s">
        <v>2170</v>
      </c>
      <c r="C3765" s="735" t="s">
        <v>451</v>
      </c>
      <c r="D3765" s="644" t="s">
        <v>7901</v>
      </c>
      <c r="E3765" s="736">
        <v>2500</v>
      </c>
      <c r="F3765" s="737" t="s">
        <v>9405</v>
      </c>
      <c r="G3765" s="636" t="s">
        <v>9406</v>
      </c>
      <c r="H3765" s="636" t="s">
        <v>2690</v>
      </c>
      <c r="I3765" s="636" t="s">
        <v>8036</v>
      </c>
      <c r="J3765" s="644" t="s">
        <v>643</v>
      </c>
      <c r="K3765" s="739"/>
      <c r="L3765" s="754"/>
      <c r="M3765" s="735"/>
      <c r="N3765" s="753">
        <v>6</v>
      </c>
      <c r="O3765" s="754">
        <v>6</v>
      </c>
      <c r="P3765" s="736">
        <v>17689.8</v>
      </c>
      <c r="Q3765" s="214"/>
    </row>
    <row r="3766" spans="1:17" ht="12" customHeight="1" x14ac:dyDescent="0.2">
      <c r="A3766" s="735" t="s">
        <v>7733</v>
      </c>
      <c r="B3766" s="735" t="s">
        <v>2170</v>
      </c>
      <c r="C3766" s="735" t="s">
        <v>451</v>
      </c>
      <c r="D3766" s="644" t="s">
        <v>8360</v>
      </c>
      <c r="E3766" s="736">
        <v>3500</v>
      </c>
      <c r="F3766" s="737" t="s">
        <v>8361</v>
      </c>
      <c r="G3766" s="636" t="s">
        <v>8362</v>
      </c>
      <c r="H3766" s="636" t="s">
        <v>7752</v>
      </c>
      <c r="I3766" s="636" t="s">
        <v>2179</v>
      </c>
      <c r="J3766" s="644" t="s">
        <v>642</v>
      </c>
      <c r="K3766" s="739"/>
      <c r="L3766" s="754"/>
      <c r="M3766" s="735"/>
      <c r="N3766" s="753">
        <v>4</v>
      </c>
      <c r="O3766" s="754">
        <v>6</v>
      </c>
      <c r="P3766" s="736">
        <v>23689.8</v>
      </c>
      <c r="Q3766" s="214"/>
    </row>
    <row r="3767" spans="1:17" ht="12" customHeight="1" x14ac:dyDescent="0.2">
      <c r="A3767" s="735" t="s">
        <v>7733</v>
      </c>
      <c r="B3767" s="735" t="s">
        <v>2170</v>
      </c>
      <c r="C3767" s="735" t="s">
        <v>451</v>
      </c>
      <c r="D3767" s="644" t="s">
        <v>7831</v>
      </c>
      <c r="E3767" s="736">
        <v>2300</v>
      </c>
      <c r="F3767" s="737" t="s">
        <v>9847</v>
      </c>
      <c r="G3767" s="636" t="s">
        <v>9848</v>
      </c>
      <c r="H3767" s="636" t="s">
        <v>6613</v>
      </c>
      <c r="I3767" s="636" t="s">
        <v>2745</v>
      </c>
      <c r="J3767" s="644" t="s">
        <v>642</v>
      </c>
      <c r="K3767" s="739"/>
      <c r="L3767" s="754"/>
      <c r="M3767" s="735"/>
      <c r="N3767" s="753">
        <v>4</v>
      </c>
      <c r="O3767" s="754">
        <v>6</v>
      </c>
      <c r="P3767" s="736">
        <v>16489.8</v>
      </c>
      <c r="Q3767" s="214"/>
    </row>
    <row r="3768" spans="1:17" ht="12" customHeight="1" x14ac:dyDescent="0.2">
      <c r="A3768" s="735" t="s">
        <v>7733</v>
      </c>
      <c r="B3768" s="735" t="s">
        <v>2170</v>
      </c>
      <c r="C3768" s="735" t="s">
        <v>451</v>
      </c>
      <c r="D3768" s="644" t="s">
        <v>8554</v>
      </c>
      <c r="E3768" s="736">
        <v>3000</v>
      </c>
      <c r="F3768" s="737" t="s">
        <v>8473</v>
      </c>
      <c r="G3768" s="636" t="s">
        <v>8474</v>
      </c>
      <c r="H3768" s="636" t="s">
        <v>6571</v>
      </c>
      <c r="I3768" s="636" t="s">
        <v>2179</v>
      </c>
      <c r="J3768" s="644" t="s">
        <v>642</v>
      </c>
      <c r="K3768" s="739"/>
      <c r="L3768" s="754"/>
      <c r="M3768" s="735"/>
      <c r="N3768" s="753">
        <v>4</v>
      </c>
      <c r="O3768" s="754">
        <v>6</v>
      </c>
      <c r="P3768" s="736">
        <v>20689.8</v>
      </c>
      <c r="Q3768" s="214"/>
    </row>
    <row r="3769" spans="1:17" ht="12" customHeight="1" x14ac:dyDescent="0.2">
      <c r="A3769" s="735" t="s">
        <v>7733</v>
      </c>
      <c r="B3769" s="735" t="s">
        <v>2170</v>
      </c>
      <c r="C3769" s="735" t="s">
        <v>451</v>
      </c>
      <c r="D3769" s="644" t="s">
        <v>8554</v>
      </c>
      <c r="E3769" s="736">
        <v>3000</v>
      </c>
      <c r="F3769" s="737" t="s">
        <v>9283</v>
      </c>
      <c r="G3769" s="636" t="s">
        <v>9284</v>
      </c>
      <c r="H3769" s="636" t="s">
        <v>3754</v>
      </c>
      <c r="I3769" s="636" t="s">
        <v>2979</v>
      </c>
      <c r="J3769" s="644" t="s">
        <v>642</v>
      </c>
      <c r="K3769" s="739"/>
      <c r="L3769" s="754"/>
      <c r="M3769" s="735"/>
      <c r="N3769" s="753">
        <v>6</v>
      </c>
      <c r="O3769" s="754">
        <v>6</v>
      </c>
      <c r="P3769" s="736">
        <v>20689.8</v>
      </c>
      <c r="Q3769" s="214"/>
    </row>
    <row r="3770" spans="1:17" ht="12" customHeight="1" x14ac:dyDescent="0.2">
      <c r="A3770" s="735" t="s">
        <v>7733</v>
      </c>
      <c r="B3770" s="735" t="s">
        <v>2170</v>
      </c>
      <c r="C3770" s="735" t="s">
        <v>451</v>
      </c>
      <c r="D3770" s="644" t="s">
        <v>9260</v>
      </c>
      <c r="E3770" s="736">
        <v>2800</v>
      </c>
      <c r="F3770" s="737" t="s">
        <v>9261</v>
      </c>
      <c r="G3770" s="636" t="s">
        <v>9262</v>
      </c>
      <c r="H3770" s="636" t="s">
        <v>7752</v>
      </c>
      <c r="I3770" s="636" t="s">
        <v>2179</v>
      </c>
      <c r="J3770" s="644" t="s">
        <v>643</v>
      </c>
      <c r="K3770" s="739"/>
      <c r="L3770" s="754"/>
      <c r="M3770" s="735"/>
      <c r="N3770" s="753">
        <v>4</v>
      </c>
      <c r="O3770" s="754">
        <v>6</v>
      </c>
      <c r="P3770" s="736">
        <v>19489.8</v>
      </c>
      <c r="Q3770" s="214"/>
    </row>
    <row r="3771" spans="1:17" ht="12" customHeight="1" x14ac:dyDescent="0.2">
      <c r="A3771" s="735" t="s">
        <v>7733</v>
      </c>
      <c r="B3771" s="735" t="s">
        <v>2170</v>
      </c>
      <c r="C3771" s="735" t="s">
        <v>451</v>
      </c>
      <c r="D3771" s="644" t="s">
        <v>2788</v>
      </c>
      <c r="E3771" s="736">
        <v>2500</v>
      </c>
      <c r="F3771" s="737" t="s">
        <v>9090</v>
      </c>
      <c r="G3771" s="636" t="s">
        <v>9091</v>
      </c>
      <c r="H3771" s="636" t="s">
        <v>8135</v>
      </c>
      <c r="I3771" s="636" t="s">
        <v>6668</v>
      </c>
      <c r="J3771" s="644" t="s">
        <v>643</v>
      </c>
      <c r="K3771" s="739"/>
      <c r="L3771" s="754"/>
      <c r="M3771" s="735"/>
      <c r="N3771" s="753">
        <v>4</v>
      </c>
      <c r="O3771" s="754">
        <v>6</v>
      </c>
      <c r="P3771" s="736">
        <v>17689.8</v>
      </c>
      <c r="Q3771" s="214"/>
    </row>
    <row r="3772" spans="1:17" ht="12" customHeight="1" x14ac:dyDescent="0.2">
      <c r="A3772" s="735" t="s">
        <v>7733</v>
      </c>
      <c r="B3772" s="735" t="s">
        <v>2170</v>
      </c>
      <c r="C3772" s="735" t="s">
        <v>451</v>
      </c>
      <c r="D3772" s="644" t="s">
        <v>10250</v>
      </c>
      <c r="E3772" s="736">
        <v>4500</v>
      </c>
      <c r="F3772" s="737" t="s">
        <v>8957</v>
      </c>
      <c r="G3772" s="636" t="s">
        <v>8958</v>
      </c>
      <c r="H3772" s="636" t="s">
        <v>8000</v>
      </c>
      <c r="I3772" s="636" t="s">
        <v>2766</v>
      </c>
      <c r="J3772" s="644" t="s">
        <v>642</v>
      </c>
      <c r="K3772" s="739"/>
      <c r="L3772" s="754"/>
      <c r="M3772" s="735"/>
      <c r="N3772" s="753">
        <v>4</v>
      </c>
      <c r="O3772" s="754">
        <v>6</v>
      </c>
      <c r="P3772" s="736">
        <v>29689.8</v>
      </c>
      <c r="Q3772" s="214"/>
    </row>
    <row r="3773" spans="1:17" ht="12" customHeight="1" x14ac:dyDescent="0.2">
      <c r="A3773" s="735" t="s">
        <v>7733</v>
      </c>
      <c r="B3773" s="735" t="s">
        <v>2170</v>
      </c>
      <c r="C3773" s="735" t="s">
        <v>451</v>
      </c>
      <c r="D3773" s="644" t="s">
        <v>7946</v>
      </c>
      <c r="E3773" s="736">
        <v>4000</v>
      </c>
      <c r="F3773" s="737" t="s">
        <v>7947</v>
      </c>
      <c r="G3773" s="636" t="s">
        <v>7948</v>
      </c>
      <c r="H3773" s="636" t="s">
        <v>6571</v>
      </c>
      <c r="I3773" s="636" t="s">
        <v>2179</v>
      </c>
      <c r="J3773" s="644" t="s">
        <v>642</v>
      </c>
      <c r="K3773" s="739"/>
      <c r="L3773" s="754"/>
      <c r="M3773" s="735"/>
      <c r="N3773" s="753">
        <v>4</v>
      </c>
      <c r="O3773" s="754">
        <v>6</v>
      </c>
      <c r="P3773" s="736">
        <v>26689.8</v>
      </c>
      <c r="Q3773" s="214"/>
    </row>
    <row r="3774" spans="1:17" ht="12" customHeight="1" x14ac:dyDescent="0.2">
      <c r="A3774" s="735" t="s">
        <v>7733</v>
      </c>
      <c r="B3774" s="735" t="s">
        <v>2170</v>
      </c>
      <c r="C3774" s="735" t="s">
        <v>451</v>
      </c>
      <c r="D3774" s="644" t="s">
        <v>9868</v>
      </c>
      <c r="E3774" s="736">
        <v>2800</v>
      </c>
      <c r="F3774" s="737" t="s">
        <v>9869</v>
      </c>
      <c r="G3774" s="636" t="s">
        <v>9870</v>
      </c>
      <c r="H3774" s="636" t="s">
        <v>9871</v>
      </c>
      <c r="I3774" s="636" t="s">
        <v>8228</v>
      </c>
      <c r="J3774" s="644" t="s">
        <v>643</v>
      </c>
      <c r="K3774" s="739"/>
      <c r="L3774" s="754"/>
      <c r="M3774" s="735"/>
      <c r="N3774" s="753">
        <v>4</v>
      </c>
      <c r="O3774" s="754">
        <v>6</v>
      </c>
      <c r="P3774" s="736">
        <v>19489.8</v>
      </c>
      <c r="Q3774" s="214"/>
    </row>
    <row r="3775" spans="1:17" ht="12" customHeight="1" x14ac:dyDescent="0.2">
      <c r="A3775" s="735" t="s">
        <v>7733</v>
      </c>
      <c r="B3775" s="735" t="s">
        <v>2170</v>
      </c>
      <c r="C3775" s="735" t="s">
        <v>451</v>
      </c>
      <c r="D3775" s="644" t="s">
        <v>7831</v>
      </c>
      <c r="E3775" s="736">
        <v>1700</v>
      </c>
      <c r="F3775" s="737" t="s">
        <v>7864</v>
      </c>
      <c r="G3775" s="636" t="s">
        <v>7865</v>
      </c>
      <c r="H3775" s="636" t="s">
        <v>7866</v>
      </c>
      <c r="I3775" s="636" t="s">
        <v>7867</v>
      </c>
      <c r="J3775" s="644" t="s">
        <v>643</v>
      </c>
      <c r="K3775" s="739"/>
      <c r="L3775" s="754"/>
      <c r="M3775" s="735"/>
      <c r="N3775" s="753">
        <v>6</v>
      </c>
      <c r="O3775" s="754">
        <v>6</v>
      </c>
      <c r="P3775" s="736">
        <v>12636</v>
      </c>
      <c r="Q3775" s="214"/>
    </row>
    <row r="3776" spans="1:17" ht="12" customHeight="1" x14ac:dyDescent="0.2">
      <c r="A3776" s="735" t="s">
        <v>7733</v>
      </c>
      <c r="B3776" s="735" t="s">
        <v>2170</v>
      </c>
      <c r="C3776" s="735" t="s">
        <v>451</v>
      </c>
      <c r="D3776" s="644" t="s">
        <v>5538</v>
      </c>
      <c r="E3776" s="736">
        <v>5000</v>
      </c>
      <c r="F3776" s="737" t="s">
        <v>9568</v>
      </c>
      <c r="G3776" s="636" t="s">
        <v>9569</v>
      </c>
      <c r="H3776" s="636"/>
      <c r="I3776" s="636"/>
      <c r="J3776" s="644" t="s">
        <v>642</v>
      </c>
      <c r="K3776" s="739"/>
      <c r="L3776" s="754"/>
      <c r="M3776" s="735"/>
      <c r="N3776" s="753">
        <v>4</v>
      </c>
      <c r="O3776" s="754">
        <v>6</v>
      </c>
      <c r="P3776" s="736">
        <v>32689.8</v>
      </c>
      <c r="Q3776" s="214"/>
    </row>
    <row r="3777" spans="1:17" ht="12" customHeight="1" x14ac:dyDescent="0.2">
      <c r="A3777" s="735" t="s">
        <v>7733</v>
      </c>
      <c r="B3777" s="735" t="s">
        <v>2170</v>
      </c>
      <c r="C3777" s="735" t="s">
        <v>451</v>
      </c>
      <c r="D3777" s="644" t="s">
        <v>7817</v>
      </c>
      <c r="E3777" s="736">
        <v>1500</v>
      </c>
      <c r="F3777" s="737" t="s">
        <v>8393</v>
      </c>
      <c r="G3777" s="636" t="s">
        <v>8394</v>
      </c>
      <c r="H3777" s="636" t="s">
        <v>8395</v>
      </c>
      <c r="I3777" s="636" t="s">
        <v>8036</v>
      </c>
      <c r="J3777" s="644" t="s">
        <v>643</v>
      </c>
      <c r="K3777" s="739"/>
      <c r="L3777" s="754"/>
      <c r="M3777" s="735"/>
      <c r="N3777" s="753">
        <v>4</v>
      </c>
      <c r="O3777" s="754">
        <v>6</v>
      </c>
      <c r="P3777" s="736">
        <v>11220</v>
      </c>
      <c r="Q3777" s="214"/>
    </row>
    <row r="3778" spans="1:17" ht="12" customHeight="1" x14ac:dyDescent="0.2">
      <c r="A3778" s="735" t="s">
        <v>7733</v>
      </c>
      <c r="B3778" s="735" t="s">
        <v>2170</v>
      </c>
      <c r="C3778" s="735" t="s">
        <v>451</v>
      </c>
      <c r="D3778" s="644" t="s">
        <v>7746</v>
      </c>
      <c r="E3778" s="736">
        <v>2200</v>
      </c>
      <c r="F3778" s="737" t="s">
        <v>8976</v>
      </c>
      <c r="G3778" s="636" t="s">
        <v>8977</v>
      </c>
      <c r="H3778" s="636"/>
      <c r="I3778" s="636"/>
      <c r="J3778" s="644" t="s">
        <v>643</v>
      </c>
      <c r="K3778" s="739"/>
      <c r="L3778" s="754"/>
      <c r="M3778" s="735"/>
      <c r="N3778" s="753">
        <v>6</v>
      </c>
      <c r="O3778" s="754">
        <v>6</v>
      </c>
      <c r="P3778" s="736">
        <v>15889.8</v>
      </c>
      <c r="Q3778" s="214"/>
    </row>
    <row r="3779" spans="1:17" ht="12" customHeight="1" x14ac:dyDescent="0.2">
      <c r="A3779" s="735" t="s">
        <v>7733</v>
      </c>
      <c r="B3779" s="735" t="s">
        <v>2170</v>
      </c>
      <c r="C3779" s="735" t="s">
        <v>451</v>
      </c>
      <c r="D3779" s="644" t="s">
        <v>8889</v>
      </c>
      <c r="E3779" s="736">
        <v>6000</v>
      </c>
      <c r="F3779" s="737" t="s">
        <v>9975</v>
      </c>
      <c r="G3779" s="636" t="s">
        <v>9976</v>
      </c>
      <c r="H3779" s="636" t="s">
        <v>6571</v>
      </c>
      <c r="I3779" s="636" t="s">
        <v>2179</v>
      </c>
      <c r="J3779" s="644" t="s">
        <v>642</v>
      </c>
      <c r="K3779" s="739"/>
      <c r="L3779" s="754"/>
      <c r="M3779" s="735"/>
      <c r="N3779" s="753">
        <v>4</v>
      </c>
      <c r="O3779" s="754">
        <v>6</v>
      </c>
      <c r="P3779" s="736">
        <v>38689.800000000003</v>
      </c>
      <c r="Q3779" s="214"/>
    </row>
    <row r="3780" spans="1:17" ht="12" customHeight="1" x14ac:dyDescent="0.2">
      <c r="A3780" s="735" t="s">
        <v>7733</v>
      </c>
      <c r="B3780" s="735" t="s">
        <v>2170</v>
      </c>
      <c r="C3780" s="735" t="s">
        <v>451</v>
      </c>
      <c r="D3780" s="644" t="s">
        <v>10204</v>
      </c>
      <c r="E3780" s="736">
        <v>1600</v>
      </c>
      <c r="F3780" s="737" t="s">
        <v>10205</v>
      </c>
      <c r="G3780" s="636" t="s">
        <v>10206</v>
      </c>
      <c r="H3780" s="636"/>
      <c r="I3780" s="636"/>
      <c r="J3780" s="644"/>
      <c r="K3780" s="739"/>
      <c r="L3780" s="754"/>
      <c r="M3780" s="735"/>
      <c r="N3780" s="753">
        <v>1</v>
      </c>
      <c r="O3780" s="754">
        <v>1</v>
      </c>
      <c r="P3780" s="736">
        <v>3928</v>
      </c>
      <c r="Q3780" s="214"/>
    </row>
    <row r="3781" spans="1:17" ht="12" customHeight="1" x14ac:dyDescent="0.2">
      <c r="A3781" s="735" t="s">
        <v>7733</v>
      </c>
      <c r="B3781" s="735" t="s">
        <v>2170</v>
      </c>
      <c r="C3781" s="735" t="s">
        <v>451</v>
      </c>
      <c r="D3781" s="644" t="s">
        <v>8007</v>
      </c>
      <c r="E3781" s="736">
        <v>3500</v>
      </c>
      <c r="F3781" s="737" t="s">
        <v>8008</v>
      </c>
      <c r="G3781" s="636" t="s">
        <v>8009</v>
      </c>
      <c r="H3781" s="636" t="s">
        <v>6571</v>
      </c>
      <c r="I3781" s="636" t="s">
        <v>2179</v>
      </c>
      <c r="J3781" s="644" t="s">
        <v>642</v>
      </c>
      <c r="K3781" s="739"/>
      <c r="L3781" s="754"/>
      <c r="M3781" s="735"/>
      <c r="N3781" s="753">
        <v>4</v>
      </c>
      <c r="O3781" s="754">
        <v>6</v>
      </c>
      <c r="P3781" s="736">
        <v>23689.8</v>
      </c>
      <c r="Q3781" s="214"/>
    </row>
    <row r="3782" spans="1:17" ht="12" customHeight="1" x14ac:dyDescent="0.2">
      <c r="A3782" s="735" t="s">
        <v>7733</v>
      </c>
      <c r="B3782" s="735" t="s">
        <v>2170</v>
      </c>
      <c r="C3782" s="735" t="s">
        <v>451</v>
      </c>
      <c r="D3782" s="644" t="s">
        <v>7755</v>
      </c>
      <c r="E3782" s="736">
        <v>2500</v>
      </c>
      <c r="F3782" s="737" t="s">
        <v>7756</v>
      </c>
      <c r="G3782" s="636" t="s">
        <v>7757</v>
      </c>
      <c r="H3782" s="636"/>
      <c r="I3782" s="636"/>
      <c r="J3782" s="644" t="s">
        <v>642</v>
      </c>
      <c r="K3782" s="739"/>
      <c r="L3782" s="754"/>
      <c r="M3782" s="735"/>
      <c r="N3782" s="753">
        <v>6</v>
      </c>
      <c r="O3782" s="754">
        <v>6</v>
      </c>
      <c r="P3782" s="736">
        <v>17689.8</v>
      </c>
      <c r="Q3782" s="214"/>
    </row>
    <row r="3783" spans="1:17" ht="12" customHeight="1" x14ac:dyDescent="0.2">
      <c r="A3783" s="735" t="s">
        <v>7733</v>
      </c>
      <c r="B3783" s="735" t="s">
        <v>2170</v>
      </c>
      <c r="C3783" s="735" t="s">
        <v>451</v>
      </c>
      <c r="D3783" s="644" t="s">
        <v>7965</v>
      </c>
      <c r="E3783" s="736">
        <v>4000</v>
      </c>
      <c r="F3783" s="737" t="s">
        <v>8773</v>
      </c>
      <c r="G3783" s="636" t="s">
        <v>8774</v>
      </c>
      <c r="H3783" s="636" t="s">
        <v>10235</v>
      </c>
      <c r="I3783" s="636"/>
      <c r="J3783" s="644" t="s">
        <v>642</v>
      </c>
      <c r="K3783" s="739"/>
      <c r="L3783" s="754"/>
      <c r="M3783" s="735"/>
      <c r="N3783" s="753">
        <v>4</v>
      </c>
      <c r="O3783" s="754">
        <v>6</v>
      </c>
      <c r="P3783" s="736">
        <v>26689.8</v>
      </c>
      <c r="Q3783" s="214"/>
    </row>
    <row r="3784" spans="1:17" ht="12" customHeight="1" x14ac:dyDescent="0.2">
      <c r="A3784" s="735" t="s">
        <v>7733</v>
      </c>
      <c r="B3784" s="735" t="s">
        <v>2170</v>
      </c>
      <c r="C3784" s="735" t="s">
        <v>451</v>
      </c>
      <c r="D3784" s="644" t="s">
        <v>7786</v>
      </c>
      <c r="E3784" s="736">
        <v>6000</v>
      </c>
      <c r="F3784" s="737" t="s">
        <v>8951</v>
      </c>
      <c r="G3784" s="636" t="s">
        <v>8952</v>
      </c>
      <c r="H3784" s="636" t="s">
        <v>7752</v>
      </c>
      <c r="I3784" s="636"/>
      <c r="J3784" s="644" t="s">
        <v>642</v>
      </c>
      <c r="K3784" s="739"/>
      <c r="L3784" s="754"/>
      <c r="M3784" s="735"/>
      <c r="N3784" s="753">
        <v>2</v>
      </c>
      <c r="O3784" s="754">
        <v>2</v>
      </c>
      <c r="P3784" s="736">
        <v>14689.8</v>
      </c>
      <c r="Q3784" s="214"/>
    </row>
    <row r="3785" spans="1:17" ht="12" customHeight="1" x14ac:dyDescent="0.2">
      <c r="A3785" s="735" t="s">
        <v>7733</v>
      </c>
      <c r="B3785" s="735" t="s">
        <v>2170</v>
      </c>
      <c r="C3785" s="735" t="s">
        <v>451</v>
      </c>
      <c r="D3785" s="644" t="s">
        <v>7855</v>
      </c>
      <c r="E3785" s="736">
        <v>2200</v>
      </c>
      <c r="F3785" s="737" t="s">
        <v>8313</v>
      </c>
      <c r="G3785" s="636" t="s">
        <v>8314</v>
      </c>
      <c r="H3785" s="636" t="s">
        <v>7152</v>
      </c>
      <c r="I3785" s="636" t="s">
        <v>8315</v>
      </c>
      <c r="J3785" s="644" t="s">
        <v>644</v>
      </c>
      <c r="K3785" s="739"/>
      <c r="L3785" s="754"/>
      <c r="M3785" s="735"/>
      <c r="N3785" s="753">
        <v>4</v>
      </c>
      <c r="O3785" s="754">
        <v>6</v>
      </c>
      <c r="P3785" s="736">
        <v>15889.8</v>
      </c>
      <c r="Q3785" s="214"/>
    </row>
    <row r="3786" spans="1:17" ht="12" customHeight="1" x14ac:dyDescent="0.2">
      <c r="A3786" s="735" t="s">
        <v>7733</v>
      </c>
      <c r="B3786" s="735" t="s">
        <v>2170</v>
      </c>
      <c r="C3786" s="735" t="s">
        <v>451</v>
      </c>
      <c r="D3786" s="644" t="s">
        <v>7786</v>
      </c>
      <c r="E3786" s="736">
        <v>6000</v>
      </c>
      <c r="F3786" s="737" t="s">
        <v>9734</v>
      </c>
      <c r="G3786" s="636" t="s">
        <v>9735</v>
      </c>
      <c r="H3786" s="636"/>
      <c r="I3786" s="636"/>
      <c r="J3786" s="644" t="s">
        <v>642</v>
      </c>
      <c r="K3786" s="739"/>
      <c r="L3786" s="754"/>
      <c r="M3786" s="735"/>
      <c r="N3786" s="753">
        <v>4</v>
      </c>
      <c r="O3786" s="754">
        <v>6</v>
      </c>
      <c r="P3786" s="736">
        <v>38689.800000000003</v>
      </c>
      <c r="Q3786" s="214"/>
    </row>
    <row r="3787" spans="1:17" ht="12" customHeight="1" x14ac:dyDescent="0.2">
      <c r="A3787" s="735" t="s">
        <v>7733</v>
      </c>
      <c r="B3787" s="735" t="s">
        <v>2170</v>
      </c>
      <c r="C3787" s="735" t="s">
        <v>451</v>
      </c>
      <c r="D3787" s="644" t="s">
        <v>7838</v>
      </c>
      <c r="E3787" s="736">
        <v>4000</v>
      </c>
      <c r="F3787" s="737" t="s">
        <v>7839</v>
      </c>
      <c r="G3787" s="636" t="s">
        <v>7840</v>
      </c>
      <c r="H3787" s="636" t="s">
        <v>7782</v>
      </c>
      <c r="I3787" s="636" t="s">
        <v>2208</v>
      </c>
      <c r="J3787" s="644" t="s">
        <v>642</v>
      </c>
      <c r="K3787" s="739"/>
      <c r="L3787" s="754"/>
      <c r="M3787" s="735"/>
      <c r="N3787" s="753">
        <v>6</v>
      </c>
      <c r="O3787" s="754">
        <v>6</v>
      </c>
      <c r="P3787" s="736">
        <v>26689.8</v>
      </c>
      <c r="Q3787" s="214"/>
    </row>
    <row r="3788" spans="1:17" ht="12" customHeight="1" x14ac:dyDescent="0.2">
      <c r="A3788" s="735" t="s">
        <v>7733</v>
      </c>
      <c r="B3788" s="735" t="s">
        <v>2170</v>
      </c>
      <c r="C3788" s="735" t="s">
        <v>451</v>
      </c>
      <c r="D3788" s="644" t="s">
        <v>7946</v>
      </c>
      <c r="E3788" s="736">
        <v>4000</v>
      </c>
      <c r="F3788" s="737" t="s">
        <v>10251</v>
      </c>
      <c r="G3788" s="636" t="s">
        <v>10252</v>
      </c>
      <c r="H3788" s="636" t="s">
        <v>6571</v>
      </c>
      <c r="I3788" s="636" t="s">
        <v>2179</v>
      </c>
      <c r="J3788" s="644" t="s">
        <v>642</v>
      </c>
      <c r="K3788" s="739"/>
      <c r="L3788" s="754"/>
      <c r="M3788" s="735"/>
      <c r="N3788" s="753">
        <v>4</v>
      </c>
      <c r="O3788" s="754">
        <v>6</v>
      </c>
      <c r="P3788" s="736">
        <v>26689.8</v>
      </c>
      <c r="Q3788" s="214"/>
    </row>
    <row r="3789" spans="1:17" ht="12" customHeight="1" x14ac:dyDescent="0.2">
      <c r="A3789" s="735" t="s">
        <v>7733</v>
      </c>
      <c r="B3789" s="735" t="s">
        <v>2170</v>
      </c>
      <c r="C3789" s="735" t="s">
        <v>451</v>
      </c>
      <c r="D3789" s="644" t="s">
        <v>7769</v>
      </c>
      <c r="E3789" s="736">
        <v>2500</v>
      </c>
      <c r="F3789" s="737" t="s">
        <v>8475</v>
      </c>
      <c r="G3789" s="636" t="s">
        <v>8476</v>
      </c>
      <c r="H3789" s="636" t="s">
        <v>6536</v>
      </c>
      <c r="I3789" s="636" t="s">
        <v>8477</v>
      </c>
      <c r="J3789" s="644" t="s">
        <v>643</v>
      </c>
      <c r="K3789" s="739"/>
      <c r="L3789" s="754"/>
      <c r="M3789" s="735"/>
      <c r="N3789" s="753">
        <v>4</v>
      </c>
      <c r="O3789" s="754">
        <v>6</v>
      </c>
      <c r="P3789" s="736">
        <v>17689.8</v>
      </c>
      <c r="Q3789" s="214"/>
    </row>
    <row r="3790" spans="1:17" ht="12" customHeight="1" x14ac:dyDescent="0.2">
      <c r="A3790" s="735" t="s">
        <v>7733</v>
      </c>
      <c r="B3790" s="735" t="s">
        <v>2170</v>
      </c>
      <c r="C3790" s="735" t="s">
        <v>451</v>
      </c>
      <c r="D3790" s="644" t="s">
        <v>6668</v>
      </c>
      <c r="E3790" s="736">
        <v>3500</v>
      </c>
      <c r="F3790" s="737" t="s">
        <v>9899</v>
      </c>
      <c r="G3790" s="636" t="s">
        <v>9900</v>
      </c>
      <c r="H3790" s="636" t="s">
        <v>6778</v>
      </c>
      <c r="I3790" s="636" t="s">
        <v>2174</v>
      </c>
      <c r="J3790" s="644" t="s">
        <v>642</v>
      </c>
      <c r="K3790" s="739"/>
      <c r="L3790" s="754"/>
      <c r="M3790" s="735"/>
      <c r="N3790" s="753">
        <v>6</v>
      </c>
      <c r="O3790" s="754">
        <v>6</v>
      </c>
      <c r="P3790" s="736">
        <v>23689.8</v>
      </c>
      <c r="Q3790" s="214"/>
    </row>
    <row r="3791" spans="1:17" ht="12" customHeight="1" x14ac:dyDescent="0.2">
      <c r="A3791" s="735" t="s">
        <v>7733</v>
      </c>
      <c r="B3791" s="735" t="s">
        <v>2170</v>
      </c>
      <c r="C3791" s="735" t="s">
        <v>451</v>
      </c>
      <c r="D3791" s="644" t="s">
        <v>8032</v>
      </c>
      <c r="E3791" s="736">
        <v>2000</v>
      </c>
      <c r="F3791" s="737" t="s">
        <v>9866</v>
      </c>
      <c r="G3791" s="636" t="s">
        <v>9867</v>
      </c>
      <c r="H3791" s="636" t="s">
        <v>10194</v>
      </c>
      <c r="I3791" s="636"/>
      <c r="J3791" s="644" t="s">
        <v>644</v>
      </c>
      <c r="K3791" s="739"/>
      <c r="L3791" s="754"/>
      <c r="M3791" s="735"/>
      <c r="N3791" s="753">
        <v>4</v>
      </c>
      <c r="O3791" s="754">
        <v>6</v>
      </c>
      <c r="P3791" s="736">
        <v>14689.8</v>
      </c>
      <c r="Q3791" s="214"/>
    </row>
    <row r="3792" spans="1:17" ht="12" customHeight="1" x14ac:dyDescent="0.2">
      <c r="A3792" s="735" t="s">
        <v>7733</v>
      </c>
      <c r="B3792" s="735" t="s">
        <v>2170</v>
      </c>
      <c r="C3792" s="735" t="s">
        <v>451</v>
      </c>
      <c r="D3792" s="644" t="s">
        <v>9178</v>
      </c>
      <c r="E3792" s="736">
        <v>5000</v>
      </c>
      <c r="F3792" s="737" t="s">
        <v>9179</v>
      </c>
      <c r="G3792" s="636" t="s">
        <v>9180</v>
      </c>
      <c r="H3792" s="636" t="s">
        <v>3915</v>
      </c>
      <c r="I3792" s="636" t="s">
        <v>2766</v>
      </c>
      <c r="J3792" s="644" t="s">
        <v>643</v>
      </c>
      <c r="K3792" s="739"/>
      <c r="L3792" s="754"/>
      <c r="M3792" s="735"/>
      <c r="N3792" s="753">
        <v>2</v>
      </c>
      <c r="O3792" s="754">
        <v>2</v>
      </c>
      <c r="P3792" s="736">
        <v>12689.8</v>
      </c>
      <c r="Q3792" s="214"/>
    </row>
    <row r="3793" spans="1:17" ht="12" customHeight="1" x14ac:dyDescent="0.2">
      <c r="A3793" s="735" t="s">
        <v>7733</v>
      </c>
      <c r="B3793" s="735" t="s">
        <v>2170</v>
      </c>
      <c r="C3793" s="735" t="s">
        <v>451</v>
      </c>
      <c r="D3793" s="644" t="s">
        <v>8268</v>
      </c>
      <c r="E3793" s="736">
        <v>2200</v>
      </c>
      <c r="F3793" s="737" t="s">
        <v>9736</v>
      </c>
      <c r="G3793" s="636" t="s">
        <v>9737</v>
      </c>
      <c r="H3793" s="636" t="s">
        <v>9738</v>
      </c>
      <c r="I3793" s="636" t="s">
        <v>7917</v>
      </c>
      <c r="J3793" s="644" t="s">
        <v>643</v>
      </c>
      <c r="K3793" s="739"/>
      <c r="L3793" s="754"/>
      <c r="M3793" s="735"/>
      <c r="N3793" s="753">
        <v>4</v>
      </c>
      <c r="O3793" s="754">
        <v>6</v>
      </c>
      <c r="P3793" s="736">
        <v>15889.8</v>
      </c>
      <c r="Q3793" s="214"/>
    </row>
    <row r="3794" spans="1:17" ht="12" customHeight="1" x14ac:dyDescent="0.2">
      <c r="A3794" s="735" t="s">
        <v>7733</v>
      </c>
      <c r="B3794" s="735" t="s">
        <v>2170</v>
      </c>
      <c r="C3794" s="735" t="s">
        <v>451</v>
      </c>
      <c r="D3794" s="644" t="s">
        <v>5788</v>
      </c>
      <c r="E3794" s="736">
        <v>5000</v>
      </c>
      <c r="F3794" s="737" t="s">
        <v>8499</v>
      </c>
      <c r="G3794" s="636" t="s">
        <v>8500</v>
      </c>
      <c r="H3794" s="636" t="s">
        <v>7752</v>
      </c>
      <c r="I3794" s="636" t="s">
        <v>2179</v>
      </c>
      <c r="J3794" s="644" t="s">
        <v>642</v>
      </c>
      <c r="K3794" s="739"/>
      <c r="L3794" s="754"/>
      <c r="M3794" s="735"/>
      <c r="N3794" s="753">
        <v>4</v>
      </c>
      <c r="O3794" s="754">
        <v>6</v>
      </c>
      <c r="P3794" s="736">
        <v>32689.8</v>
      </c>
      <c r="Q3794" s="214"/>
    </row>
    <row r="3795" spans="1:17" ht="12" customHeight="1" x14ac:dyDescent="0.2">
      <c r="A3795" s="735" t="s">
        <v>7733</v>
      </c>
      <c r="B3795" s="735" t="s">
        <v>2170</v>
      </c>
      <c r="C3795" s="735" t="s">
        <v>451</v>
      </c>
      <c r="D3795" s="644" t="s">
        <v>8214</v>
      </c>
      <c r="E3795" s="736">
        <v>5500</v>
      </c>
      <c r="F3795" s="737" t="s">
        <v>10207</v>
      </c>
      <c r="G3795" s="636" t="s">
        <v>10208</v>
      </c>
      <c r="H3795" s="636"/>
      <c r="I3795" s="636"/>
      <c r="J3795" s="644"/>
      <c r="K3795" s="739"/>
      <c r="L3795" s="754"/>
      <c r="M3795" s="735"/>
      <c r="N3795" s="753">
        <v>1</v>
      </c>
      <c r="O3795" s="754">
        <v>1</v>
      </c>
      <c r="P3795" s="736">
        <v>8189.8</v>
      </c>
      <c r="Q3795" s="214"/>
    </row>
    <row r="3796" spans="1:17" ht="12" customHeight="1" x14ac:dyDescent="0.2">
      <c r="A3796" s="735" t="s">
        <v>7733</v>
      </c>
      <c r="B3796" s="735" t="s">
        <v>2170</v>
      </c>
      <c r="C3796" s="735" t="s">
        <v>451</v>
      </c>
      <c r="D3796" s="644" t="s">
        <v>9043</v>
      </c>
      <c r="E3796" s="736">
        <v>4500</v>
      </c>
      <c r="F3796" s="737" t="s">
        <v>9044</v>
      </c>
      <c r="G3796" s="636" t="s">
        <v>9045</v>
      </c>
      <c r="H3796" s="636" t="s">
        <v>7772</v>
      </c>
      <c r="I3796" s="636" t="s">
        <v>8075</v>
      </c>
      <c r="J3796" s="644" t="s">
        <v>643</v>
      </c>
      <c r="K3796" s="739"/>
      <c r="L3796" s="754"/>
      <c r="M3796" s="735"/>
      <c r="N3796" s="753">
        <v>4</v>
      </c>
      <c r="O3796" s="754">
        <v>6</v>
      </c>
      <c r="P3796" s="736">
        <v>29689.8</v>
      </c>
      <c r="Q3796" s="214"/>
    </row>
    <row r="3797" spans="1:17" ht="12" customHeight="1" x14ac:dyDescent="0.2">
      <c r="A3797" s="735" t="s">
        <v>7733</v>
      </c>
      <c r="B3797" s="735" t="s">
        <v>2170</v>
      </c>
      <c r="C3797" s="735" t="s">
        <v>451</v>
      </c>
      <c r="D3797" s="644" t="s">
        <v>7904</v>
      </c>
      <c r="E3797" s="736">
        <v>3000</v>
      </c>
      <c r="F3797" s="737" t="s">
        <v>8225</v>
      </c>
      <c r="G3797" s="636" t="s">
        <v>8226</v>
      </c>
      <c r="H3797" s="636" t="s">
        <v>8227</v>
      </c>
      <c r="I3797" s="636" t="s">
        <v>8228</v>
      </c>
      <c r="J3797" s="644" t="s">
        <v>643</v>
      </c>
      <c r="K3797" s="739"/>
      <c r="L3797" s="754"/>
      <c r="M3797" s="735"/>
      <c r="N3797" s="753">
        <v>4</v>
      </c>
      <c r="O3797" s="754">
        <v>6</v>
      </c>
      <c r="P3797" s="736">
        <v>20689.8</v>
      </c>
      <c r="Q3797" s="214"/>
    </row>
    <row r="3798" spans="1:17" ht="12" customHeight="1" x14ac:dyDescent="0.2">
      <c r="A3798" s="735" t="s">
        <v>7733</v>
      </c>
      <c r="B3798" s="735" t="s">
        <v>2170</v>
      </c>
      <c r="C3798" s="735" t="s">
        <v>451</v>
      </c>
      <c r="D3798" s="644" t="s">
        <v>7901</v>
      </c>
      <c r="E3798" s="736">
        <v>2500</v>
      </c>
      <c r="F3798" s="737" t="s">
        <v>10011</v>
      </c>
      <c r="G3798" s="636" t="s">
        <v>10012</v>
      </c>
      <c r="H3798" s="636" t="s">
        <v>8813</v>
      </c>
      <c r="I3798" s="636" t="s">
        <v>3760</v>
      </c>
      <c r="J3798" s="644" t="s">
        <v>644</v>
      </c>
      <c r="K3798" s="739"/>
      <c r="L3798" s="754"/>
      <c r="M3798" s="735"/>
      <c r="N3798" s="753">
        <v>4</v>
      </c>
      <c r="O3798" s="754">
        <v>6</v>
      </c>
      <c r="P3798" s="736">
        <v>17689.8</v>
      </c>
      <c r="Q3798" s="214"/>
    </row>
    <row r="3799" spans="1:17" ht="12" customHeight="1" x14ac:dyDescent="0.2">
      <c r="A3799" s="735" t="s">
        <v>7733</v>
      </c>
      <c r="B3799" s="735" t="s">
        <v>2170</v>
      </c>
      <c r="C3799" s="735" t="s">
        <v>451</v>
      </c>
      <c r="D3799" s="644" t="s">
        <v>7855</v>
      </c>
      <c r="E3799" s="736">
        <v>2200</v>
      </c>
      <c r="F3799" s="737" t="s">
        <v>9270</v>
      </c>
      <c r="G3799" s="636" t="s">
        <v>9271</v>
      </c>
      <c r="H3799" s="636" t="s">
        <v>7152</v>
      </c>
      <c r="I3799" s="636" t="s">
        <v>2317</v>
      </c>
      <c r="J3799" s="644" t="s">
        <v>644</v>
      </c>
      <c r="K3799" s="739"/>
      <c r="L3799" s="754"/>
      <c r="M3799" s="735"/>
      <c r="N3799" s="753">
        <v>6</v>
      </c>
      <c r="O3799" s="754">
        <v>6</v>
      </c>
      <c r="P3799" s="736">
        <v>15889.8</v>
      </c>
      <c r="Q3799" s="214"/>
    </row>
    <row r="3800" spans="1:17" ht="12" customHeight="1" x14ac:dyDescent="0.2">
      <c r="A3800" s="735" t="s">
        <v>7733</v>
      </c>
      <c r="B3800" s="735" t="s">
        <v>2170</v>
      </c>
      <c r="C3800" s="735" t="s">
        <v>451</v>
      </c>
      <c r="D3800" s="644" t="s">
        <v>2179</v>
      </c>
      <c r="E3800" s="736">
        <v>3000</v>
      </c>
      <c r="F3800" s="737" t="s">
        <v>8991</v>
      </c>
      <c r="G3800" s="636" t="s">
        <v>8992</v>
      </c>
      <c r="H3800" s="636" t="s">
        <v>6571</v>
      </c>
      <c r="I3800" s="636" t="s">
        <v>2179</v>
      </c>
      <c r="J3800" s="644" t="s">
        <v>642</v>
      </c>
      <c r="K3800" s="739"/>
      <c r="L3800" s="754"/>
      <c r="M3800" s="735"/>
      <c r="N3800" s="753">
        <v>6</v>
      </c>
      <c r="O3800" s="754">
        <v>6</v>
      </c>
      <c r="P3800" s="736">
        <v>20689.8</v>
      </c>
      <c r="Q3800" s="214"/>
    </row>
    <row r="3801" spans="1:17" ht="12" customHeight="1" x14ac:dyDescent="0.2">
      <c r="A3801" s="735" t="s">
        <v>7733</v>
      </c>
      <c r="B3801" s="735" t="s">
        <v>2170</v>
      </c>
      <c r="C3801" s="735" t="s">
        <v>451</v>
      </c>
      <c r="D3801" s="644" t="s">
        <v>7838</v>
      </c>
      <c r="E3801" s="736">
        <v>2500</v>
      </c>
      <c r="F3801" s="737" t="s">
        <v>10050</v>
      </c>
      <c r="G3801" s="636" t="s">
        <v>10051</v>
      </c>
      <c r="H3801" s="636" t="s">
        <v>8536</v>
      </c>
      <c r="I3801" s="636" t="s">
        <v>10052</v>
      </c>
      <c r="J3801" s="644" t="s">
        <v>643</v>
      </c>
      <c r="K3801" s="739"/>
      <c r="L3801" s="754"/>
      <c r="M3801" s="735"/>
      <c r="N3801" s="753">
        <v>4</v>
      </c>
      <c r="O3801" s="754">
        <v>6</v>
      </c>
      <c r="P3801" s="736">
        <v>17689.8</v>
      </c>
      <c r="Q3801" s="214"/>
    </row>
    <row r="3802" spans="1:17" ht="12" customHeight="1" x14ac:dyDescent="0.2">
      <c r="A3802" s="735" t="s">
        <v>7733</v>
      </c>
      <c r="B3802" s="735" t="s">
        <v>2170</v>
      </c>
      <c r="C3802" s="735" t="s">
        <v>451</v>
      </c>
      <c r="D3802" s="644" t="s">
        <v>7817</v>
      </c>
      <c r="E3802" s="736">
        <v>1800</v>
      </c>
      <c r="F3802" s="737" t="s">
        <v>8534</v>
      </c>
      <c r="G3802" s="636" t="s">
        <v>8535</v>
      </c>
      <c r="H3802" s="636" t="s">
        <v>8536</v>
      </c>
      <c r="I3802" s="636" t="s">
        <v>3057</v>
      </c>
      <c r="J3802" s="644" t="s">
        <v>643</v>
      </c>
      <c r="K3802" s="739"/>
      <c r="L3802" s="754"/>
      <c r="M3802" s="735"/>
      <c r="N3802" s="753">
        <v>4</v>
      </c>
      <c r="O3802" s="754">
        <v>6</v>
      </c>
      <c r="P3802" s="736">
        <v>13344</v>
      </c>
      <c r="Q3802" s="214"/>
    </row>
    <row r="3803" spans="1:17" ht="12" customHeight="1" x14ac:dyDescent="0.2">
      <c r="A3803" s="735" t="s">
        <v>7733</v>
      </c>
      <c r="B3803" s="735" t="s">
        <v>2170</v>
      </c>
      <c r="C3803" s="735" t="s">
        <v>451</v>
      </c>
      <c r="D3803" s="644" t="s">
        <v>8045</v>
      </c>
      <c r="E3803" s="736">
        <v>2200</v>
      </c>
      <c r="F3803" s="737" t="s">
        <v>9750</v>
      </c>
      <c r="G3803" s="636" t="s">
        <v>9751</v>
      </c>
      <c r="H3803" s="636"/>
      <c r="I3803" s="636"/>
      <c r="J3803" s="644" t="s">
        <v>644</v>
      </c>
      <c r="K3803" s="739"/>
      <c r="L3803" s="754"/>
      <c r="M3803" s="735"/>
      <c r="N3803" s="753">
        <v>4</v>
      </c>
      <c r="O3803" s="754">
        <v>6</v>
      </c>
      <c r="P3803" s="736">
        <v>15889.8</v>
      </c>
      <c r="Q3803" s="214"/>
    </row>
    <row r="3804" spans="1:17" ht="12" customHeight="1" x14ac:dyDescent="0.2">
      <c r="A3804" s="735" t="s">
        <v>7733</v>
      </c>
      <c r="B3804" s="735" t="s">
        <v>2170</v>
      </c>
      <c r="C3804" s="735" t="s">
        <v>451</v>
      </c>
      <c r="D3804" s="644" t="s">
        <v>8301</v>
      </c>
      <c r="E3804" s="736">
        <v>1600</v>
      </c>
      <c r="F3804" s="737" t="s">
        <v>8661</v>
      </c>
      <c r="G3804" s="636" t="s">
        <v>8662</v>
      </c>
      <c r="H3804" s="636" t="s">
        <v>3522</v>
      </c>
      <c r="I3804" s="636" t="s">
        <v>8663</v>
      </c>
      <c r="J3804" s="644" t="s">
        <v>643</v>
      </c>
      <c r="K3804" s="739"/>
      <c r="L3804" s="754"/>
      <c r="M3804" s="735"/>
      <c r="N3804" s="753">
        <v>4</v>
      </c>
      <c r="O3804" s="754">
        <v>6</v>
      </c>
      <c r="P3804" s="736">
        <v>11928</v>
      </c>
      <c r="Q3804" s="214"/>
    </row>
    <row r="3805" spans="1:17" ht="12" customHeight="1" x14ac:dyDescent="0.2">
      <c r="A3805" s="735" t="s">
        <v>7733</v>
      </c>
      <c r="B3805" s="735" t="s">
        <v>2170</v>
      </c>
      <c r="C3805" s="735" t="s">
        <v>451</v>
      </c>
      <c r="D3805" s="644" t="s">
        <v>7817</v>
      </c>
      <c r="E3805" s="736">
        <v>2500</v>
      </c>
      <c r="F3805" s="737" t="s">
        <v>9258</v>
      </c>
      <c r="G3805" s="636" t="s">
        <v>9259</v>
      </c>
      <c r="H3805" s="636" t="s">
        <v>7752</v>
      </c>
      <c r="I3805" s="636" t="s">
        <v>2179</v>
      </c>
      <c r="J3805" s="644" t="s">
        <v>643</v>
      </c>
      <c r="K3805" s="739"/>
      <c r="L3805" s="754"/>
      <c r="M3805" s="735"/>
      <c r="N3805" s="753">
        <v>4</v>
      </c>
      <c r="O3805" s="754">
        <v>6</v>
      </c>
      <c r="P3805" s="736">
        <v>17689.8</v>
      </c>
      <c r="Q3805" s="214"/>
    </row>
    <row r="3806" spans="1:17" ht="12" customHeight="1" x14ac:dyDescent="0.2">
      <c r="A3806" s="735" t="s">
        <v>7733</v>
      </c>
      <c r="B3806" s="735" t="s">
        <v>2170</v>
      </c>
      <c r="C3806" s="735" t="s">
        <v>451</v>
      </c>
      <c r="D3806" s="644" t="s">
        <v>8622</v>
      </c>
      <c r="E3806" s="736">
        <v>4000</v>
      </c>
      <c r="F3806" s="737" t="s">
        <v>8892</v>
      </c>
      <c r="G3806" s="636" t="s">
        <v>8893</v>
      </c>
      <c r="H3806" s="636" t="s">
        <v>6571</v>
      </c>
      <c r="I3806" s="636" t="s">
        <v>2179</v>
      </c>
      <c r="J3806" s="644" t="s">
        <v>642</v>
      </c>
      <c r="K3806" s="739"/>
      <c r="L3806" s="754"/>
      <c r="M3806" s="735"/>
      <c r="N3806" s="753">
        <v>4</v>
      </c>
      <c r="O3806" s="754">
        <v>6</v>
      </c>
      <c r="P3806" s="736">
        <v>26689.8</v>
      </c>
      <c r="Q3806" s="214"/>
    </row>
    <row r="3807" spans="1:17" ht="12" customHeight="1" x14ac:dyDescent="0.2">
      <c r="A3807" s="735" t="s">
        <v>7733</v>
      </c>
      <c r="B3807" s="735" t="s">
        <v>2170</v>
      </c>
      <c r="C3807" s="735" t="s">
        <v>451</v>
      </c>
      <c r="D3807" s="644" t="s">
        <v>8158</v>
      </c>
      <c r="E3807" s="736">
        <v>2500</v>
      </c>
      <c r="F3807" s="737" t="s">
        <v>8441</v>
      </c>
      <c r="G3807" s="636" t="s">
        <v>8442</v>
      </c>
      <c r="H3807" s="636"/>
      <c r="I3807" s="636"/>
      <c r="J3807" s="644" t="s">
        <v>644</v>
      </c>
      <c r="K3807" s="739"/>
      <c r="L3807" s="754"/>
      <c r="M3807" s="735"/>
      <c r="N3807" s="753">
        <v>4</v>
      </c>
      <c r="O3807" s="754">
        <v>6</v>
      </c>
      <c r="P3807" s="736">
        <v>17689.8</v>
      </c>
      <c r="Q3807" s="214"/>
    </row>
    <row r="3808" spans="1:17" ht="12" customHeight="1" x14ac:dyDescent="0.2">
      <c r="A3808" s="735" t="s">
        <v>7733</v>
      </c>
      <c r="B3808" s="735" t="s">
        <v>2170</v>
      </c>
      <c r="C3808" s="735" t="s">
        <v>451</v>
      </c>
      <c r="D3808" s="644" t="s">
        <v>7871</v>
      </c>
      <c r="E3808" s="736">
        <v>4000</v>
      </c>
      <c r="F3808" s="737" t="s">
        <v>8319</v>
      </c>
      <c r="G3808" s="636" t="s">
        <v>8320</v>
      </c>
      <c r="H3808" s="636"/>
      <c r="I3808" s="636"/>
      <c r="J3808" s="644" t="s">
        <v>642</v>
      </c>
      <c r="K3808" s="739"/>
      <c r="L3808" s="754"/>
      <c r="M3808" s="735"/>
      <c r="N3808" s="753">
        <v>4</v>
      </c>
      <c r="O3808" s="754">
        <v>6</v>
      </c>
      <c r="P3808" s="736">
        <v>26689.8</v>
      </c>
      <c r="Q3808" s="214"/>
    </row>
    <row r="3809" spans="1:17" ht="12" customHeight="1" x14ac:dyDescent="0.2">
      <c r="A3809" s="735" t="s">
        <v>7733</v>
      </c>
      <c r="B3809" s="735" t="s">
        <v>2170</v>
      </c>
      <c r="C3809" s="735" t="s">
        <v>451</v>
      </c>
      <c r="D3809" s="644" t="s">
        <v>9025</v>
      </c>
      <c r="E3809" s="736">
        <v>1500</v>
      </c>
      <c r="F3809" s="737" t="s">
        <v>9026</v>
      </c>
      <c r="G3809" s="636" t="s">
        <v>9027</v>
      </c>
      <c r="H3809" s="636" t="s">
        <v>7858</v>
      </c>
      <c r="I3809" s="636" t="s">
        <v>7859</v>
      </c>
      <c r="J3809" s="644" t="s">
        <v>644</v>
      </c>
      <c r="K3809" s="739"/>
      <c r="L3809" s="754"/>
      <c r="M3809" s="735"/>
      <c r="N3809" s="753">
        <v>4</v>
      </c>
      <c r="O3809" s="754">
        <v>6</v>
      </c>
      <c r="P3809" s="736">
        <v>11220</v>
      </c>
      <c r="Q3809" s="214"/>
    </row>
    <row r="3810" spans="1:17" ht="12" customHeight="1" x14ac:dyDescent="0.2">
      <c r="A3810" s="735" t="s">
        <v>7733</v>
      </c>
      <c r="B3810" s="735" t="s">
        <v>2170</v>
      </c>
      <c r="C3810" s="735" t="s">
        <v>451</v>
      </c>
      <c r="D3810" s="644" t="s">
        <v>7838</v>
      </c>
      <c r="E3810" s="736">
        <v>2500</v>
      </c>
      <c r="F3810" s="737" t="s">
        <v>9620</v>
      </c>
      <c r="G3810" s="636" t="s">
        <v>9621</v>
      </c>
      <c r="H3810" s="636"/>
      <c r="I3810" s="636"/>
      <c r="J3810" s="644" t="s">
        <v>642</v>
      </c>
      <c r="K3810" s="739"/>
      <c r="L3810" s="754"/>
      <c r="M3810" s="735"/>
      <c r="N3810" s="753">
        <v>4</v>
      </c>
      <c r="O3810" s="754">
        <v>6</v>
      </c>
      <c r="P3810" s="736">
        <v>17689.8</v>
      </c>
      <c r="Q3810" s="214"/>
    </row>
    <row r="3811" spans="1:17" ht="12" customHeight="1" x14ac:dyDescent="0.2">
      <c r="A3811" s="735" t="s">
        <v>7733</v>
      </c>
      <c r="B3811" s="735" t="s">
        <v>2170</v>
      </c>
      <c r="C3811" s="735" t="s">
        <v>451</v>
      </c>
      <c r="D3811" s="644" t="s">
        <v>6668</v>
      </c>
      <c r="E3811" s="736">
        <v>4000</v>
      </c>
      <c r="F3811" s="737" t="s">
        <v>10209</v>
      </c>
      <c r="G3811" s="636" t="s">
        <v>10210</v>
      </c>
      <c r="H3811" s="636"/>
      <c r="I3811" s="636"/>
      <c r="J3811" s="644"/>
      <c r="K3811" s="739"/>
      <c r="L3811" s="754"/>
      <c r="M3811" s="735"/>
      <c r="N3811" s="753">
        <v>1</v>
      </c>
      <c r="O3811" s="754">
        <v>0</v>
      </c>
      <c r="P3811" s="736">
        <v>2689.8</v>
      </c>
      <c r="Q3811" s="214"/>
    </row>
    <row r="3812" spans="1:17" ht="12" customHeight="1" x14ac:dyDescent="0.2">
      <c r="A3812" s="735" t="s">
        <v>7733</v>
      </c>
      <c r="B3812" s="735" t="s">
        <v>2170</v>
      </c>
      <c r="C3812" s="735" t="s">
        <v>451</v>
      </c>
      <c r="D3812" s="644" t="s">
        <v>5788</v>
      </c>
      <c r="E3812" s="736">
        <v>5000</v>
      </c>
      <c r="F3812" s="737" t="s">
        <v>9612</v>
      </c>
      <c r="G3812" s="636" t="s">
        <v>9613</v>
      </c>
      <c r="H3812" s="636" t="s">
        <v>7752</v>
      </c>
      <c r="I3812" s="636" t="s">
        <v>2179</v>
      </c>
      <c r="J3812" s="644" t="s">
        <v>642</v>
      </c>
      <c r="K3812" s="739"/>
      <c r="L3812" s="754"/>
      <c r="M3812" s="735"/>
      <c r="N3812" s="753">
        <v>4</v>
      </c>
      <c r="O3812" s="754">
        <v>6</v>
      </c>
      <c r="P3812" s="736">
        <v>32689.8</v>
      </c>
      <c r="Q3812" s="214"/>
    </row>
    <row r="3813" spans="1:17" ht="12" customHeight="1" x14ac:dyDescent="0.2">
      <c r="A3813" s="735" t="s">
        <v>7733</v>
      </c>
      <c r="B3813" s="735" t="s">
        <v>2170</v>
      </c>
      <c r="C3813" s="735" t="s">
        <v>451</v>
      </c>
      <c r="D3813" s="644" t="s">
        <v>8165</v>
      </c>
      <c r="E3813" s="736">
        <v>3500</v>
      </c>
      <c r="F3813" s="737" t="s">
        <v>9440</v>
      </c>
      <c r="G3813" s="636" t="s">
        <v>9441</v>
      </c>
      <c r="H3813" s="636"/>
      <c r="I3813" s="636"/>
      <c r="J3813" s="644" t="s">
        <v>642</v>
      </c>
      <c r="K3813" s="739"/>
      <c r="L3813" s="754"/>
      <c r="M3813" s="735"/>
      <c r="N3813" s="753">
        <v>4</v>
      </c>
      <c r="O3813" s="754">
        <v>6</v>
      </c>
      <c r="P3813" s="736">
        <v>23689.8</v>
      </c>
      <c r="Q3813" s="214"/>
    </row>
    <row r="3814" spans="1:17" ht="12" customHeight="1" x14ac:dyDescent="0.2">
      <c r="A3814" s="735" t="s">
        <v>7733</v>
      </c>
      <c r="B3814" s="735" t="s">
        <v>2170</v>
      </c>
      <c r="C3814" s="735" t="s">
        <v>451</v>
      </c>
      <c r="D3814" s="644" t="s">
        <v>7901</v>
      </c>
      <c r="E3814" s="736">
        <v>2500</v>
      </c>
      <c r="F3814" s="737" t="s">
        <v>9504</v>
      </c>
      <c r="G3814" s="636" t="s">
        <v>9505</v>
      </c>
      <c r="H3814" s="636"/>
      <c r="I3814" s="636"/>
      <c r="J3814" s="644" t="s">
        <v>644</v>
      </c>
      <c r="K3814" s="739"/>
      <c r="L3814" s="754"/>
      <c r="M3814" s="735"/>
      <c r="N3814" s="753">
        <v>4</v>
      </c>
      <c r="O3814" s="754">
        <v>6</v>
      </c>
      <c r="P3814" s="736">
        <v>17689.8</v>
      </c>
      <c r="Q3814" s="214"/>
    </row>
    <row r="3815" spans="1:17" ht="12" customHeight="1" x14ac:dyDescent="0.2">
      <c r="A3815" s="735" t="s">
        <v>7733</v>
      </c>
      <c r="B3815" s="735" t="s">
        <v>2170</v>
      </c>
      <c r="C3815" s="735" t="s">
        <v>451</v>
      </c>
      <c r="D3815" s="644" t="s">
        <v>8417</v>
      </c>
      <c r="E3815" s="736">
        <v>1400</v>
      </c>
      <c r="F3815" s="737" t="s">
        <v>9675</v>
      </c>
      <c r="G3815" s="636" t="s">
        <v>9676</v>
      </c>
      <c r="H3815" s="636" t="s">
        <v>10194</v>
      </c>
      <c r="I3815" s="636"/>
      <c r="J3815" s="644" t="s">
        <v>644</v>
      </c>
      <c r="K3815" s="739"/>
      <c r="L3815" s="754"/>
      <c r="M3815" s="735"/>
      <c r="N3815" s="753">
        <v>3</v>
      </c>
      <c r="O3815" s="754">
        <v>3</v>
      </c>
      <c r="P3815" s="736">
        <v>6312</v>
      </c>
      <c r="Q3815" s="214"/>
    </row>
    <row r="3816" spans="1:17" ht="12" customHeight="1" x14ac:dyDescent="0.2">
      <c r="A3816" s="735" t="s">
        <v>7733</v>
      </c>
      <c r="B3816" s="735" t="s">
        <v>2170</v>
      </c>
      <c r="C3816" s="735" t="s">
        <v>451</v>
      </c>
      <c r="D3816" s="644" t="s">
        <v>8185</v>
      </c>
      <c r="E3816" s="736">
        <v>4000</v>
      </c>
      <c r="F3816" s="737" t="s">
        <v>8186</v>
      </c>
      <c r="G3816" s="636" t="s">
        <v>8187</v>
      </c>
      <c r="H3816" s="636" t="s">
        <v>8000</v>
      </c>
      <c r="I3816" s="636" t="s">
        <v>2478</v>
      </c>
      <c r="J3816" s="644" t="s">
        <v>642</v>
      </c>
      <c r="K3816" s="739"/>
      <c r="L3816" s="754"/>
      <c r="M3816" s="735"/>
      <c r="N3816" s="753">
        <v>4</v>
      </c>
      <c r="O3816" s="754">
        <v>6</v>
      </c>
      <c r="P3816" s="736">
        <v>26689.8</v>
      </c>
      <c r="Q3816" s="214"/>
    </row>
    <row r="3817" spans="1:17" ht="12" customHeight="1" x14ac:dyDescent="0.2">
      <c r="A3817" s="735" t="s">
        <v>7733</v>
      </c>
      <c r="B3817" s="735" t="s">
        <v>2170</v>
      </c>
      <c r="C3817" s="735" t="s">
        <v>451</v>
      </c>
      <c r="D3817" s="644" t="s">
        <v>7965</v>
      </c>
      <c r="E3817" s="736">
        <v>4500</v>
      </c>
      <c r="F3817" s="737" t="s">
        <v>8317</v>
      </c>
      <c r="G3817" s="636" t="s">
        <v>8318</v>
      </c>
      <c r="H3817" s="636" t="s">
        <v>6571</v>
      </c>
      <c r="I3817" s="636" t="s">
        <v>2179</v>
      </c>
      <c r="J3817" s="644" t="s">
        <v>642</v>
      </c>
      <c r="K3817" s="739"/>
      <c r="L3817" s="754"/>
      <c r="M3817" s="735"/>
      <c r="N3817" s="753">
        <v>4</v>
      </c>
      <c r="O3817" s="754">
        <v>6</v>
      </c>
      <c r="P3817" s="736">
        <v>29689.8</v>
      </c>
      <c r="Q3817" s="214"/>
    </row>
    <row r="3818" spans="1:17" ht="12" customHeight="1" x14ac:dyDescent="0.2">
      <c r="A3818" s="735" t="s">
        <v>7733</v>
      </c>
      <c r="B3818" s="735" t="s">
        <v>2170</v>
      </c>
      <c r="C3818" s="735" t="s">
        <v>451</v>
      </c>
      <c r="D3818" s="644" t="s">
        <v>7921</v>
      </c>
      <c r="E3818" s="736">
        <v>4000</v>
      </c>
      <c r="F3818" s="737" t="s">
        <v>9352</v>
      </c>
      <c r="G3818" s="636" t="s">
        <v>9353</v>
      </c>
      <c r="H3818" s="636" t="s">
        <v>10235</v>
      </c>
      <c r="I3818" s="636"/>
      <c r="J3818" s="644" t="s">
        <v>642</v>
      </c>
      <c r="K3818" s="739"/>
      <c r="L3818" s="754"/>
      <c r="M3818" s="735"/>
      <c r="N3818" s="753">
        <v>6</v>
      </c>
      <c r="O3818" s="754">
        <v>6</v>
      </c>
      <c r="P3818" s="736">
        <v>26689.8</v>
      </c>
      <c r="Q3818" s="214"/>
    </row>
    <row r="3819" spans="1:17" ht="12" customHeight="1" x14ac:dyDescent="0.2">
      <c r="A3819" s="735" t="s">
        <v>7733</v>
      </c>
      <c r="B3819" s="735" t="s">
        <v>2170</v>
      </c>
      <c r="C3819" s="735" t="s">
        <v>451</v>
      </c>
      <c r="D3819" s="644" t="s">
        <v>2261</v>
      </c>
      <c r="E3819" s="736">
        <v>3000</v>
      </c>
      <c r="F3819" s="737" t="s">
        <v>9964</v>
      </c>
      <c r="G3819" s="636" t="s">
        <v>9965</v>
      </c>
      <c r="H3819" s="636" t="s">
        <v>9094</v>
      </c>
      <c r="I3819" s="636" t="s">
        <v>9966</v>
      </c>
      <c r="J3819" s="644" t="s">
        <v>644</v>
      </c>
      <c r="K3819" s="739"/>
      <c r="L3819" s="754"/>
      <c r="M3819" s="735"/>
      <c r="N3819" s="753">
        <v>6</v>
      </c>
      <c r="O3819" s="754">
        <v>6</v>
      </c>
      <c r="P3819" s="736">
        <v>20689.8</v>
      </c>
      <c r="Q3819" s="214"/>
    </row>
    <row r="3820" spans="1:17" ht="12" customHeight="1" x14ac:dyDescent="0.2">
      <c r="A3820" s="735" t="s">
        <v>7733</v>
      </c>
      <c r="B3820" s="735" t="s">
        <v>2170</v>
      </c>
      <c r="C3820" s="735" t="s">
        <v>451</v>
      </c>
      <c r="D3820" s="644" t="s">
        <v>8704</v>
      </c>
      <c r="E3820" s="736">
        <v>2200</v>
      </c>
      <c r="F3820" s="737" t="s">
        <v>8705</v>
      </c>
      <c r="G3820" s="636" t="s">
        <v>8706</v>
      </c>
      <c r="H3820" s="636" t="s">
        <v>10194</v>
      </c>
      <c r="I3820" s="636"/>
      <c r="J3820" s="644" t="s">
        <v>644</v>
      </c>
      <c r="K3820" s="739"/>
      <c r="L3820" s="754"/>
      <c r="M3820" s="735"/>
      <c r="N3820" s="753">
        <v>4</v>
      </c>
      <c r="O3820" s="754">
        <v>6</v>
      </c>
      <c r="P3820" s="736">
        <v>15889.8</v>
      </c>
      <c r="Q3820" s="214"/>
    </row>
    <row r="3821" spans="1:17" ht="12" customHeight="1" x14ac:dyDescent="0.2">
      <c r="A3821" s="735" t="s">
        <v>7733</v>
      </c>
      <c r="B3821" s="735" t="s">
        <v>2170</v>
      </c>
      <c r="C3821" s="735" t="s">
        <v>451</v>
      </c>
      <c r="D3821" s="644" t="s">
        <v>7769</v>
      </c>
      <c r="E3821" s="736">
        <v>3000</v>
      </c>
      <c r="F3821" s="737" t="s">
        <v>9386</v>
      </c>
      <c r="G3821" s="636" t="s">
        <v>9387</v>
      </c>
      <c r="H3821" s="636" t="s">
        <v>7152</v>
      </c>
      <c r="I3821" s="636" t="s">
        <v>2317</v>
      </c>
      <c r="J3821" s="644" t="s">
        <v>643</v>
      </c>
      <c r="K3821" s="739"/>
      <c r="L3821" s="754"/>
      <c r="M3821" s="735"/>
      <c r="N3821" s="753">
        <v>4</v>
      </c>
      <c r="O3821" s="754">
        <v>6</v>
      </c>
      <c r="P3821" s="736">
        <v>20689.8</v>
      </c>
      <c r="Q3821" s="214"/>
    </row>
    <row r="3822" spans="1:17" ht="12" customHeight="1" x14ac:dyDescent="0.2">
      <c r="A3822" s="735" t="s">
        <v>7733</v>
      </c>
      <c r="B3822" s="735" t="s">
        <v>2170</v>
      </c>
      <c r="C3822" s="735" t="s">
        <v>451</v>
      </c>
      <c r="D3822" s="644" t="s">
        <v>8045</v>
      </c>
      <c r="E3822" s="736">
        <v>1700</v>
      </c>
      <c r="F3822" s="737" t="s">
        <v>10158</v>
      </c>
      <c r="G3822" s="636" t="s">
        <v>10159</v>
      </c>
      <c r="H3822" s="636" t="s">
        <v>7850</v>
      </c>
      <c r="I3822" s="636" t="s">
        <v>643</v>
      </c>
      <c r="J3822" s="644" t="s">
        <v>644</v>
      </c>
      <c r="K3822" s="739"/>
      <c r="L3822" s="754"/>
      <c r="M3822" s="735"/>
      <c r="N3822" s="753">
        <v>4</v>
      </c>
      <c r="O3822" s="754">
        <v>6</v>
      </c>
      <c r="P3822" s="736">
        <v>12636</v>
      </c>
      <c r="Q3822" s="214"/>
    </row>
    <row r="3823" spans="1:17" ht="12" customHeight="1" x14ac:dyDescent="0.2">
      <c r="A3823" s="735" t="s">
        <v>7733</v>
      </c>
      <c r="B3823" s="735" t="s">
        <v>2170</v>
      </c>
      <c r="C3823" s="735" t="s">
        <v>451</v>
      </c>
      <c r="D3823" s="644" t="s">
        <v>8647</v>
      </c>
      <c r="E3823" s="736">
        <v>2300</v>
      </c>
      <c r="F3823" s="737" t="s">
        <v>8648</v>
      </c>
      <c r="G3823" s="636" t="s">
        <v>8649</v>
      </c>
      <c r="H3823" s="636"/>
      <c r="I3823" s="636"/>
      <c r="J3823" s="644" t="s">
        <v>642</v>
      </c>
      <c r="K3823" s="739"/>
      <c r="L3823" s="754"/>
      <c r="M3823" s="735"/>
      <c r="N3823" s="753">
        <v>4</v>
      </c>
      <c r="O3823" s="754">
        <v>6</v>
      </c>
      <c r="P3823" s="736">
        <v>16489.8</v>
      </c>
      <c r="Q3823" s="214"/>
    </row>
    <row r="3824" spans="1:17" ht="12" customHeight="1" x14ac:dyDescent="0.2">
      <c r="A3824" s="735" t="s">
        <v>7733</v>
      </c>
      <c r="B3824" s="735" t="s">
        <v>2170</v>
      </c>
      <c r="C3824" s="735" t="s">
        <v>451</v>
      </c>
      <c r="D3824" s="644" t="s">
        <v>8026</v>
      </c>
      <c r="E3824" s="736">
        <v>3000</v>
      </c>
      <c r="F3824" s="737" t="s">
        <v>8690</v>
      </c>
      <c r="G3824" s="636" t="s">
        <v>8691</v>
      </c>
      <c r="H3824" s="636" t="s">
        <v>7152</v>
      </c>
      <c r="I3824" s="636" t="s">
        <v>2317</v>
      </c>
      <c r="J3824" s="644" t="s">
        <v>643</v>
      </c>
      <c r="K3824" s="739"/>
      <c r="L3824" s="754"/>
      <c r="M3824" s="735"/>
      <c r="N3824" s="753">
        <v>6</v>
      </c>
      <c r="O3824" s="754">
        <v>6</v>
      </c>
      <c r="P3824" s="736">
        <v>20689.8</v>
      </c>
      <c r="Q3824" s="214"/>
    </row>
    <row r="3825" spans="1:17" ht="12" customHeight="1" x14ac:dyDescent="0.2">
      <c r="A3825" s="735" t="s">
        <v>7733</v>
      </c>
      <c r="B3825" s="735" t="s">
        <v>2170</v>
      </c>
      <c r="C3825" s="735" t="s">
        <v>451</v>
      </c>
      <c r="D3825" s="644" t="s">
        <v>2261</v>
      </c>
      <c r="E3825" s="736">
        <v>2000</v>
      </c>
      <c r="F3825" s="737" t="s">
        <v>8180</v>
      </c>
      <c r="G3825" s="636" t="s">
        <v>8181</v>
      </c>
      <c r="H3825" s="636" t="s">
        <v>6571</v>
      </c>
      <c r="I3825" s="636" t="s">
        <v>2569</v>
      </c>
      <c r="J3825" s="644" t="s">
        <v>642</v>
      </c>
      <c r="K3825" s="739"/>
      <c r="L3825" s="754"/>
      <c r="M3825" s="735"/>
      <c r="N3825" s="753">
        <v>3</v>
      </c>
      <c r="O3825" s="754">
        <v>3</v>
      </c>
      <c r="P3825" s="736">
        <v>8689.7999999999993</v>
      </c>
      <c r="Q3825" s="214"/>
    </row>
    <row r="3826" spans="1:17" ht="12" customHeight="1" x14ac:dyDescent="0.2">
      <c r="A3826" s="735" t="s">
        <v>7733</v>
      </c>
      <c r="B3826" s="735" t="s">
        <v>2170</v>
      </c>
      <c r="C3826" s="735" t="s">
        <v>451</v>
      </c>
      <c r="D3826" s="644" t="s">
        <v>2560</v>
      </c>
      <c r="E3826" s="736">
        <v>2500</v>
      </c>
      <c r="F3826" s="737" t="s">
        <v>8130</v>
      </c>
      <c r="G3826" s="636" t="s">
        <v>8131</v>
      </c>
      <c r="H3826" s="636"/>
      <c r="I3826" s="636"/>
      <c r="J3826" s="644" t="s">
        <v>642</v>
      </c>
      <c r="K3826" s="739"/>
      <c r="L3826" s="754"/>
      <c r="M3826" s="735"/>
      <c r="N3826" s="753">
        <v>4</v>
      </c>
      <c r="O3826" s="754">
        <v>6</v>
      </c>
      <c r="P3826" s="736">
        <v>17689.8</v>
      </c>
      <c r="Q3826" s="214"/>
    </row>
    <row r="3827" spans="1:17" ht="12" customHeight="1" x14ac:dyDescent="0.2">
      <c r="A3827" s="735" t="s">
        <v>7733</v>
      </c>
      <c r="B3827" s="735" t="s">
        <v>2170</v>
      </c>
      <c r="C3827" s="735" t="s">
        <v>451</v>
      </c>
      <c r="D3827" s="644" t="s">
        <v>2788</v>
      </c>
      <c r="E3827" s="736">
        <v>2300</v>
      </c>
      <c r="F3827" s="737" t="s">
        <v>10253</v>
      </c>
      <c r="G3827" s="636" t="s">
        <v>10254</v>
      </c>
      <c r="H3827" s="636"/>
      <c r="I3827" s="636"/>
      <c r="J3827" s="644" t="s">
        <v>643</v>
      </c>
      <c r="K3827" s="739"/>
      <c r="L3827" s="754"/>
      <c r="M3827" s="735"/>
      <c r="N3827" s="753">
        <v>4</v>
      </c>
      <c r="O3827" s="754">
        <v>6</v>
      </c>
      <c r="P3827" s="736">
        <v>16489.8</v>
      </c>
      <c r="Q3827" s="214"/>
    </row>
    <row r="3828" spans="1:17" ht="12" customHeight="1" x14ac:dyDescent="0.2">
      <c r="A3828" s="735" t="s">
        <v>7733</v>
      </c>
      <c r="B3828" s="735" t="s">
        <v>2170</v>
      </c>
      <c r="C3828" s="735" t="s">
        <v>451</v>
      </c>
      <c r="D3828" s="644" t="s">
        <v>8298</v>
      </c>
      <c r="E3828" s="736">
        <v>1200</v>
      </c>
      <c r="F3828" s="737" t="s">
        <v>9886</v>
      </c>
      <c r="G3828" s="636" t="s">
        <v>9887</v>
      </c>
      <c r="H3828" s="636"/>
      <c r="I3828" s="636"/>
      <c r="J3828" s="644" t="s">
        <v>644</v>
      </c>
      <c r="K3828" s="739"/>
      <c r="L3828" s="754"/>
      <c r="M3828" s="735"/>
      <c r="N3828" s="753">
        <v>4</v>
      </c>
      <c r="O3828" s="754">
        <v>6</v>
      </c>
      <c r="P3828" s="736">
        <v>9096</v>
      </c>
      <c r="Q3828" s="214"/>
    </row>
    <row r="3829" spans="1:17" ht="12" customHeight="1" x14ac:dyDescent="0.2">
      <c r="A3829" s="735" t="s">
        <v>7733</v>
      </c>
      <c r="B3829" s="735" t="s">
        <v>2170</v>
      </c>
      <c r="C3829" s="735" t="s">
        <v>451</v>
      </c>
      <c r="D3829" s="644" t="s">
        <v>8995</v>
      </c>
      <c r="E3829" s="736">
        <v>4000</v>
      </c>
      <c r="F3829" s="737" t="s">
        <v>9063</v>
      </c>
      <c r="G3829" s="636" t="s">
        <v>9064</v>
      </c>
      <c r="H3829" s="636"/>
      <c r="I3829" s="636"/>
      <c r="J3829" s="644" t="s">
        <v>642</v>
      </c>
      <c r="K3829" s="739"/>
      <c r="L3829" s="754"/>
      <c r="M3829" s="735"/>
      <c r="N3829" s="753">
        <v>4</v>
      </c>
      <c r="O3829" s="754">
        <v>6</v>
      </c>
      <c r="P3829" s="736">
        <v>26689.8</v>
      </c>
      <c r="Q3829" s="214"/>
    </row>
    <row r="3830" spans="1:17" ht="12" customHeight="1" x14ac:dyDescent="0.2">
      <c r="A3830" s="735" t="s">
        <v>7733</v>
      </c>
      <c r="B3830" s="735" t="s">
        <v>2170</v>
      </c>
      <c r="C3830" s="735" t="s">
        <v>451</v>
      </c>
      <c r="D3830" s="644" t="s">
        <v>7843</v>
      </c>
      <c r="E3830" s="736">
        <v>4000</v>
      </c>
      <c r="F3830" s="737" t="s">
        <v>9574</v>
      </c>
      <c r="G3830" s="636" t="s">
        <v>9575</v>
      </c>
      <c r="H3830" s="636" t="s">
        <v>6571</v>
      </c>
      <c r="I3830" s="636" t="s">
        <v>2179</v>
      </c>
      <c r="J3830" s="644" t="s">
        <v>642</v>
      </c>
      <c r="K3830" s="739"/>
      <c r="L3830" s="754"/>
      <c r="M3830" s="735"/>
      <c r="N3830" s="753">
        <v>4</v>
      </c>
      <c r="O3830" s="754">
        <v>6</v>
      </c>
      <c r="P3830" s="736">
        <v>26689.8</v>
      </c>
      <c r="Q3830" s="214"/>
    </row>
    <row r="3831" spans="1:17" ht="12" customHeight="1" x14ac:dyDescent="0.2">
      <c r="A3831" s="735" t="s">
        <v>7733</v>
      </c>
      <c r="B3831" s="735" t="s">
        <v>2170</v>
      </c>
      <c r="C3831" s="735" t="s">
        <v>451</v>
      </c>
      <c r="D3831" s="644" t="s">
        <v>8791</v>
      </c>
      <c r="E3831" s="736">
        <v>2500</v>
      </c>
      <c r="F3831" s="737" t="s">
        <v>9176</v>
      </c>
      <c r="G3831" s="636" t="s">
        <v>9177</v>
      </c>
      <c r="H3831" s="636" t="s">
        <v>6778</v>
      </c>
      <c r="I3831" s="636" t="s">
        <v>3760</v>
      </c>
      <c r="J3831" s="644" t="s">
        <v>643</v>
      </c>
      <c r="K3831" s="739"/>
      <c r="L3831" s="754"/>
      <c r="M3831" s="735"/>
      <c r="N3831" s="753">
        <v>5</v>
      </c>
      <c r="O3831" s="754">
        <v>6</v>
      </c>
      <c r="P3831" s="736">
        <v>17689.8</v>
      </c>
      <c r="Q3831" s="214"/>
    </row>
    <row r="3832" spans="1:17" ht="12" customHeight="1" x14ac:dyDescent="0.2">
      <c r="A3832" s="735" t="s">
        <v>7733</v>
      </c>
      <c r="B3832" s="735" t="s">
        <v>2170</v>
      </c>
      <c r="C3832" s="735" t="s">
        <v>451</v>
      </c>
      <c r="D3832" s="644" t="s">
        <v>8172</v>
      </c>
      <c r="E3832" s="736">
        <v>3500</v>
      </c>
      <c r="F3832" s="737" t="s">
        <v>8670</v>
      </c>
      <c r="G3832" s="636" t="s">
        <v>8671</v>
      </c>
      <c r="H3832" s="636"/>
      <c r="I3832" s="636"/>
      <c r="J3832" s="644" t="s">
        <v>642</v>
      </c>
      <c r="K3832" s="739"/>
      <c r="L3832" s="754"/>
      <c r="M3832" s="735"/>
      <c r="N3832" s="753">
        <v>4</v>
      </c>
      <c r="O3832" s="754">
        <v>6</v>
      </c>
      <c r="P3832" s="736">
        <v>23689.8</v>
      </c>
      <c r="Q3832" s="214"/>
    </row>
    <row r="3833" spans="1:17" ht="12" customHeight="1" x14ac:dyDescent="0.2">
      <c r="A3833" s="735" t="s">
        <v>7733</v>
      </c>
      <c r="B3833" s="735" t="s">
        <v>2170</v>
      </c>
      <c r="C3833" s="735" t="s">
        <v>451</v>
      </c>
      <c r="D3833" s="644" t="s">
        <v>7831</v>
      </c>
      <c r="E3833" s="736">
        <v>1600</v>
      </c>
      <c r="F3833" s="737" t="s">
        <v>9414</v>
      </c>
      <c r="G3833" s="636" t="s">
        <v>9415</v>
      </c>
      <c r="H3833" s="636"/>
      <c r="I3833" s="636"/>
      <c r="J3833" s="644" t="s">
        <v>644</v>
      </c>
      <c r="K3833" s="739"/>
      <c r="L3833" s="754"/>
      <c r="M3833" s="735"/>
      <c r="N3833" s="753">
        <v>4</v>
      </c>
      <c r="O3833" s="754">
        <v>6</v>
      </c>
      <c r="P3833" s="736">
        <v>11928</v>
      </c>
      <c r="Q3833" s="214"/>
    </row>
    <row r="3834" spans="1:17" ht="12" customHeight="1" x14ac:dyDescent="0.2">
      <c r="A3834" s="735" t="s">
        <v>7733</v>
      </c>
      <c r="B3834" s="735" t="s">
        <v>2170</v>
      </c>
      <c r="C3834" s="735" t="s">
        <v>451</v>
      </c>
      <c r="D3834" s="644" t="s">
        <v>7764</v>
      </c>
      <c r="E3834" s="736">
        <v>3500</v>
      </c>
      <c r="F3834" s="737" t="s">
        <v>8730</v>
      </c>
      <c r="G3834" s="636" t="s">
        <v>8731</v>
      </c>
      <c r="H3834" s="636" t="s">
        <v>6571</v>
      </c>
      <c r="I3834" s="636" t="s">
        <v>2179</v>
      </c>
      <c r="J3834" s="644" t="s">
        <v>642</v>
      </c>
      <c r="K3834" s="739"/>
      <c r="L3834" s="754"/>
      <c r="M3834" s="735"/>
      <c r="N3834" s="753">
        <v>4</v>
      </c>
      <c r="O3834" s="754">
        <v>6</v>
      </c>
      <c r="P3834" s="736">
        <v>23689.8</v>
      </c>
      <c r="Q3834" s="214"/>
    </row>
    <row r="3835" spans="1:17" ht="12" customHeight="1" x14ac:dyDescent="0.2">
      <c r="A3835" s="735" t="s">
        <v>7733</v>
      </c>
      <c r="B3835" s="735" t="s">
        <v>2170</v>
      </c>
      <c r="C3835" s="735" t="s">
        <v>451</v>
      </c>
      <c r="D3835" s="644" t="s">
        <v>9606</v>
      </c>
      <c r="E3835" s="736">
        <v>2300</v>
      </c>
      <c r="F3835" s="737" t="s">
        <v>9607</v>
      </c>
      <c r="G3835" s="636" t="s">
        <v>9608</v>
      </c>
      <c r="H3835" s="636" t="s">
        <v>3915</v>
      </c>
      <c r="I3835" s="636" t="s">
        <v>9609</v>
      </c>
      <c r="J3835" s="644" t="s">
        <v>643</v>
      </c>
      <c r="K3835" s="739"/>
      <c r="L3835" s="754"/>
      <c r="M3835" s="735"/>
      <c r="N3835" s="753">
        <v>4</v>
      </c>
      <c r="O3835" s="754">
        <v>6</v>
      </c>
      <c r="P3835" s="736">
        <v>16489.8</v>
      </c>
      <c r="Q3835" s="214"/>
    </row>
    <row r="3836" spans="1:17" ht="12" customHeight="1" x14ac:dyDescent="0.2">
      <c r="A3836" s="735" t="s">
        <v>7733</v>
      </c>
      <c r="B3836" s="735" t="s">
        <v>2170</v>
      </c>
      <c r="C3836" s="735" t="s">
        <v>451</v>
      </c>
      <c r="D3836" s="644" t="s">
        <v>8889</v>
      </c>
      <c r="E3836" s="736">
        <v>6000</v>
      </c>
      <c r="F3836" s="737" t="s">
        <v>9215</v>
      </c>
      <c r="G3836" s="636" t="s">
        <v>9216</v>
      </c>
      <c r="H3836" s="636" t="s">
        <v>6571</v>
      </c>
      <c r="I3836" s="636" t="s">
        <v>2179</v>
      </c>
      <c r="J3836" s="644" t="s">
        <v>642</v>
      </c>
      <c r="K3836" s="739"/>
      <c r="L3836" s="754"/>
      <c r="M3836" s="735"/>
      <c r="N3836" s="753">
        <v>1</v>
      </c>
      <c r="O3836" s="754">
        <v>1</v>
      </c>
      <c r="P3836" s="736">
        <v>8689.7999999999993</v>
      </c>
      <c r="Q3836" s="214"/>
    </row>
    <row r="3837" spans="1:17" ht="12" customHeight="1" x14ac:dyDescent="0.2">
      <c r="A3837" s="735" t="s">
        <v>7733</v>
      </c>
      <c r="B3837" s="735" t="s">
        <v>2170</v>
      </c>
      <c r="C3837" s="735" t="s">
        <v>451</v>
      </c>
      <c r="D3837" s="644" t="s">
        <v>8360</v>
      </c>
      <c r="E3837" s="736">
        <v>3500</v>
      </c>
      <c r="F3837" s="737" t="s">
        <v>8843</v>
      </c>
      <c r="G3837" s="636" t="s">
        <v>8844</v>
      </c>
      <c r="H3837" s="636"/>
      <c r="I3837" s="636"/>
      <c r="J3837" s="644" t="s">
        <v>642</v>
      </c>
      <c r="K3837" s="739"/>
      <c r="L3837" s="754"/>
      <c r="M3837" s="735"/>
      <c r="N3837" s="753">
        <v>2</v>
      </c>
      <c r="O3837" s="754">
        <v>2</v>
      </c>
      <c r="P3837" s="736">
        <v>9689.7999999999993</v>
      </c>
      <c r="Q3837" s="214"/>
    </row>
    <row r="3838" spans="1:17" ht="12" customHeight="1" x14ac:dyDescent="0.2">
      <c r="A3838" s="735" t="s">
        <v>7733</v>
      </c>
      <c r="B3838" s="735" t="s">
        <v>2170</v>
      </c>
      <c r="C3838" s="735" t="s">
        <v>451</v>
      </c>
      <c r="D3838" s="644" t="s">
        <v>4428</v>
      </c>
      <c r="E3838" s="736">
        <v>4500</v>
      </c>
      <c r="F3838" s="737" t="s">
        <v>7963</v>
      </c>
      <c r="G3838" s="636" t="s">
        <v>7964</v>
      </c>
      <c r="H3838" s="636"/>
      <c r="I3838" s="636"/>
      <c r="J3838" s="644" t="s">
        <v>642</v>
      </c>
      <c r="K3838" s="739"/>
      <c r="L3838" s="754"/>
      <c r="M3838" s="735"/>
      <c r="N3838" s="753">
        <v>4</v>
      </c>
      <c r="O3838" s="754">
        <v>6</v>
      </c>
      <c r="P3838" s="736">
        <v>29689.8</v>
      </c>
      <c r="Q3838" s="214"/>
    </row>
    <row r="3839" spans="1:17" ht="12" customHeight="1" x14ac:dyDescent="0.2">
      <c r="A3839" s="735" t="s">
        <v>7733</v>
      </c>
      <c r="B3839" s="735" t="s">
        <v>2170</v>
      </c>
      <c r="C3839" s="735" t="s">
        <v>451</v>
      </c>
      <c r="D3839" s="644" t="s">
        <v>5538</v>
      </c>
      <c r="E3839" s="736">
        <v>5000</v>
      </c>
      <c r="F3839" s="737" t="s">
        <v>8382</v>
      </c>
      <c r="G3839" s="636" t="s">
        <v>8383</v>
      </c>
      <c r="H3839" s="636" t="s">
        <v>6778</v>
      </c>
      <c r="I3839" s="636" t="s">
        <v>2174</v>
      </c>
      <c r="J3839" s="644" t="s">
        <v>642</v>
      </c>
      <c r="K3839" s="739"/>
      <c r="L3839" s="754"/>
      <c r="M3839" s="735"/>
      <c r="N3839" s="753">
        <v>3</v>
      </c>
      <c r="O3839" s="754">
        <v>6</v>
      </c>
      <c r="P3839" s="736">
        <v>32689.8</v>
      </c>
      <c r="Q3839" s="214"/>
    </row>
    <row r="3840" spans="1:17" ht="12" customHeight="1" x14ac:dyDescent="0.2">
      <c r="A3840" s="735" t="s">
        <v>7733</v>
      </c>
      <c r="B3840" s="735" t="s">
        <v>2170</v>
      </c>
      <c r="C3840" s="735" t="s">
        <v>451</v>
      </c>
      <c r="D3840" s="644" t="s">
        <v>7985</v>
      </c>
      <c r="E3840" s="736">
        <v>2300</v>
      </c>
      <c r="F3840" s="737" t="s">
        <v>7986</v>
      </c>
      <c r="G3840" s="636" t="s">
        <v>7987</v>
      </c>
      <c r="H3840" s="636" t="s">
        <v>7816</v>
      </c>
      <c r="I3840" s="636" t="s">
        <v>2543</v>
      </c>
      <c r="J3840" s="644" t="s">
        <v>643</v>
      </c>
      <c r="K3840" s="739"/>
      <c r="L3840" s="754"/>
      <c r="M3840" s="735"/>
      <c r="N3840" s="753">
        <v>4</v>
      </c>
      <c r="O3840" s="754">
        <v>6</v>
      </c>
      <c r="P3840" s="736">
        <v>16489.8</v>
      </c>
      <c r="Q3840" s="214"/>
    </row>
    <row r="3841" spans="1:17" ht="12" customHeight="1" x14ac:dyDescent="0.2">
      <c r="A3841" s="735" t="s">
        <v>7733</v>
      </c>
      <c r="B3841" s="735" t="s">
        <v>2170</v>
      </c>
      <c r="C3841" s="735" t="s">
        <v>451</v>
      </c>
      <c r="D3841" s="644" t="s">
        <v>7786</v>
      </c>
      <c r="E3841" s="736">
        <v>4000</v>
      </c>
      <c r="F3841" s="737" t="s">
        <v>9739</v>
      </c>
      <c r="G3841" s="636" t="s">
        <v>9740</v>
      </c>
      <c r="H3841" s="636" t="s">
        <v>7752</v>
      </c>
      <c r="I3841" s="636" t="s">
        <v>2179</v>
      </c>
      <c r="J3841" s="644" t="s">
        <v>642</v>
      </c>
      <c r="K3841" s="739"/>
      <c r="L3841" s="754"/>
      <c r="M3841" s="735"/>
      <c r="N3841" s="753">
        <v>5</v>
      </c>
      <c r="O3841" s="754">
        <v>6</v>
      </c>
      <c r="P3841" s="736">
        <v>26689.8</v>
      </c>
      <c r="Q3841" s="214"/>
    </row>
    <row r="3842" spans="1:17" ht="12" customHeight="1" x14ac:dyDescent="0.2">
      <c r="A3842" s="735" t="s">
        <v>7733</v>
      </c>
      <c r="B3842" s="735" t="s">
        <v>2170</v>
      </c>
      <c r="C3842" s="735" t="s">
        <v>451</v>
      </c>
      <c r="D3842" s="644" t="s">
        <v>8995</v>
      </c>
      <c r="E3842" s="736">
        <v>4000</v>
      </c>
      <c r="F3842" s="737" t="s">
        <v>9500</v>
      </c>
      <c r="G3842" s="636" t="s">
        <v>9501</v>
      </c>
      <c r="H3842" s="636"/>
      <c r="I3842" s="636"/>
      <c r="J3842" s="644" t="s">
        <v>642</v>
      </c>
      <c r="K3842" s="739"/>
      <c r="L3842" s="754"/>
      <c r="M3842" s="735"/>
      <c r="N3842" s="753">
        <v>6</v>
      </c>
      <c r="O3842" s="754">
        <v>6</v>
      </c>
      <c r="P3842" s="736">
        <v>26689.8</v>
      </c>
      <c r="Q3842" s="214"/>
    </row>
    <row r="3843" spans="1:17" ht="12" customHeight="1" x14ac:dyDescent="0.2">
      <c r="A3843" s="735" t="s">
        <v>7733</v>
      </c>
      <c r="B3843" s="735" t="s">
        <v>2170</v>
      </c>
      <c r="C3843" s="735" t="s">
        <v>451</v>
      </c>
      <c r="D3843" s="644" t="s">
        <v>7921</v>
      </c>
      <c r="E3843" s="736">
        <v>4000</v>
      </c>
      <c r="F3843" s="737" t="s">
        <v>8333</v>
      </c>
      <c r="G3843" s="636" t="s">
        <v>8334</v>
      </c>
      <c r="H3843" s="636" t="s">
        <v>7782</v>
      </c>
      <c r="I3843" s="636" t="s">
        <v>2208</v>
      </c>
      <c r="J3843" s="644" t="s">
        <v>642</v>
      </c>
      <c r="K3843" s="739"/>
      <c r="L3843" s="754"/>
      <c r="M3843" s="735"/>
      <c r="N3843" s="753">
        <v>4</v>
      </c>
      <c r="O3843" s="754">
        <v>6</v>
      </c>
      <c r="P3843" s="736">
        <v>26689.8</v>
      </c>
      <c r="Q3843" s="214"/>
    </row>
    <row r="3844" spans="1:17" ht="12" customHeight="1" x14ac:dyDescent="0.2">
      <c r="A3844" s="735" t="s">
        <v>7733</v>
      </c>
      <c r="B3844" s="735" t="s">
        <v>2170</v>
      </c>
      <c r="C3844" s="735" t="s">
        <v>451</v>
      </c>
      <c r="D3844" s="644" t="s">
        <v>8360</v>
      </c>
      <c r="E3844" s="736">
        <v>3500</v>
      </c>
      <c r="F3844" s="737" t="s">
        <v>8947</v>
      </c>
      <c r="G3844" s="636" t="s">
        <v>8948</v>
      </c>
      <c r="H3844" s="636"/>
      <c r="I3844" s="636"/>
      <c r="J3844" s="644" t="s">
        <v>642</v>
      </c>
      <c r="K3844" s="739"/>
      <c r="L3844" s="754"/>
      <c r="M3844" s="735"/>
      <c r="N3844" s="753">
        <v>4</v>
      </c>
      <c r="O3844" s="754">
        <v>6</v>
      </c>
      <c r="P3844" s="736">
        <v>23689.8</v>
      </c>
      <c r="Q3844" s="214"/>
    </row>
    <row r="3845" spans="1:17" ht="12" customHeight="1" x14ac:dyDescent="0.2">
      <c r="A3845" s="735" t="s">
        <v>7733</v>
      </c>
      <c r="B3845" s="735" t="s">
        <v>2170</v>
      </c>
      <c r="C3845" s="735" t="s">
        <v>451</v>
      </c>
      <c r="D3845" s="644" t="s">
        <v>8114</v>
      </c>
      <c r="E3845" s="736">
        <v>2800</v>
      </c>
      <c r="F3845" s="737" t="s">
        <v>8518</v>
      </c>
      <c r="G3845" s="636" t="s">
        <v>8519</v>
      </c>
      <c r="H3845" s="636" t="s">
        <v>3754</v>
      </c>
      <c r="I3845" s="636" t="s">
        <v>2979</v>
      </c>
      <c r="J3845" s="644" t="s">
        <v>643</v>
      </c>
      <c r="K3845" s="739"/>
      <c r="L3845" s="754"/>
      <c r="M3845" s="735"/>
      <c r="N3845" s="753">
        <v>4</v>
      </c>
      <c r="O3845" s="754">
        <v>6</v>
      </c>
      <c r="P3845" s="736">
        <v>19489.8</v>
      </c>
      <c r="Q3845" s="214"/>
    </row>
    <row r="3846" spans="1:17" ht="12" customHeight="1" x14ac:dyDescent="0.2">
      <c r="A3846" s="735" t="s">
        <v>7733</v>
      </c>
      <c r="B3846" s="735" t="s">
        <v>2170</v>
      </c>
      <c r="C3846" s="735" t="s">
        <v>451</v>
      </c>
      <c r="D3846" s="644" t="s">
        <v>8554</v>
      </c>
      <c r="E3846" s="736">
        <v>3500</v>
      </c>
      <c r="F3846" s="737" t="s">
        <v>8555</v>
      </c>
      <c r="G3846" s="636" t="s">
        <v>8556</v>
      </c>
      <c r="H3846" s="636" t="s">
        <v>7752</v>
      </c>
      <c r="I3846" s="636" t="s">
        <v>2766</v>
      </c>
      <c r="J3846" s="644" t="s">
        <v>642</v>
      </c>
      <c r="K3846" s="739"/>
      <c r="L3846" s="754"/>
      <c r="M3846" s="735"/>
      <c r="N3846" s="753">
        <v>4</v>
      </c>
      <c r="O3846" s="754">
        <v>6</v>
      </c>
      <c r="P3846" s="736">
        <v>23689.8</v>
      </c>
      <c r="Q3846" s="214"/>
    </row>
    <row r="3847" spans="1:17" ht="12" customHeight="1" x14ac:dyDescent="0.2">
      <c r="A3847" s="735" t="s">
        <v>7733</v>
      </c>
      <c r="B3847" s="735" t="s">
        <v>2170</v>
      </c>
      <c r="C3847" s="735" t="s">
        <v>451</v>
      </c>
      <c r="D3847" s="644" t="s">
        <v>8367</v>
      </c>
      <c r="E3847" s="736">
        <v>2300</v>
      </c>
      <c r="F3847" s="737" t="s">
        <v>8368</v>
      </c>
      <c r="G3847" s="636" t="s">
        <v>8369</v>
      </c>
      <c r="H3847" s="636" t="s">
        <v>8370</v>
      </c>
      <c r="I3847" s="636" t="s">
        <v>8135</v>
      </c>
      <c r="J3847" s="644" t="s">
        <v>643</v>
      </c>
      <c r="K3847" s="739"/>
      <c r="L3847" s="754"/>
      <c r="M3847" s="735"/>
      <c r="N3847" s="753">
        <v>4</v>
      </c>
      <c r="O3847" s="754">
        <v>6</v>
      </c>
      <c r="P3847" s="736">
        <v>16489.8</v>
      </c>
      <c r="Q3847" s="214"/>
    </row>
    <row r="3848" spans="1:17" ht="12" customHeight="1" x14ac:dyDescent="0.2">
      <c r="A3848" s="735" t="s">
        <v>7733</v>
      </c>
      <c r="B3848" s="735" t="s">
        <v>2170</v>
      </c>
      <c r="C3848" s="735" t="s">
        <v>451</v>
      </c>
      <c r="D3848" s="644" t="s">
        <v>7755</v>
      </c>
      <c r="E3848" s="736">
        <v>2500</v>
      </c>
      <c r="F3848" s="737" t="s">
        <v>10211</v>
      </c>
      <c r="G3848" s="636" t="s">
        <v>10212</v>
      </c>
      <c r="H3848" s="636" t="s">
        <v>7900</v>
      </c>
      <c r="I3848" s="636"/>
      <c r="J3848" s="644" t="s">
        <v>643</v>
      </c>
      <c r="K3848" s="739"/>
      <c r="L3848" s="754"/>
      <c r="M3848" s="735"/>
      <c r="N3848" s="753">
        <v>4</v>
      </c>
      <c r="O3848" s="754">
        <v>6</v>
      </c>
      <c r="P3848" s="736">
        <v>17689.8</v>
      </c>
      <c r="Q3848" s="214"/>
    </row>
    <row r="3849" spans="1:17" ht="12" customHeight="1" x14ac:dyDescent="0.2">
      <c r="A3849" s="735" t="s">
        <v>7733</v>
      </c>
      <c r="B3849" s="735" t="s">
        <v>2170</v>
      </c>
      <c r="C3849" s="735" t="s">
        <v>451</v>
      </c>
      <c r="D3849" s="644" t="s">
        <v>7855</v>
      </c>
      <c r="E3849" s="736">
        <v>2200</v>
      </c>
      <c r="F3849" s="737" t="s">
        <v>9929</v>
      </c>
      <c r="G3849" s="636" t="s">
        <v>9930</v>
      </c>
      <c r="H3849" s="636" t="s">
        <v>7152</v>
      </c>
      <c r="I3849" s="636" t="s">
        <v>8036</v>
      </c>
      <c r="J3849" s="644" t="s">
        <v>644</v>
      </c>
      <c r="K3849" s="739"/>
      <c r="L3849" s="754"/>
      <c r="M3849" s="735"/>
      <c r="N3849" s="753">
        <v>4</v>
      </c>
      <c r="O3849" s="754">
        <v>6</v>
      </c>
      <c r="P3849" s="736">
        <v>15889.8</v>
      </c>
      <c r="Q3849" s="214"/>
    </row>
    <row r="3850" spans="1:17" ht="12" customHeight="1" x14ac:dyDescent="0.2">
      <c r="A3850" s="735" t="s">
        <v>7733</v>
      </c>
      <c r="B3850" s="735" t="s">
        <v>2170</v>
      </c>
      <c r="C3850" s="735" t="s">
        <v>451</v>
      </c>
      <c r="D3850" s="644" t="s">
        <v>5856</v>
      </c>
      <c r="E3850" s="736">
        <v>4000</v>
      </c>
      <c r="F3850" s="737" t="s">
        <v>10013</v>
      </c>
      <c r="G3850" s="636" t="s">
        <v>10014</v>
      </c>
      <c r="H3850" s="636" t="s">
        <v>6633</v>
      </c>
      <c r="I3850" s="636" t="s">
        <v>2536</v>
      </c>
      <c r="J3850" s="644" t="s">
        <v>642</v>
      </c>
      <c r="K3850" s="739"/>
      <c r="L3850" s="754"/>
      <c r="M3850" s="735"/>
      <c r="N3850" s="753">
        <v>3</v>
      </c>
      <c r="O3850" s="754">
        <v>6</v>
      </c>
      <c r="P3850" s="736">
        <v>26689.8</v>
      </c>
      <c r="Q3850" s="214"/>
    </row>
    <row r="3851" spans="1:17" ht="12" customHeight="1" x14ac:dyDescent="0.2">
      <c r="A3851" s="735" t="s">
        <v>7733</v>
      </c>
      <c r="B3851" s="735" t="s">
        <v>2170</v>
      </c>
      <c r="C3851" s="735" t="s">
        <v>451</v>
      </c>
      <c r="D3851" s="644" t="s">
        <v>9206</v>
      </c>
      <c r="E3851" s="736">
        <v>5000</v>
      </c>
      <c r="F3851" s="737" t="s">
        <v>9207</v>
      </c>
      <c r="G3851" s="636" t="s">
        <v>9208</v>
      </c>
      <c r="H3851" s="636" t="s">
        <v>6571</v>
      </c>
      <c r="I3851" s="636" t="s">
        <v>2179</v>
      </c>
      <c r="J3851" s="644" t="s">
        <v>642</v>
      </c>
      <c r="K3851" s="739"/>
      <c r="L3851" s="754"/>
      <c r="M3851" s="735"/>
      <c r="N3851" s="753">
        <v>4</v>
      </c>
      <c r="O3851" s="754">
        <v>6</v>
      </c>
      <c r="P3851" s="736">
        <v>32689.8</v>
      </c>
      <c r="Q3851" s="214"/>
    </row>
    <row r="3852" spans="1:17" ht="12" customHeight="1" x14ac:dyDescent="0.2">
      <c r="A3852" s="735" t="s">
        <v>7733</v>
      </c>
      <c r="B3852" s="735" t="s">
        <v>2170</v>
      </c>
      <c r="C3852" s="735" t="s">
        <v>451</v>
      </c>
      <c r="D3852" s="644" t="s">
        <v>8889</v>
      </c>
      <c r="E3852" s="736">
        <v>6000</v>
      </c>
      <c r="F3852" s="737" t="s">
        <v>9354</v>
      </c>
      <c r="G3852" s="636" t="s">
        <v>9355</v>
      </c>
      <c r="H3852" s="636" t="s">
        <v>3915</v>
      </c>
      <c r="I3852" s="636" t="s">
        <v>6668</v>
      </c>
      <c r="J3852" s="644" t="s">
        <v>642</v>
      </c>
      <c r="K3852" s="739"/>
      <c r="L3852" s="754"/>
      <c r="M3852" s="735"/>
      <c r="N3852" s="753">
        <v>3</v>
      </c>
      <c r="O3852" s="754">
        <v>5</v>
      </c>
      <c r="P3852" s="736">
        <v>32689.8</v>
      </c>
      <c r="Q3852" s="214"/>
    </row>
    <row r="3853" spans="1:17" ht="12" customHeight="1" x14ac:dyDescent="0.2">
      <c r="A3853" s="735" t="s">
        <v>7733</v>
      </c>
      <c r="B3853" s="735" t="s">
        <v>2170</v>
      </c>
      <c r="C3853" s="735" t="s">
        <v>451</v>
      </c>
      <c r="D3853" s="644" t="s">
        <v>2772</v>
      </c>
      <c r="E3853" s="736">
        <v>3500</v>
      </c>
      <c r="F3853" s="737" t="s">
        <v>8110</v>
      </c>
      <c r="G3853" s="636" t="s">
        <v>8111</v>
      </c>
      <c r="H3853" s="636" t="s">
        <v>6571</v>
      </c>
      <c r="I3853" s="636" t="s">
        <v>8036</v>
      </c>
      <c r="J3853" s="644" t="s">
        <v>642</v>
      </c>
      <c r="K3853" s="739"/>
      <c r="L3853" s="754"/>
      <c r="M3853" s="735"/>
      <c r="N3853" s="753">
        <v>6</v>
      </c>
      <c r="O3853" s="754">
        <v>6</v>
      </c>
      <c r="P3853" s="736">
        <v>23689.8</v>
      </c>
      <c r="Q3853" s="214"/>
    </row>
    <row r="3854" spans="1:17" ht="12" customHeight="1" x14ac:dyDescent="0.2">
      <c r="A3854" s="735" t="s">
        <v>7733</v>
      </c>
      <c r="B3854" s="735" t="s">
        <v>2170</v>
      </c>
      <c r="C3854" s="735" t="s">
        <v>451</v>
      </c>
      <c r="D3854" s="644" t="s">
        <v>2788</v>
      </c>
      <c r="E3854" s="736">
        <v>1800</v>
      </c>
      <c r="F3854" s="737" t="s">
        <v>8909</v>
      </c>
      <c r="G3854" s="636" t="s">
        <v>8910</v>
      </c>
      <c r="H3854" s="636"/>
      <c r="I3854" s="636"/>
      <c r="J3854" s="644" t="s">
        <v>643</v>
      </c>
      <c r="K3854" s="739"/>
      <c r="L3854" s="754"/>
      <c r="M3854" s="735"/>
      <c r="N3854" s="753">
        <v>3</v>
      </c>
      <c r="O3854" s="754">
        <v>2</v>
      </c>
      <c r="P3854" s="736">
        <v>6144</v>
      </c>
      <c r="Q3854" s="214"/>
    </row>
    <row r="3855" spans="1:17" ht="12" customHeight="1" x14ac:dyDescent="0.2">
      <c r="A3855" s="735" t="s">
        <v>7733</v>
      </c>
      <c r="B3855" s="735" t="s">
        <v>2170</v>
      </c>
      <c r="C3855" s="735" t="s">
        <v>451</v>
      </c>
      <c r="D3855" s="644" t="s">
        <v>7755</v>
      </c>
      <c r="E3855" s="736">
        <v>2500</v>
      </c>
      <c r="F3855" s="737" t="s">
        <v>9748</v>
      </c>
      <c r="G3855" s="636" t="s">
        <v>9749</v>
      </c>
      <c r="H3855" s="636"/>
      <c r="I3855" s="636"/>
      <c r="J3855" s="644" t="s">
        <v>642</v>
      </c>
      <c r="K3855" s="739"/>
      <c r="L3855" s="754"/>
      <c r="M3855" s="735"/>
      <c r="N3855" s="753">
        <v>4</v>
      </c>
      <c r="O3855" s="754">
        <v>6</v>
      </c>
      <c r="P3855" s="736">
        <v>17689.8</v>
      </c>
      <c r="Q3855" s="214"/>
    </row>
    <row r="3856" spans="1:17" ht="12" customHeight="1" x14ac:dyDescent="0.2">
      <c r="A3856" s="735" t="s">
        <v>7733</v>
      </c>
      <c r="B3856" s="735" t="s">
        <v>2170</v>
      </c>
      <c r="C3856" s="735" t="s">
        <v>451</v>
      </c>
      <c r="D3856" s="644" t="s">
        <v>9372</v>
      </c>
      <c r="E3856" s="736">
        <v>6000</v>
      </c>
      <c r="F3856" s="737" t="s">
        <v>10213</v>
      </c>
      <c r="G3856" s="636" t="s">
        <v>10214</v>
      </c>
      <c r="H3856" s="636" t="s">
        <v>6571</v>
      </c>
      <c r="I3856" s="636"/>
      <c r="J3856" s="644"/>
      <c r="K3856" s="739"/>
      <c r="L3856" s="754"/>
      <c r="M3856" s="735"/>
      <c r="N3856" s="753">
        <v>2</v>
      </c>
      <c r="O3856" s="754">
        <v>4</v>
      </c>
      <c r="P3856" s="736">
        <v>26689.8</v>
      </c>
      <c r="Q3856" s="214"/>
    </row>
    <row r="3857" spans="1:17" ht="12" customHeight="1" x14ac:dyDescent="0.2">
      <c r="A3857" s="735" t="s">
        <v>7733</v>
      </c>
      <c r="B3857" s="735" t="s">
        <v>2170</v>
      </c>
      <c r="C3857" s="735" t="s">
        <v>451</v>
      </c>
      <c r="D3857" s="644" t="s">
        <v>7965</v>
      </c>
      <c r="E3857" s="736">
        <v>4000</v>
      </c>
      <c r="F3857" s="737" t="s">
        <v>9971</v>
      </c>
      <c r="G3857" s="636" t="s">
        <v>9972</v>
      </c>
      <c r="H3857" s="636" t="s">
        <v>6571</v>
      </c>
      <c r="I3857" s="636" t="s">
        <v>2179</v>
      </c>
      <c r="J3857" s="644" t="s">
        <v>642</v>
      </c>
      <c r="K3857" s="739"/>
      <c r="L3857" s="754"/>
      <c r="M3857" s="735"/>
      <c r="N3857" s="753">
        <v>4</v>
      </c>
      <c r="O3857" s="754">
        <v>6</v>
      </c>
      <c r="P3857" s="736">
        <v>26689.8</v>
      </c>
      <c r="Q3857" s="214"/>
    </row>
    <row r="3858" spans="1:17" ht="12" customHeight="1" x14ac:dyDescent="0.2">
      <c r="A3858" s="735" t="s">
        <v>7733</v>
      </c>
      <c r="B3858" s="735" t="s">
        <v>2170</v>
      </c>
      <c r="C3858" s="735" t="s">
        <v>451</v>
      </c>
      <c r="D3858" s="644" t="s">
        <v>7957</v>
      </c>
      <c r="E3858" s="736">
        <v>4000</v>
      </c>
      <c r="F3858" s="737" t="s">
        <v>7958</v>
      </c>
      <c r="G3858" s="636" t="s">
        <v>7959</v>
      </c>
      <c r="H3858" s="636" t="s">
        <v>6571</v>
      </c>
      <c r="I3858" s="636" t="s">
        <v>2179</v>
      </c>
      <c r="J3858" s="644" t="s">
        <v>642</v>
      </c>
      <c r="K3858" s="739"/>
      <c r="L3858" s="754"/>
      <c r="M3858" s="735"/>
      <c r="N3858" s="753">
        <v>4</v>
      </c>
      <c r="O3858" s="754">
        <v>6</v>
      </c>
      <c r="P3858" s="736">
        <v>26689.8</v>
      </c>
      <c r="Q3858" s="214"/>
    </row>
    <row r="3859" spans="1:17" ht="12" customHeight="1" x14ac:dyDescent="0.2">
      <c r="A3859" s="735" t="s">
        <v>7733</v>
      </c>
      <c r="B3859" s="735" t="s">
        <v>2170</v>
      </c>
      <c r="C3859" s="735" t="s">
        <v>451</v>
      </c>
      <c r="D3859" s="644" t="s">
        <v>2788</v>
      </c>
      <c r="E3859" s="736">
        <v>1600</v>
      </c>
      <c r="F3859" s="737" t="s">
        <v>9055</v>
      </c>
      <c r="G3859" s="636" t="s">
        <v>9056</v>
      </c>
      <c r="H3859" s="636" t="s">
        <v>6571</v>
      </c>
      <c r="I3859" s="636" t="s">
        <v>8036</v>
      </c>
      <c r="J3859" s="644" t="s">
        <v>643</v>
      </c>
      <c r="K3859" s="739"/>
      <c r="L3859" s="754"/>
      <c r="M3859" s="735"/>
      <c r="N3859" s="753">
        <v>4</v>
      </c>
      <c r="O3859" s="754">
        <v>6</v>
      </c>
      <c r="P3859" s="736">
        <v>11928</v>
      </c>
      <c r="Q3859" s="214"/>
    </row>
    <row r="3860" spans="1:17" ht="12" customHeight="1" x14ac:dyDescent="0.2">
      <c r="A3860" s="735" t="s">
        <v>7733</v>
      </c>
      <c r="B3860" s="735" t="s">
        <v>2170</v>
      </c>
      <c r="C3860" s="735" t="s">
        <v>451</v>
      </c>
      <c r="D3860" s="644" t="s">
        <v>8149</v>
      </c>
      <c r="E3860" s="736">
        <v>2300</v>
      </c>
      <c r="F3860" s="737" t="s">
        <v>8150</v>
      </c>
      <c r="G3860" s="636" t="s">
        <v>8151</v>
      </c>
      <c r="H3860" s="636" t="s">
        <v>8135</v>
      </c>
      <c r="I3860" s="636" t="s">
        <v>8152</v>
      </c>
      <c r="J3860" s="644" t="s">
        <v>642</v>
      </c>
      <c r="K3860" s="739"/>
      <c r="L3860" s="754"/>
      <c r="M3860" s="735"/>
      <c r="N3860" s="753">
        <v>6</v>
      </c>
      <c r="O3860" s="754">
        <v>6</v>
      </c>
      <c r="P3860" s="736">
        <v>16489.8</v>
      </c>
      <c r="Q3860" s="214"/>
    </row>
    <row r="3861" spans="1:17" ht="12" customHeight="1" x14ac:dyDescent="0.2">
      <c r="A3861" s="735" t="s">
        <v>7733</v>
      </c>
      <c r="B3861" s="735" t="s">
        <v>2170</v>
      </c>
      <c r="C3861" s="735" t="s">
        <v>451</v>
      </c>
      <c r="D3861" s="644" t="s">
        <v>9701</v>
      </c>
      <c r="E3861" s="736">
        <v>6500</v>
      </c>
      <c r="F3861" s="737" t="s">
        <v>9892</v>
      </c>
      <c r="G3861" s="636" t="s">
        <v>9893</v>
      </c>
      <c r="H3861" s="636" t="s">
        <v>9894</v>
      </c>
      <c r="I3861" s="636" t="s">
        <v>2766</v>
      </c>
      <c r="J3861" s="644" t="s">
        <v>642</v>
      </c>
      <c r="K3861" s="739"/>
      <c r="L3861" s="754"/>
      <c r="M3861" s="735"/>
      <c r="N3861" s="753">
        <v>1</v>
      </c>
      <c r="O3861" s="754">
        <v>1</v>
      </c>
      <c r="P3861" s="736">
        <v>9189.7999999999993</v>
      </c>
      <c r="Q3861" s="214"/>
    </row>
    <row r="3862" spans="1:17" ht="12" customHeight="1" x14ac:dyDescent="0.2">
      <c r="A3862" s="735" t="s">
        <v>7733</v>
      </c>
      <c r="B3862" s="735" t="s">
        <v>2170</v>
      </c>
      <c r="C3862" s="735" t="s">
        <v>451</v>
      </c>
      <c r="D3862" s="644" t="s">
        <v>8097</v>
      </c>
      <c r="E3862" s="736">
        <v>5000</v>
      </c>
      <c r="F3862" s="737" t="s">
        <v>9300</v>
      </c>
      <c r="G3862" s="636" t="s">
        <v>9301</v>
      </c>
      <c r="H3862" s="636" t="s">
        <v>6571</v>
      </c>
      <c r="I3862" s="636"/>
      <c r="J3862" s="644" t="s">
        <v>642</v>
      </c>
      <c r="K3862" s="739"/>
      <c r="L3862" s="754"/>
      <c r="M3862" s="735"/>
      <c r="N3862" s="753">
        <v>1</v>
      </c>
      <c r="O3862" s="754">
        <v>1</v>
      </c>
      <c r="P3862" s="736">
        <v>7689.8</v>
      </c>
      <c r="Q3862" s="214"/>
    </row>
    <row r="3863" spans="1:17" ht="12" customHeight="1" x14ac:dyDescent="0.2">
      <c r="A3863" s="735" t="s">
        <v>7733</v>
      </c>
      <c r="B3863" s="735" t="s">
        <v>2170</v>
      </c>
      <c r="C3863" s="735" t="s">
        <v>451</v>
      </c>
      <c r="D3863" s="644" t="s">
        <v>7954</v>
      </c>
      <c r="E3863" s="736">
        <v>4000</v>
      </c>
      <c r="F3863" s="737" t="s">
        <v>8645</v>
      </c>
      <c r="G3863" s="636" t="s">
        <v>8646</v>
      </c>
      <c r="H3863" s="636" t="s">
        <v>6571</v>
      </c>
      <c r="I3863" s="636" t="s">
        <v>2179</v>
      </c>
      <c r="J3863" s="644" t="s">
        <v>642</v>
      </c>
      <c r="K3863" s="739"/>
      <c r="L3863" s="754"/>
      <c r="M3863" s="735"/>
      <c r="N3863" s="753">
        <v>2</v>
      </c>
      <c r="O3863" s="754">
        <v>2</v>
      </c>
      <c r="P3863" s="736">
        <v>10689.8</v>
      </c>
      <c r="Q3863" s="214"/>
    </row>
    <row r="3864" spans="1:17" ht="12" customHeight="1" x14ac:dyDescent="0.2">
      <c r="A3864" s="735" t="s">
        <v>7733</v>
      </c>
      <c r="B3864" s="735" t="s">
        <v>2170</v>
      </c>
      <c r="C3864" s="735" t="s">
        <v>451</v>
      </c>
      <c r="D3864" s="644" t="s">
        <v>7764</v>
      </c>
      <c r="E3864" s="736">
        <v>3500</v>
      </c>
      <c r="F3864" s="737" t="s">
        <v>7765</v>
      </c>
      <c r="G3864" s="636" t="s">
        <v>7766</v>
      </c>
      <c r="H3864" s="636" t="s">
        <v>7752</v>
      </c>
      <c r="I3864" s="636" t="s">
        <v>2179</v>
      </c>
      <c r="J3864" s="644" t="s">
        <v>642</v>
      </c>
      <c r="K3864" s="739"/>
      <c r="L3864" s="754"/>
      <c r="M3864" s="735"/>
      <c r="N3864" s="753">
        <v>4</v>
      </c>
      <c r="O3864" s="754">
        <v>6</v>
      </c>
      <c r="P3864" s="736">
        <v>23689.8</v>
      </c>
      <c r="Q3864" s="214"/>
    </row>
    <row r="3865" spans="1:17" ht="12" customHeight="1" x14ac:dyDescent="0.2">
      <c r="A3865" s="735" t="s">
        <v>7733</v>
      </c>
      <c r="B3865" s="735" t="s">
        <v>2170</v>
      </c>
      <c r="C3865" s="735" t="s">
        <v>451</v>
      </c>
      <c r="D3865" s="644" t="s">
        <v>4885</v>
      </c>
      <c r="E3865" s="736">
        <v>7500</v>
      </c>
      <c r="F3865" s="737" t="s">
        <v>8775</v>
      </c>
      <c r="G3865" s="636" t="s">
        <v>8776</v>
      </c>
      <c r="H3865" s="636"/>
      <c r="I3865" s="636"/>
      <c r="J3865" s="644" t="s">
        <v>642</v>
      </c>
      <c r="K3865" s="739"/>
      <c r="L3865" s="754"/>
      <c r="M3865" s="735"/>
      <c r="N3865" s="753">
        <v>1</v>
      </c>
      <c r="O3865" s="754">
        <v>1</v>
      </c>
      <c r="P3865" s="736">
        <v>10189.799999999999</v>
      </c>
      <c r="Q3865" s="214"/>
    </row>
    <row r="3866" spans="1:17" ht="12" customHeight="1" x14ac:dyDescent="0.2">
      <c r="A3866" s="735" t="s">
        <v>7733</v>
      </c>
      <c r="B3866" s="735" t="s">
        <v>2170</v>
      </c>
      <c r="C3866" s="735" t="s">
        <v>451</v>
      </c>
      <c r="D3866" s="644" t="s">
        <v>7783</v>
      </c>
      <c r="E3866" s="736">
        <v>4500</v>
      </c>
      <c r="F3866" s="737" t="s">
        <v>8481</v>
      </c>
      <c r="G3866" s="636" t="s">
        <v>8482</v>
      </c>
      <c r="H3866" s="636" t="s">
        <v>6633</v>
      </c>
      <c r="I3866" s="636" t="s">
        <v>2189</v>
      </c>
      <c r="J3866" s="644" t="s">
        <v>642</v>
      </c>
      <c r="K3866" s="739"/>
      <c r="L3866" s="754"/>
      <c r="M3866" s="735"/>
      <c r="N3866" s="753">
        <v>4</v>
      </c>
      <c r="O3866" s="754">
        <v>6</v>
      </c>
      <c r="P3866" s="736">
        <v>29689.8</v>
      </c>
      <c r="Q3866" s="214"/>
    </row>
    <row r="3867" spans="1:17" ht="12" customHeight="1" x14ac:dyDescent="0.2">
      <c r="A3867" s="735" t="s">
        <v>7733</v>
      </c>
      <c r="B3867" s="735" t="s">
        <v>2170</v>
      </c>
      <c r="C3867" s="735" t="s">
        <v>451</v>
      </c>
      <c r="D3867" s="644" t="s">
        <v>7838</v>
      </c>
      <c r="E3867" s="736">
        <v>2500</v>
      </c>
      <c r="F3867" s="737" t="s">
        <v>9138</v>
      </c>
      <c r="G3867" s="636" t="s">
        <v>9139</v>
      </c>
      <c r="H3867" s="636"/>
      <c r="I3867" s="636"/>
      <c r="J3867" s="644" t="s">
        <v>642</v>
      </c>
      <c r="K3867" s="739"/>
      <c r="L3867" s="754"/>
      <c r="M3867" s="735"/>
      <c r="N3867" s="753">
        <v>6</v>
      </c>
      <c r="O3867" s="754">
        <v>6</v>
      </c>
      <c r="P3867" s="736">
        <v>17689.8</v>
      </c>
      <c r="Q3867" s="214"/>
    </row>
    <row r="3868" spans="1:17" ht="12" customHeight="1" x14ac:dyDescent="0.2">
      <c r="A3868" s="735" t="s">
        <v>7733</v>
      </c>
      <c r="B3868" s="735" t="s">
        <v>2170</v>
      </c>
      <c r="C3868" s="735" t="s">
        <v>451</v>
      </c>
      <c r="D3868" s="644" t="s">
        <v>2772</v>
      </c>
      <c r="E3868" s="736">
        <v>2500</v>
      </c>
      <c r="F3868" s="737" t="s">
        <v>9434</v>
      </c>
      <c r="G3868" s="636" t="s">
        <v>9435</v>
      </c>
      <c r="H3868" s="636"/>
      <c r="I3868" s="636"/>
      <c r="J3868" s="644" t="s">
        <v>642</v>
      </c>
      <c r="K3868" s="739"/>
      <c r="L3868" s="754"/>
      <c r="M3868" s="735"/>
      <c r="N3868" s="753">
        <v>6</v>
      </c>
      <c r="O3868" s="754">
        <v>6</v>
      </c>
      <c r="P3868" s="736">
        <v>17689.8</v>
      </c>
      <c r="Q3868" s="214"/>
    </row>
    <row r="3869" spans="1:17" ht="12" customHeight="1" x14ac:dyDescent="0.2">
      <c r="A3869" s="735" t="s">
        <v>7733</v>
      </c>
      <c r="B3869" s="735" t="s">
        <v>2170</v>
      </c>
      <c r="C3869" s="735" t="s">
        <v>451</v>
      </c>
      <c r="D3869" s="644" t="s">
        <v>7831</v>
      </c>
      <c r="E3869" s="736">
        <v>1700</v>
      </c>
      <c r="F3869" s="737" t="s">
        <v>7832</v>
      </c>
      <c r="G3869" s="636" t="s">
        <v>7833</v>
      </c>
      <c r="H3869" s="636" t="s">
        <v>6571</v>
      </c>
      <c r="I3869" s="636"/>
      <c r="J3869" s="644" t="s">
        <v>643</v>
      </c>
      <c r="K3869" s="739"/>
      <c r="L3869" s="754"/>
      <c r="M3869" s="735"/>
      <c r="N3869" s="753">
        <v>4</v>
      </c>
      <c r="O3869" s="754">
        <v>6</v>
      </c>
      <c r="P3869" s="736">
        <v>12636</v>
      </c>
      <c r="Q3869" s="214"/>
    </row>
    <row r="3870" spans="1:17" ht="12" customHeight="1" x14ac:dyDescent="0.2">
      <c r="A3870" s="735" t="s">
        <v>7733</v>
      </c>
      <c r="B3870" s="735" t="s">
        <v>2170</v>
      </c>
      <c r="C3870" s="735" t="s">
        <v>451</v>
      </c>
      <c r="D3870" s="644" t="s">
        <v>8468</v>
      </c>
      <c r="E3870" s="736">
        <v>6000</v>
      </c>
      <c r="F3870" s="737" t="s">
        <v>8469</v>
      </c>
      <c r="G3870" s="636" t="s">
        <v>8470</v>
      </c>
      <c r="H3870" s="636"/>
      <c r="I3870" s="636"/>
      <c r="J3870" s="644" t="s">
        <v>642</v>
      </c>
      <c r="K3870" s="739"/>
      <c r="L3870" s="754"/>
      <c r="M3870" s="735"/>
      <c r="N3870" s="753">
        <v>4</v>
      </c>
      <c r="O3870" s="754">
        <v>6</v>
      </c>
      <c r="P3870" s="736">
        <v>38689.800000000003</v>
      </c>
      <c r="Q3870" s="214"/>
    </row>
    <row r="3871" spans="1:17" ht="12" customHeight="1" x14ac:dyDescent="0.2">
      <c r="A3871" s="735" t="s">
        <v>7733</v>
      </c>
      <c r="B3871" s="735" t="s">
        <v>2170</v>
      </c>
      <c r="C3871" s="735" t="s">
        <v>451</v>
      </c>
      <c r="D3871" s="644" t="s">
        <v>8483</v>
      </c>
      <c r="E3871" s="736">
        <v>5600</v>
      </c>
      <c r="F3871" s="737" t="s">
        <v>8484</v>
      </c>
      <c r="G3871" s="636" t="s">
        <v>8485</v>
      </c>
      <c r="H3871" s="636" t="s">
        <v>3754</v>
      </c>
      <c r="I3871" s="636" t="s">
        <v>8257</v>
      </c>
      <c r="J3871" s="644" t="s">
        <v>642</v>
      </c>
      <c r="K3871" s="739"/>
      <c r="L3871" s="754"/>
      <c r="M3871" s="735"/>
      <c r="N3871" s="753">
        <v>4</v>
      </c>
      <c r="O3871" s="754">
        <v>6</v>
      </c>
      <c r="P3871" s="736">
        <v>36289.800000000003</v>
      </c>
      <c r="Q3871" s="214"/>
    </row>
    <row r="3872" spans="1:17" ht="12" customHeight="1" x14ac:dyDescent="0.2">
      <c r="A3872" s="735" t="s">
        <v>7733</v>
      </c>
      <c r="B3872" s="735" t="s">
        <v>2170</v>
      </c>
      <c r="C3872" s="735" t="s">
        <v>451</v>
      </c>
      <c r="D3872" s="644" t="s">
        <v>8158</v>
      </c>
      <c r="E3872" s="736">
        <v>2500</v>
      </c>
      <c r="F3872" s="737" t="s">
        <v>9663</v>
      </c>
      <c r="G3872" s="636" t="s">
        <v>9664</v>
      </c>
      <c r="H3872" s="636"/>
      <c r="I3872" s="636"/>
      <c r="J3872" s="644" t="s">
        <v>643</v>
      </c>
      <c r="K3872" s="739"/>
      <c r="L3872" s="754"/>
      <c r="M3872" s="735"/>
      <c r="N3872" s="753">
        <v>4</v>
      </c>
      <c r="O3872" s="754">
        <v>6</v>
      </c>
      <c r="P3872" s="736">
        <v>17689.8</v>
      </c>
      <c r="Q3872" s="214"/>
    </row>
    <row r="3873" spans="1:17" ht="12" customHeight="1" x14ac:dyDescent="0.2">
      <c r="A3873" s="735" t="s">
        <v>7733</v>
      </c>
      <c r="B3873" s="735" t="s">
        <v>2170</v>
      </c>
      <c r="C3873" s="735" t="s">
        <v>451</v>
      </c>
      <c r="D3873" s="644" t="s">
        <v>7871</v>
      </c>
      <c r="E3873" s="736">
        <v>4500</v>
      </c>
      <c r="F3873" s="737" t="s">
        <v>8321</v>
      </c>
      <c r="G3873" s="636" t="s">
        <v>8322</v>
      </c>
      <c r="H3873" s="636" t="s">
        <v>8135</v>
      </c>
      <c r="I3873" s="636" t="s">
        <v>8323</v>
      </c>
      <c r="J3873" s="644" t="s">
        <v>642</v>
      </c>
      <c r="K3873" s="739"/>
      <c r="L3873" s="754"/>
      <c r="M3873" s="735"/>
      <c r="N3873" s="753">
        <v>5</v>
      </c>
      <c r="O3873" s="754">
        <v>6</v>
      </c>
      <c r="P3873" s="736">
        <v>29689.8</v>
      </c>
      <c r="Q3873" s="214"/>
    </row>
    <row r="3874" spans="1:17" ht="12" customHeight="1" x14ac:dyDescent="0.2">
      <c r="A3874" s="735" t="s">
        <v>7733</v>
      </c>
      <c r="B3874" s="735" t="s">
        <v>2170</v>
      </c>
      <c r="C3874" s="735" t="s">
        <v>451</v>
      </c>
      <c r="D3874" s="644" t="s">
        <v>7855</v>
      </c>
      <c r="E3874" s="736">
        <v>2200</v>
      </c>
      <c r="F3874" s="737" t="s">
        <v>9365</v>
      </c>
      <c r="G3874" s="636" t="s">
        <v>9366</v>
      </c>
      <c r="H3874" s="636"/>
      <c r="I3874" s="636"/>
      <c r="J3874" s="644" t="s">
        <v>644</v>
      </c>
      <c r="K3874" s="739"/>
      <c r="L3874" s="754"/>
      <c r="M3874" s="735"/>
      <c r="N3874" s="753">
        <v>4</v>
      </c>
      <c r="O3874" s="754">
        <v>6</v>
      </c>
      <c r="P3874" s="736">
        <v>15889.8</v>
      </c>
      <c r="Q3874" s="214"/>
    </row>
    <row r="3875" spans="1:17" ht="12" customHeight="1" x14ac:dyDescent="0.2">
      <c r="A3875" s="735" t="s">
        <v>7733</v>
      </c>
      <c r="B3875" s="735" t="s">
        <v>2170</v>
      </c>
      <c r="C3875" s="735" t="s">
        <v>451</v>
      </c>
      <c r="D3875" s="644" t="s">
        <v>7779</v>
      </c>
      <c r="E3875" s="736">
        <v>3000</v>
      </c>
      <c r="F3875" s="737" t="s">
        <v>8396</v>
      </c>
      <c r="G3875" s="636" t="s">
        <v>8397</v>
      </c>
      <c r="H3875" s="636"/>
      <c r="I3875" s="636"/>
      <c r="J3875" s="644" t="s">
        <v>642</v>
      </c>
      <c r="K3875" s="739"/>
      <c r="L3875" s="754"/>
      <c r="M3875" s="735"/>
      <c r="N3875" s="753">
        <v>4</v>
      </c>
      <c r="O3875" s="754">
        <v>6</v>
      </c>
      <c r="P3875" s="736">
        <v>20689.8</v>
      </c>
      <c r="Q3875" s="214"/>
    </row>
    <row r="3876" spans="1:17" ht="12" customHeight="1" x14ac:dyDescent="0.2">
      <c r="A3876" s="735" t="s">
        <v>7733</v>
      </c>
      <c r="B3876" s="735" t="s">
        <v>2170</v>
      </c>
      <c r="C3876" s="735" t="s">
        <v>451</v>
      </c>
      <c r="D3876" s="644" t="s">
        <v>8768</v>
      </c>
      <c r="E3876" s="736">
        <v>3500</v>
      </c>
      <c r="F3876" s="737" t="s">
        <v>8769</v>
      </c>
      <c r="G3876" s="636" t="s">
        <v>8770</v>
      </c>
      <c r="H3876" s="636"/>
      <c r="I3876" s="636"/>
      <c r="J3876" s="644" t="s">
        <v>642</v>
      </c>
      <c r="K3876" s="739"/>
      <c r="L3876" s="754"/>
      <c r="M3876" s="735"/>
      <c r="N3876" s="753">
        <v>4</v>
      </c>
      <c r="O3876" s="754">
        <v>6</v>
      </c>
      <c r="P3876" s="736">
        <v>23689.8</v>
      </c>
      <c r="Q3876" s="214"/>
    </row>
    <row r="3877" spans="1:17" ht="12" customHeight="1" x14ac:dyDescent="0.2">
      <c r="A3877" s="735" t="s">
        <v>7733</v>
      </c>
      <c r="B3877" s="735" t="s">
        <v>2170</v>
      </c>
      <c r="C3877" s="735" t="s">
        <v>451</v>
      </c>
      <c r="D3877" s="644" t="s">
        <v>8007</v>
      </c>
      <c r="E3877" s="736">
        <v>4000</v>
      </c>
      <c r="F3877" s="737" t="s">
        <v>8495</v>
      </c>
      <c r="G3877" s="636" t="s">
        <v>8496</v>
      </c>
      <c r="H3877" s="636" t="s">
        <v>6571</v>
      </c>
      <c r="I3877" s="636" t="s">
        <v>2179</v>
      </c>
      <c r="J3877" s="644" t="s">
        <v>642</v>
      </c>
      <c r="K3877" s="739"/>
      <c r="L3877" s="754"/>
      <c r="M3877" s="735"/>
      <c r="N3877" s="753">
        <v>4</v>
      </c>
      <c r="O3877" s="754">
        <v>6</v>
      </c>
      <c r="P3877" s="736">
        <v>26689.8</v>
      </c>
      <c r="Q3877" s="214"/>
    </row>
    <row r="3878" spans="1:17" ht="12" customHeight="1" x14ac:dyDescent="0.2">
      <c r="A3878" s="735" t="s">
        <v>7733</v>
      </c>
      <c r="B3878" s="735" t="s">
        <v>2170</v>
      </c>
      <c r="C3878" s="735" t="s">
        <v>451</v>
      </c>
      <c r="D3878" s="644" t="s">
        <v>7800</v>
      </c>
      <c r="E3878" s="736">
        <v>3500</v>
      </c>
      <c r="F3878" s="737" t="s">
        <v>9059</v>
      </c>
      <c r="G3878" s="636" t="s">
        <v>9060</v>
      </c>
      <c r="H3878" s="636"/>
      <c r="I3878" s="636"/>
      <c r="J3878" s="644" t="s">
        <v>642</v>
      </c>
      <c r="K3878" s="739"/>
      <c r="L3878" s="754"/>
      <c r="M3878" s="735"/>
      <c r="N3878" s="753">
        <v>4</v>
      </c>
      <c r="O3878" s="754">
        <v>6</v>
      </c>
      <c r="P3878" s="736">
        <v>23689.8</v>
      </c>
      <c r="Q3878" s="214"/>
    </row>
    <row r="3879" spans="1:17" ht="12" customHeight="1" x14ac:dyDescent="0.2">
      <c r="A3879" s="735" t="s">
        <v>7733</v>
      </c>
      <c r="B3879" s="735" t="s">
        <v>2170</v>
      </c>
      <c r="C3879" s="735" t="s">
        <v>451</v>
      </c>
      <c r="D3879" s="644" t="s">
        <v>2190</v>
      </c>
      <c r="E3879" s="736">
        <v>2200</v>
      </c>
      <c r="F3879" s="737" t="s">
        <v>7877</v>
      </c>
      <c r="G3879" s="636" t="s">
        <v>7878</v>
      </c>
      <c r="H3879" s="636"/>
      <c r="I3879" s="636"/>
      <c r="J3879" s="644" t="s">
        <v>644</v>
      </c>
      <c r="K3879" s="739"/>
      <c r="L3879" s="754"/>
      <c r="M3879" s="735"/>
      <c r="N3879" s="753">
        <v>4</v>
      </c>
      <c r="O3879" s="754">
        <v>6</v>
      </c>
      <c r="P3879" s="736">
        <v>15889.8</v>
      </c>
      <c r="Q3879" s="214"/>
    </row>
    <row r="3880" spans="1:17" ht="12" customHeight="1" x14ac:dyDescent="0.2">
      <c r="A3880" s="735" t="s">
        <v>7733</v>
      </c>
      <c r="B3880" s="735" t="s">
        <v>2170</v>
      </c>
      <c r="C3880" s="735" t="s">
        <v>451</v>
      </c>
      <c r="D3880" s="644" t="s">
        <v>9701</v>
      </c>
      <c r="E3880" s="736">
        <v>6500</v>
      </c>
      <c r="F3880" s="737" t="s">
        <v>9702</v>
      </c>
      <c r="G3880" s="636" t="s">
        <v>9703</v>
      </c>
      <c r="H3880" s="636" t="s">
        <v>8022</v>
      </c>
      <c r="I3880" s="636" t="s">
        <v>7879</v>
      </c>
      <c r="J3880" s="644" t="s">
        <v>642</v>
      </c>
      <c r="K3880" s="739"/>
      <c r="L3880" s="754"/>
      <c r="M3880" s="735"/>
      <c r="N3880" s="753">
        <v>1</v>
      </c>
      <c r="O3880" s="754">
        <v>1</v>
      </c>
      <c r="P3880" s="736">
        <v>9189.7999999999993</v>
      </c>
      <c r="Q3880" s="214"/>
    </row>
    <row r="3881" spans="1:17" ht="12" customHeight="1" x14ac:dyDescent="0.2">
      <c r="A3881" s="735" t="s">
        <v>7733</v>
      </c>
      <c r="B3881" s="735" t="s">
        <v>2170</v>
      </c>
      <c r="C3881" s="735" t="s">
        <v>451</v>
      </c>
      <c r="D3881" s="644" t="s">
        <v>2190</v>
      </c>
      <c r="E3881" s="736">
        <v>2200</v>
      </c>
      <c r="F3881" s="737" t="s">
        <v>8457</v>
      </c>
      <c r="G3881" s="636" t="s">
        <v>8458</v>
      </c>
      <c r="H3881" s="636"/>
      <c r="I3881" s="636"/>
      <c r="J3881" s="644" t="s">
        <v>644</v>
      </c>
      <c r="K3881" s="739"/>
      <c r="L3881" s="754"/>
      <c r="M3881" s="735"/>
      <c r="N3881" s="753">
        <v>4</v>
      </c>
      <c r="O3881" s="754">
        <v>6</v>
      </c>
      <c r="P3881" s="736">
        <v>15889.8</v>
      </c>
      <c r="Q3881" s="214"/>
    </row>
    <row r="3882" spans="1:17" ht="12" customHeight="1" x14ac:dyDescent="0.2">
      <c r="A3882" s="735" t="s">
        <v>7733</v>
      </c>
      <c r="B3882" s="735" t="s">
        <v>2170</v>
      </c>
      <c r="C3882" s="735" t="s">
        <v>451</v>
      </c>
      <c r="D3882" s="644" t="s">
        <v>8007</v>
      </c>
      <c r="E3882" s="736">
        <v>4000</v>
      </c>
      <c r="F3882" s="737" t="s">
        <v>9219</v>
      </c>
      <c r="G3882" s="636" t="s">
        <v>9220</v>
      </c>
      <c r="H3882" s="636" t="s">
        <v>6571</v>
      </c>
      <c r="I3882" s="636" t="s">
        <v>2179</v>
      </c>
      <c r="J3882" s="644" t="s">
        <v>642</v>
      </c>
      <c r="K3882" s="739"/>
      <c r="L3882" s="754"/>
      <c r="M3882" s="735"/>
      <c r="N3882" s="753">
        <v>4</v>
      </c>
      <c r="O3882" s="754">
        <v>6</v>
      </c>
      <c r="P3882" s="736">
        <v>26689.8</v>
      </c>
      <c r="Q3882" s="214"/>
    </row>
    <row r="3883" spans="1:17" ht="12" customHeight="1" x14ac:dyDescent="0.2">
      <c r="A3883" s="735" t="s">
        <v>7733</v>
      </c>
      <c r="B3883" s="735" t="s">
        <v>2170</v>
      </c>
      <c r="C3883" s="735" t="s">
        <v>451</v>
      </c>
      <c r="D3883" s="644" t="s">
        <v>8172</v>
      </c>
      <c r="E3883" s="736">
        <v>3500</v>
      </c>
      <c r="F3883" s="737" t="s">
        <v>8374</v>
      </c>
      <c r="G3883" s="636" t="s">
        <v>8375</v>
      </c>
      <c r="H3883" s="636"/>
      <c r="I3883" s="636"/>
      <c r="J3883" s="644" t="s">
        <v>642</v>
      </c>
      <c r="K3883" s="739"/>
      <c r="L3883" s="754"/>
      <c r="M3883" s="735"/>
      <c r="N3883" s="753">
        <v>4</v>
      </c>
      <c r="O3883" s="754">
        <v>6</v>
      </c>
      <c r="P3883" s="736">
        <v>23689.8</v>
      </c>
      <c r="Q3883" s="214"/>
    </row>
    <row r="3884" spans="1:17" ht="12" customHeight="1" x14ac:dyDescent="0.2">
      <c r="A3884" s="735" t="s">
        <v>7733</v>
      </c>
      <c r="B3884" s="735" t="s">
        <v>2170</v>
      </c>
      <c r="C3884" s="735" t="s">
        <v>451</v>
      </c>
      <c r="D3884" s="644" t="s">
        <v>7918</v>
      </c>
      <c r="E3884" s="736">
        <v>5000</v>
      </c>
      <c r="F3884" s="737" t="s">
        <v>7919</v>
      </c>
      <c r="G3884" s="636" t="s">
        <v>7920</v>
      </c>
      <c r="H3884" s="636" t="s">
        <v>6571</v>
      </c>
      <c r="I3884" s="636"/>
      <c r="J3884" s="644" t="s">
        <v>642</v>
      </c>
      <c r="K3884" s="739"/>
      <c r="L3884" s="754"/>
      <c r="M3884" s="735"/>
      <c r="N3884" s="753">
        <v>2</v>
      </c>
      <c r="O3884" s="754">
        <v>2</v>
      </c>
      <c r="P3884" s="736">
        <v>12689.8</v>
      </c>
      <c r="Q3884" s="214"/>
    </row>
    <row r="3885" spans="1:17" ht="12" customHeight="1" x14ac:dyDescent="0.2">
      <c r="A3885" s="735" t="s">
        <v>7733</v>
      </c>
      <c r="B3885" s="735" t="s">
        <v>2170</v>
      </c>
      <c r="C3885" s="735" t="s">
        <v>451</v>
      </c>
      <c r="D3885" s="644" t="s">
        <v>7783</v>
      </c>
      <c r="E3885" s="736">
        <v>4000</v>
      </c>
      <c r="F3885" s="737" t="s">
        <v>7784</v>
      </c>
      <c r="G3885" s="636" t="s">
        <v>7785</v>
      </c>
      <c r="H3885" s="636" t="s">
        <v>7260</v>
      </c>
      <c r="I3885" s="636" t="s">
        <v>7267</v>
      </c>
      <c r="J3885" s="644" t="s">
        <v>642</v>
      </c>
      <c r="K3885" s="739"/>
      <c r="L3885" s="754"/>
      <c r="M3885" s="735"/>
      <c r="N3885" s="753">
        <v>1</v>
      </c>
      <c r="O3885" s="754">
        <v>1</v>
      </c>
      <c r="P3885" s="736">
        <v>6689.8</v>
      </c>
      <c r="Q3885" s="214"/>
    </row>
    <row r="3886" spans="1:17" ht="12" customHeight="1" x14ac:dyDescent="0.2">
      <c r="A3886" s="735" t="s">
        <v>7733</v>
      </c>
      <c r="B3886" s="735" t="s">
        <v>2170</v>
      </c>
      <c r="C3886" s="735" t="s">
        <v>451</v>
      </c>
      <c r="D3886" s="644" t="s">
        <v>7965</v>
      </c>
      <c r="E3886" s="736">
        <v>4000</v>
      </c>
      <c r="F3886" s="737" t="s">
        <v>7966</v>
      </c>
      <c r="G3886" s="636" t="s">
        <v>7967</v>
      </c>
      <c r="H3886" s="636" t="s">
        <v>6571</v>
      </c>
      <c r="I3886" s="636" t="s">
        <v>2179</v>
      </c>
      <c r="J3886" s="644" t="s">
        <v>642</v>
      </c>
      <c r="K3886" s="739"/>
      <c r="L3886" s="754"/>
      <c r="M3886" s="735"/>
      <c r="N3886" s="753">
        <v>4</v>
      </c>
      <c r="O3886" s="754">
        <v>6</v>
      </c>
      <c r="P3886" s="736">
        <v>26689.8</v>
      </c>
      <c r="Q3886" s="214"/>
    </row>
    <row r="3887" spans="1:17" ht="12" customHeight="1" x14ac:dyDescent="0.2">
      <c r="A3887" s="735" t="s">
        <v>7733</v>
      </c>
      <c r="B3887" s="735" t="s">
        <v>2170</v>
      </c>
      <c r="C3887" s="735" t="s">
        <v>451</v>
      </c>
      <c r="D3887" s="644" t="s">
        <v>2788</v>
      </c>
      <c r="E3887" s="736">
        <v>1800</v>
      </c>
      <c r="F3887" s="737" t="s">
        <v>9012</v>
      </c>
      <c r="G3887" s="636" t="s">
        <v>9013</v>
      </c>
      <c r="H3887" s="636" t="s">
        <v>6571</v>
      </c>
      <c r="I3887" s="636" t="s">
        <v>4559</v>
      </c>
      <c r="J3887" s="644" t="s">
        <v>643</v>
      </c>
      <c r="K3887" s="739"/>
      <c r="L3887" s="754"/>
      <c r="M3887" s="735"/>
      <c r="N3887" s="753">
        <v>4</v>
      </c>
      <c r="O3887" s="754">
        <v>6</v>
      </c>
      <c r="P3887" s="736">
        <v>13344</v>
      </c>
      <c r="Q3887" s="214"/>
    </row>
    <row r="3888" spans="1:17" ht="12" customHeight="1" x14ac:dyDescent="0.2">
      <c r="A3888" s="735" t="s">
        <v>7733</v>
      </c>
      <c r="B3888" s="735" t="s">
        <v>2170</v>
      </c>
      <c r="C3888" s="735" t="s">
        <v>451</v>
      </c>
      <c r="D3888" s="644" t="s">
        <v>8268</v>
      </c>
      <c r="E3888" s="736">
        <v>2500</v>
      </c>
      <c r="F3888" s="737" t="s">
        <v>8293</v>
      </c>
      <c r="G3888" s="636" t="s">
        <v>8294</v>
      </c>
      <c r="H3888" s="636"/>
      <c r="I3888" s="636"/>
      <c r="J3888" s="644" t="s">
        <v>644</v>
      </c>
      <c r="K3888" s="739"/>
      <c r="L3888" s="754"/>
      <c r="M3888" s="735"/>
      <c r="N3888" s="753">
        <v>4</v>
      </c>
      <c r="O3888" s="754">
        <v>6</v>
      </c>
      <c r="P3888" s="736">
        <v>17689.8</v>
      </c>
      <c r="Q3888" s="214"/>
    </row>
    <row r="3889" spans="1:17" ht="12" customHeight="1" x14ac:dyDescent="0.2">
      <c r="A3889" s="735" t="s">
        <v>7733</v>
      </c>
      <c r="B3889" s="735" t="s">
        <v>2170</v>
      </c>
      <c r="C3889" s="735" t="s">
        <v>451</v>
      </c>
      <c r="D3889" s="644" t="s">
        <v>9686</v>
      </c>
      <c r="E3889" s="736">
        <v>6000</v>
      </c>
      <c r="F3889" s="737" t="s">
        <v>9687</v>
      </c>
      <c r="G3889" s="636" t="s">
        <v>9688</v>
      </c>
      <c r="H3889" s="636" t="s">
        <v>6571</v>
      </c>
      <c r="I3889" s="636" t="s">
        <v>2179</v>
      </c>
      <c r="J3889" s="644" t="s">
        <v>642</v>
      </c>
      <c r="K3889" s="739"/>
      <c r="L3889" s="754"/>
      <c r="M3889" s="735"/>
      <c r="N3889" s="753">
        <v>4</v>
      </c>
      <c r="O3889" s="754">
        <v>6</v>
      </c>
      <c r="P3889" s="736">
        <v>38689.800000000003</v>
      </c>
      <c r="Q3889" s="214"/>
    </row>
    <row r="3890" spans="1:17" ht="12" customHeight="1" x14ac:dyDescent="0.2">
      <c r="A3890" s="735" t="s">
        <v>7733</v>
      </c>
      <c r="B3890" s="735" t="s">
        <v>2170</v>
      </c>
      <c r="C3890" s="735" t="s">
        <v>451</v>
      </c>
      <c r="D3890" s="644" t="s">
        <v>8360</v>
      </c>
      <c r="E3890" s="736">
        <v>3500</v>
      </c>
      <c r="F3890" s="737" t="s">
        <v>8861</v>
      </c>
      <c r="G3890" s="636" t="s">
        <v>8862</v>
      </c>
      <c r="H3890" s="636"/>
      <c r="I3890" s="636"/>
      <c r="J3890" s="644" t="s">
        <v>642</v>
      </c>
      <c r="K3890" s="739"/>
      <c r="L3890" s="754"/>
      <c r="M3890" s="735"/>
      <c r="N3890" s="753">
        <v>4</v>
      </c>
      <c r="O3890" s="754">
        <v>6</v>
      </c>
      <c r="P3890" s="736">
        <v>23689.8</v>
      </c>
      <c r="Q3890" s="214"/>
    </row>
    <row r="3891" spans="1:17" ht="12" customHeight="1" x14ac:dyDescent="0.2">
      <c r="A3891" s="735" t="s">
        <v>7733</v>
      </c>
      <c r="B3891" s="735" t="s">
        <v>2170</v>
      </c>
      <c r="C3891" s="735" t="s">
        <v>451</v>
      </c>
      <c r="D3891" s="644" t="s">
        <v>7740</v>
      </c>
      <c r="E3891" s="736">
        <v>2500</v>
      </c>
      <c r="F3891" s="737" t="s">
        <v>8283</v>
      </c>
      <c r="G3891" s="636" t="s">
        <v>8284</v>
      </c>
      <c r="H3891" s="636" t="s">
        <v>7782</v>
      </c>
      <c r="I3891" s="636" t="s">
        <v>2766</v>
      </c>
      <c r="J3891" s="644" t="s">
        <v>643</v>
      </c>
      <c r="K3891" s="739"/>
      <c r="L3891" s="754"/>
      <c r="M3891" s="735"/>
      <c r="N3891" s="753">
        <v>6</v>
      </c>
      <c r="O3891" s="754">
        <v>6</v>
      </c>
      <c r="P3891" s="736">
        <v>17689.8</v>
      </c>
      <c r="Q3891" s="214"/>
    </row>
    <row r="3892" spans="1:17" ht="12" customHeight="1" x14ac:dyDescent="0.2">
      <c r="A3892" s="735" t="s">
        <v>7733</v>
      </c>
      <c r="B3892" s="735" t="s">
        <v>2170</v>
      </c>
      <c r="C3892" s="735" t="s">
        <v>451</v>
      </c>
      <c r="D3892" s="644" t="s">
        <v>8295</v>
      </c>
      <c r="E3892" s="736">
        <v>6500</v>
      </c>
      <c r="F3892" s="737" t="s">
        <v>8696</v>
      </c>
      <c r="G3892" s="636" t="s">
        <v>8697</v>
      </c>
      <c r="H3892" s="636" t="s">
        <v>6571</v>
      </c>
      <c r="I3892" s="636" t="s">
        <v>2179</v>
      </c>
      <c r="J3892" s="644" t="s">
        <v>642</v>
      </c>
      <c r="K3892" s="739"/>
      <c r="L3892" s="754"/>
      <c r="M3892" s="735"/>
      <c r="N3892" s="753">
        <v>4</v>
      </c>
      <c r="O3892" s="754">
        <v>6</v>
      </c>
      <c r="P3892" s="736">
        <v>41689.800000000003</v>
      </c>
      <c r="Q3892" s="214"/>
    </row>
    <row r="3893" spans="1:17" ht="12" customHeight="1" x14ac:dyDescent="0.2">
      <c r="A3893" s="735" t="s">
        <v>7733</v>
      </c>
      <c r="B3893" s="735" t="s">
        <v>2170</v>
      </c>
      <c r="C3893" s="735" t="s">
        <v>451</v>
      </c>
      <c r="D3893" s="644" t="s">
        <v>2261</v>
      </c>
      <c r="E3893" s="736">
        <v>3500</v>
      </c>
      <c r="F3893" s="737" t="s">
        <v>10042</v>
      </c>
      <c r="G3893" s="636" t="s">
        <v>10043</v>
      </c>
      <c r="H3893" s="636" t="s">
        <v>7073</v>
      </c>
      <c r="I3893" s="636" t="s">
        <v>4559</v>
      </c>
      <c r="J3893" s="644" t="s">
        <v>642</v>
      </c>
      <c r="K3893" s="739"/>
      <c r="L3893" s="754"/>
      <c r="M3893" s="735"/>
      <c r="N3893" s="753">
        <v>4</v>
      </c>
      <c r="O3893" s="754">
        <v>6</v>
      </c>
      <c r="P3893" s="736">
        <v>23689.8</v>
      </c>
      <c r="Q3893" s="214"/>
    </row>
    <row r="3894" spans="1:17" ht="12" customHeight="1" x14ac:dyDescent="0.2">
      <c r="A3894" s="735" t="s">
        <v>7733</v>
      </c>
      <c r="B3894" s="735" t="s">
        <v>2170</v>
      </c>
      <c r="C3894" s="735" t="s">
        <v>451</v>
      </c>
      <c r="D3894" s="644" t="s">
        <v>5538</v>
      </c>
      <c r="E3894" s="736">
        <v>5000</v>
      </c>
      <c r="F3894" s="737" t="s">
        <v>10067</v>
      </c>
      <c r="G3894" s="636" t="s">
        <v>10068</v>
      </c>
      <c r="H3894" s="636"/>
      <c r="I3894" s="636"/>
      <c r="J3894" s="644" t="s">
        <v>642</v>
      </c>
      <c r="K3894" s="739"/>
      <c r="L3894" s="754"/>
      <c r="M3894" s="735"/>
      <c r="N3894" s="753">
        <v>4</v>
      </c>
      <c r="O3894" s="754">
        <v>6</v>
      </c>
      <c r="P3894" s="736">
        <v>32689.8</v>
      </c>
      <c r="Q3894" s="214"/>
    </row>
    <row r="3895" spans="1:17" ht="12" customHeight="1" x14ac:dyDescent="0.2">
      <c r="A3895" s="735" t="s">
        <v>7733</v>
      </c>
      <c r="B3895" s="735" t="s">
        <v>2170</v>
      </c>
      <c r="C3895" s="735" t="s">
        <v>451</v>
      </c>
      <c r="D3895" s="644" t="s">
        <v>8316</v>
      </c>
      <c r="E3895" s="736">
        <v>4000</v>
      </c>
      <c r="F3895" s="737" t="s">
        <v>8591</v>
      </c>
      <c r="G3895" s="636" t="s">
        <v>8592</v>
      </c>
      <c r="H3895" s="636" t="s">
        <v>6571</v>
      </c>
      <c r="I3895" s="636" t="s">
        <v>2179</v>
      </c>
      <c r="J3895" s="644" t="s">
        <v>642</v>
      </c>
      <c r="K3895" s="739"/>
      <c r="L3895" s="754"/>
      <c r="M3895" s="735"/>
      <c r="N3895" s="753">
        <v>4</v>
      </c>
      <c r="O3895" s="754">
        <v>6</v>
      </c>
      <c r="P3895" s="736">
        <v>26689.8</v>
      </c>
      <c r="Q3895" s="214"/>
    </row>
    <row r="3896" spans="1:17" ht="12" customHeight="1" x14ac:dyDescent="0.2">
      <c r="A3896" s="735" t="s">
        <v>7733</v>
      </c>
      <c r="B3896" s="735" t="s">
        <v>2170</v>
      </c>
      <c r="C3896" s="735" t="s">
        <v>451</v>
      </c>
      <c r="D3896" s="644" t="s">
        <v>7838</v>
      </c>
      <c r="E3896" s="736">
        <v>2500</v>
      </c>
      <c r="F3896" s="737" t="s">
        <v>8918</v>
      </c>
      <c r="G3896" s="636" t="s">
        <v>8919</v>
      </c>
      <c r="H3896" s="636" t="s">
        <v>8315</v>
      </c>
      <c r="I3896" s="636" t="s">
        <v>2317</v>
      </c>
      <c r="J3896" s="644" t="s">
        <v>643</v>
      </c>
      <c r="K3896" s="739"/>
      <c r="L3896" s="754"/>
      <c r="M3896" s="735"/>
      <c r="N3896" s="753">
        <v>4</v>
      </c>
      <c r="O3896" s="754">
        <v>6</v>
      </c>
      <c r="P3896" s="736">
        <v>17689.8</v>
      </c>
      <c r="Q3896" s="214"/>
    </row>
    <row r="3897" spans="1:17" ht="12" customHeight="1" x14ac:dyDescent="0.2">
      <c r="A3897" s="735" t="s">
        <v>7733</v>
      </c>
      <c r="B3897" s="735" t="s">
        <v>2170</v>
      </c>
      <c r="C3897" s="735" t="s">
        <v>451</v>
      </c>
      <c r="D3897" s="644" t="s">
        <v>7924</v>
      </c>
      <c r="E3897" s="736">
        <v>6000</v>
      </c>
      <c r="F3897" s="737" t="s">
        <v>7925</v>
      </c>
      <c r="G3897" s="636" t="s">
        <v>7926</v>
      </c>
      <c r="H3897" s="636" t="s">
        <v>6633</v>
      </c>
      <c r="I3897" s="636" t="s">
        <v>2189</v>
      </c>
      <c r="J3897" s="644" t="s">
        <v>642</v>
      </c>
      <c r="K3897" s="739"/>
      <c r="L3897" s="754"/>
      <c r="M3897" s="735"/>
      <c r="N3897" s="753">
        <v>5</v>
      </c>
      <c r="O3897" s="754">
        <v>6</v>
      </c>
      <c r="P3897" s="736">
        <v>38689.800000000003</v>
      </c>
      <c r="Q3897" s="214"/>
    </row>
    <row r="3898" spans="1:17" ht="12" customHeight="1" x14ac:dyDescent="0.2">
      <c r="A3898" s="735" t="s">
        <v>7733</v>
      </c>
      <c r="B3898" s="735" t="s">
        <v>2170</v>
      </c>
      <c r="C3898" s="735" t="s">
        <v>451</v>
      </c>
      <c r="D3898" s="644" t="s">
        <v>10106</v>
      </c>
      <c r="E3898" s="736">
        <v>3500</v>
      </c>
      <c r="F3898" s="737" t="s">
        <v>10107</v>
      </c>
      <c r="G3898" s="636" t="s">
        <v>10108</v>
      </c>
      <c r="H3898" s="636"/>
      <c r="I3898" s="636"/>
      <c r="J3898" s="644" t="s">
        <v>644</v>
      </c>
      <c r="K3898" s="739"/>
      <c r="L3898" s="754"/>
      <c r="M3898" s="735"/>
      <c r="N3898" s="753">
        <v>4</v>
      </c>
      <c r="O3898" s="754">
        <v>6</v>
      </c>
      <c r="P3898" s="736">
        <v>23689.8</v>
      </c>
      <c r="Q3898" s="214"/>
    </row>
    <row r="3899" spans="1:17" ht="12" customHeight="1" x14ac:dyDescent="0.2">
      <c r="A3899" s="735" t="s">
        <v>7733</v>
      </c>
      <c r="B3899" s="735" t="s">
        <v>2170</v>
      </c>
      <c r="C3899" s="735" t="s">
        <v>451</v>
      </c>
      <c r="D3899" s="644" t="s">
        <v>7954</v>
      </c>
      <c r="E3899" s="736">
        <v>4000</v>
      </c>
      <c r="F3899" s="737" t="s">
        <v>8120</v>
      </c>
      <c r="G3899" s="636" t="s">
        <v>8121</v>
      </c>
      <c r="H3899" s="636" t="s">
        <v>6571</v>
      </c>
      <c r="I3899" s="636" t="s">
        <v>2179</v>
      </c>
      <c r="J3899" s="644" t="s">
        <v>642</v>
      </c>
      <c r="K3899" s="739"/>
      <c r="L3899" s="754"/>
      <c r="M3899" s="735"/>
      <c r="N3899" s="753">
        <v>4</v>
      </c>
      <c r="O3899" s="754">
        <v>6</v>
      </c>
      <c r="P3899" s="736">
        <v>26689.8</v>
      </c>
      <c r="Q3899" s="214"/>
    </row>
    <row r="3900" spans="1:17" ht="12" customHeight="1" x14ac:dyDescent="0.2">
      <c r="A3900" s="735" t="s">
        <v>7733</v>
      </c>
      <c r="B3900" s="735" t="s">
        <v>2170</v>
      </c>
      <c r="C3900" s="735" t="s">
        <v>451</v>
      </c>
      <c r="D3900" s="644" t="s">
        <v>7838</v>
      </c>
      <c r="E3900" s="736">
        <v>2500</v>
      </c>
      <c r="F3900" s="737" t="s">
        <v>8136</v>
      </c>
      <c r="G3900" s="636" t="s">
        <v>8137</v>
      </c>
      <c r="H3900" s="636"/>
      <c r="I3900" s="636"/>
      <c r="J3900" s="644" t="s">
        <v>642</v>
      </c>
      <c r="K3900" s="739"/>
      <c r="L3900" s="754"/>
      <c r="M3900" s="735"/>
      <c r="N3900" s="753">
        <v>6</v>
      </c>
      <c r="O3900" s="754">
        <v>6</v>
      </c>
      <c r="P3900" s="736">
        <v>17689.8</v>
      </c>
      <c r="Q3900" s="214"/>
    </row>
    <row r="3901" spans="1:17" ht="12" customHeight="1" x14ac:dyDescent="0.2">
      <c r="A3901" s="735" t="s">
        <v>7733</v>
      </c>
      <c r="B3901" s="735" t="s">
        <v>2170</v>
      </c>
      <c r="C3901" s="735" t="s">
        <v>451</v>
      </c>
      <c r="D3901" s="644" t="s">
        <v>7901</v>
      </c>
      <c r="E3901" s="736">
        <v>2500</v>
      </c>
      <c r="F3901" s="737" t="s">
        <v>9223</v>
      </c>
      <c r="G3901" s="636" t="s">
        <v>9224</v>
      </c>
      <c r="H3901" s="636" t="s">
        <v>8135</v>
      </c>
      <c r="I3901" s="636" t="s">
        <v>7874</v>
      </c>
      <c r="J3901" s="644" t="s">
        <v>644</v>
      </c>
      <c r="K3901" s="739"/>
      <c r="L3901" s="754"/>
      <c r="M3901" s="735"/>
      <c r="N3901" s="753">
        <v>4</v>
      </c>
      <c r="O3901" s="754">
        <v>6</v>
      </c>
      <c r="P3901" s="736">
        <v>17689.8</v>
      </c>
      <c r="Q3901" s="214"/>
    </row>
    <row r="3902" spans="1:17" ht="12" customHeight="1" x14ac:dyDescent="0.2">
      <c r="A3902" s="735" t="s">
        <v>7733</v>
      </c>
      <c r="B3902" s="735" t="s">
        <v>2170</v>
      </c>
      <c r="C3902" s="735" t="s">
        <v>451</v>
      </c>
      <c r="D3902" s="644" t="s">
        <v>9686</v>
      </c>
      <c r="E3902" s="736">
        <v>6000</v>
      </c>
      <c r="F3902" s="737" t="s">
        <v>9823</v>
      </c>
      <c r="G3902" s="636" t="s">
        <v>9824</v>
      </c>
      <c r="H3902" s="636"/>
      <c r="I3902" s="636"/>
      <c r="J3902" s="644" t="s">
        <v>642</v>
      </c>
      <c r="K3902" s="739"/>
      <c r="L3902" s="754"/>
      <c r="M3902" s="735"/>
      <c r="N3902" s="753">
        <v>4</v>
      </c>
      <c r="O3902" s="754">
        <v>6</v>
      </c>
      <c r="P3902" s="736">
        <v>38689.800000000003</v>
      </c>
      <c r="Q3902" s="214"/>
    </row>
    <row r="3903" spans="1:17" ht="12" customHeight="1" x14ac:dyDescent="0.2">
      <c r="A3903" s="735" t="s">
        <v>7733</v>
      </c>
      <c r="B3903" s="735" t="s">
        <v>2170</v>
      </c>
      <c r="C3903" s="735" t="s">
        <v>451</v>
      </c>
      <c r="D3903" s="644" t="s">
        <v>8934</v>
      </c>
      <c r="E3903" s="736">
        <v>3000</v>
      </c>
      <c r="F3903" s="737" t="s">
        <v>8935</v>
      </c>
      <c r="G3903" s="636" t="s">
        <v>8936</v>
      </c>
      <c r="H3903" s="636" t="s">
        <v>7752</v>
      </c>
      <c r="I3903" s="636" t="s">
        <v>2179</v>
      </c>
      <c r="J3903" s="644" t="s">
        <v>642</v>
      </c>
      <c r="K3903" s="739"/>
      <c r="L3903" s="754"/>
      <c r="M3903" s="735"/>
      <c r="N3903" s="753">
        <v>6</v>
      </c>
      <c r="O3903" s="754">
        <v>6</v>
      </c>
      <c r="P3903" s="736">
        <v>20689.8</v>
      </c>
      <c r="Q3903" s="214"/>
    </row>
    <row r="3904" spans="1:17" ht="12" customHeight="1" x14ac:dyDescent="0.2">
      <c r="A3904" s="735" t="s">
        <v>7733</v>
      </c>
      <c r="B3904" s="735" t="s">
        <v>2170</v>
      </c>
      <c r="C3904" s="735" t="s">
        <v>451</v>
      </c>
      <c r="D3904" s="644" t="s">
        <v>7943</v>
      </c>
      <c r="E3904" s="736">
        <v>4500</v>
      </c>
      <c r="F3904" s="737" t="s">
        <v>7944</v>
      </c>
      <c r="G3904" s="636" t="s">
        <v>7945</v>
      </c>
      <c r="H3904" s="636" t="s">
        <v>6778</v>
      </c>
      <c r="I3904" s="636" t="s">
        <v>2174</v>
      </c>
      <c r="J3904" s="644" t="s">
        <v>642</v>
      </c>
      <c r="K3904" s="739"/>
      <c r="L3904" s="754"/>
      <c r="M3904" s="735"/>
      <c r="N3904" s="753">
        <v>2</v>
      </c>
      <c r="O3904" s="754">
        <v>2</v>
      </c>
      <c r="P3904" s="736">
        <v>11689.8</v>
      </c>
      <c r="Q3904" s="214"/>
    </row>
    <row r="3905" spans="1:17" ht="12" customHeight="1" x14ac:dyDescent="0.2">
      <c r="A3905" s="735" t="s">
        <v>7733</v>
      </c>
      <c r="B3905" s="735" t="s">
        <v>2170</v>
      </c>
      <c r="C3905" s="735" t="s">
        <v>451</v>
      </c>
      <c r="D3905" s="644" t="s">
        <v>8165</v>
      </c>
      <c r="E3905" s="736">
        <v>3500</v>
      </c>
      <c r="F3905" s="737" t="s">
        <v>9084</v>
      </c>
      <c r="G3905" s="636" t="s">
        <v>9085</v>
      </c>
      <c r="H3905" s="636"/>
      <c r="I3905" s="636"/>
      <c r="J3905" s="644" t="s">
        <v>642</v>
      </c>
      <c r="K3905" s="739"/>
      <c r="L3905" s="754"/>
      <c r="M3905" s="735"/>
      <c r="N3905" s="753">
        <v>4</v>
      </c>
      <c r="O3905" s="754">
        <v>6</v>
      </c>
      <c r="P3905" s="736">
        <v>23689.8</v>
      </c>
      <c r="Q3905" s="214"/>
    </row>
    <row r="3906" spans="1:17" ht="12" customHeight="1" x14ac:dyDescent="0.2">
      <c r="A3906" s="735" t="s">
        <v>7733</v>
      </c>
      <c r="B3906" s="735" t="s">
        <v>2170</v>
      </c>
      <c r="C3906" s="735" t="s">
        <v>451</v>
      </c>
      <c r="D3906" s="644" t="s">
        <v>7901</v>
      </c>
      <c r="E3906" s="736">
        <v>2500</v>
      </c>
      <c r="F3906" s="737" t="s">
        <v>9924</v>
      </c>
      <c r="G3906" s="636" t="s">
        <v>9925</v>
      </c>
      <c r="H3906" s="636" t="s">
        <v>6571</v>
      </c>
      <c r="I3906" s="636" t="s">
        <v>2179</v>
      </c>
      <c r="J3906" s="644" t="s">
        <v>644</v>
      </c>
      <c r="K3906" s="739"/>
      <c r="L3906" s="754"/>
      <c r="M3906" s="735"/>
      <c r="N3906" s="753">
        <v>4</v>
      </c>
      <c r="O3906" s="754">
        <v>6</v>
      </c>
      <c r="P3906" s="736">
        <v>17689.8</v>
      </c>
      <c r="Q3906" s="214"/>
    </row>
    <row r="3907" spans="1:17" ht="12" customHeight="1" x14ac:dyDescent="0.2">
      <c r="A3907" s="735" t="s">
        <v>7733</v>
      </c>
      <c r="B3907" s="735" t="s">
        <v>2170</v>
      </c>
      <c r="C3907" s="735" t="s">
        <v>451</v>
      </c>
      <c r="D3907" s="644" t="s">
        <v>7858</v>
      </c>
      <c r="E3907" s="736">
        <v>3000</v>
      </c>
      <c r="F3907" s="737" t="s">
        <v>10150</v>
      </c>
      <c r="G3907" s="636" t="s">
        <v>10151</v>
      </c>
      <c r="H3907" s="636" t="s">
        <v>7152</v>
      </c>
      <c r="I3907" s="636" t="s">
        <v>2317</v>
      </c>
      <c r="J3907" s="644" t="s">
        <v>643</v>
      </c>
      <c r="K3907" s="739"/>
      <c r="L3907" s="754"/>
      <c r="M3907" s="735"/>
      <c r="N3907" s="753">
        <v>4</v>
      </c>
      <c r="O3907" s="754">
        <v>6</v>
      </c>
      <c r="P3907" s="736">
        <v>20689.8</v>
      </c>
      <c r="Q3907" s="214"/>
    </row>
    <row r="3908" spans="1:17" ht="12" customHeight="1" x14ac:dyDescent="0.2">
      <c r="A3908" s="735" t="s">
        <v>7733</v>
      </c>
      <c r="B3908" s="735" t="s">
        <v>2170</v>
      </c>
      <c r="C3908" s="735" t="s">
        <v>451</v>
      </c>
      <c r="D3908" s="644" t="s">
        <v>7868</v>
      </c>
      <c r="E3908" s="736">
        <v>4000</v>
      </c>
      <c r="F3908" s="737" t="s">
        <v>8955</v>
      </c>
      <c r="G3908" s="636" t="s">
        <v>8956</v>
      </c>
      <c r="H3908" s="636"/>
      <c r="I3908" s="636"/>
      <c r="J3908" s="644" t="s">
        <v>642</v>
      </c>
      <c r="K3908" s="739"/>
      <c r="L3908" s="754"/>
      <c r="M3908" s="735"/>
      <c r="N3908" s="753">
        <v>6</v>
      </c>
      <c r="O3908" s="754">
        <v>6</v>
      </c>
      <c r="P3908" s="736">
        <v>26689.8</v>
      </c>
      <c r="Q3908" s="214"/>
    </row>
    <row r="3909" spans="1:17" ht="12" customHeight="1" x14ac:dyDescent="0.2">
      <c r="A3909" s="735" t="s">
        <v>7733</v>
      </c>
      <c r="B3909" s="735" t="s">
        <v>2170</v>
      </c>
      <c r="C3909" s="735" t="s">
        <v>451</v>
      </c>
      <c r="D3909" s="644" t="s">
        <v>8268</v>
      </c>
      <c r="E3909" s="736">
        <v>2200</v>
      </c>
      <c r="F3909" s="737" t="s">
        <v>8581</v>
      </c>
      <c r="G3909" s="636" t="s">
        <v>8582</v>
      </c>
      <c r="H3909" s="636" t="s">
        <v>7152</v>
      </c>
      <c r="I3909" s="636" t="s">
        <v>4559</v>
      </c>
      <c r="J3909" s="644" t="s">
        <v>644</v>
      </c>
      <c r="K3909" s="739"/>
      <c r="L3909" s="754"/>
      <c r="M3909" s="735"/>
      <c r="N3909" s="753">
        <v>4</v>
      </c>
      <c r="O3909" s="754">
        <v>6</v>
      </c>
      <c r="P3909" s="736">
        <v>15889.8</v>
      </c>
      <c r="Q3909" s="214"/>
    </row>
    <row r="3910" spans="1:17" ht="12" customHeight="1" x14ac:dyDescent="0.2">
      <c r="A3910" s="735" t="s">
        <v>7733</v>
      </c>
      <c r="B3910" s="735" t="s">
        <v>2170</v>
      </c>
      <c r="C3910" s="735" t="s">
        <v>451</v>
      </c>
      <c r="D3910" s="644" t="s">
        <v>7817</v>
      </c>
      <c r="E3910" s="736">
        <v>2500</v>
      </c>
      <c r="F3910" s="737" t="s">
        <v>9293</v>
      </c>
      <c r="G3910" s="636" t="s">
        <v>9294</v>
      </c>
      <c r="H3910" s="636" t="s">
        <v>6778</v>
      </c>
      <c r="I3910" s="636" t="s">
        <v>3760</v>
      </c>
      <c r="J3910" s="644" t="s">
        <v>644</v>
      </c>
      <c r="K3910" s="739"/>
      <c r="L3910" s="754"/>
      <c r="M3910" s="735"/>
      <c r="N3910" s="753">
        <v>4</v>
      </c>
      <c r="O3910" s="754">
        <v>6</v>
      </c>
      <c r="P3910" s="736">
        <v>17689.8</v>
      </c>
      <c r="Q3910" s="214"/>
    </row>
    <row r="3911" spans="1:17" ht="12" customHeight="1" x14ac:dyDescent="0.2">
      <c r="A3911" s="735" t="s">
        <v>7733</v>
      </c>
      <c r="B3911" s="735" t="s">
        <v>2170</v>
      </c>
      <c r="C3911" s="735" t="s">
        <v>451</v>
      </c>
      <c r="D3911" s="644" t="s">
        <v>2261</v>
      </c>
      <c r="E3911" s="736">
        <v>2300</v>
      </c>
      <c r="F3911" s="737" t="s">
        <v>9821</v>
      </c>
      <c r="G3911" s="636" t="s">
        <v>9822</v>
      </c>
      <c r="H3911" s="636"/>
      <c r="I3911" s="636"/>
      <c r="J3911" s="644" t="s">
        <v>642</v>
      </c>
      <c r="K3911" s="739"/>
      <c r="L3911" s="754"/>
      <c r="M3911" s="735"/>
      <c r="N3911" s="753">
        <v>4</v>
      </c>
      <c r="O3911" s="754">
        <v>6</v>
      </c>
      <c r="P3911" s="736">
        <v>16489.8</v>
      </c>
      <c r="Q3911" s="214"/>
    </row>
    <row r="3912" spans="1:17" ht="12" customHeight="1" x14ac:dyDescent="0.2">
      <c r="A3912" s="735" t="s">
        <v>7733</v>
      </c>
      <c r="B3912" s="735" t="s">
        <v>2170</v>
      </c>
      <c r="C3912" s="735" t="s">
        <v>451</v>
      </c>
      <c r="D3912" s="644" t="s">
        <v>8214</v>
      </c>
      <c r="E3912" s="736">
        <v>5000</v>
      </c>
      <c r="F3912" s="737" t="s">
        <v>8215</v>
      </c>
      <c r="G3912" s="636" t="s">
        <v>8216</v>
      </c>
      <c r="H3912" s="636"/>
      <c r="I3912" s="636"/>
      <c r="J3912" s="644" t="s">
        <v>642</v>
      </c>
      <c r="K3912" s="739"/>
      <c r="L3912" s="754"/>
      <c r="M3912" s="735"/>
      <c r="N3912" s="753">
        <v>4</v>
      </c>
      <c r="O3912" s="754">
        <v>6</v>
      </c>
      <c r="P3912" s="736">
        <v>32689.8</v>
      </c>
      <c r="Q3912" s="214"/>
    </row>
    <row r="3913" spans="1:17" ht="12" customHeight="1" x14ac:dyDescent="0.2">
      <c r="A3913" s="735" t="s">
        <v>7733</v>
      </c>
      <c r="B3913" s="735" t="s">
        <v>2170</v>
      </c>
      <c r="C3913" s="735" t="s">
        <v>451</v>
      </c>
      <c r="D3913" s="644" t="s">
        <v>2772</v>
      </c>
      <c r="E3913" s="736">
        <v>2500</v>
      </c>
      <c r="F3913" s="737" t="s">
        <v>8672</v>
      </c>
      <c r="G3913" s="636" t="s">
        <v>8673</v>
      </c>
      <c r="H3913" s="636"/>
      <c r="I3913" s="636"/>
      <c r="J3913" s="644" t="s">
        <v>642</v>
      </c>
      <c r="K3913" s="739"/>
      <c r="L3913" s="754"/>
      <c r="M3913" s="735"/>
      <c r="N3913" s="753">
        <v>6</v>
      </c>
      <c r="O3913" s="754">
        <v>6</v>
      </c>
      <c r="P3913" s="736">
        <v>17689.8</v>
      </c>
      <c r="Q3913" s="214"/>
    </row>
    <row r="3914" spans="1:17" ht="12" customHeight="1" x14ac:dyDescent="0.2">
      <c r="A3914" s="735" t="s">
        <v>7733</v>
      </c>
      <c r="B3914" s="735" t="s">
        <v>2170</v>
      </c>
      <c r="C3914" s="735" t="s">
        <v>451</v>
      </c>
      <c r="D3914" s="644" t="s">
        <v>8927</v>
      </c>
      <c r="E3914" s="736">
        <v>4000</v>
      </c>
      <c r="F3914" s="737" t="s">
        <v>8928</v>
      </c>
      <c r="G3914" s="636" t="s">
        <v>8929</v>
      </c>
      <c r="H3914" s="636" t="s">
        <v>7752</v>
      </c>
      <c r="I3914" s="636" t="s">
        <v>8036</v>
      </c>
      <c r="J3914" s="644" t="s">
        <v>644</v>
      </c>
      <c r="K3914" s="739"/>
      <c r="L3914" s="754"/>
      <c r="M3914" s="735"/>
      <c r="N3914" s="753">
        <v>4</v>
      </c>
      <c r="O3914" s="754">
        <v>6</v>
      </c>
      <c r="P3914" s="736">
        <v>26689.8</v>
      </c>
      <c r="Q3914" s="214"/>
    </row>
    <row r="3915" spans="1:17" ht="12" customHeight="1" x14ac:dyDescent="0.2">
      <c r="A3915" s="735" t="s">
        <v>7733</v>
      </c>
      <c r="B3915" s="735" t="s">
        <v>2170</v>
      </c>
      <c r="C3915" s="735" t="s">
        <v>451</v>
      </c>
      <c r="D3915" s="644" t="s">
        <v>8268</v>
      </c>
      <c r="E3915" s="736">
        <v>2200</v>
      </c>
      <c r="F3915" s="737" t="s">
        <v>9361</v>
      </c>
      <c r="G3915" s="636" t="s">
        <v>9362</v>
      </c>
      <c r="H3915" s="636"/>
      <c r="I3915" s="636"/>
      <c r="J3915" s="644" t="s">
        <v>643</v>
      </c>
      <c r="K3915" s="739"/>
      <c r="L3915" s="754"/>
      <c r="M3915" s="735"/>
      <c r="N3915" s="753">
        <v>4</v>
      </c>
      <c r="O3915" s="754">
        <v>6</v>
      </c>
      <c r="P3915" s="736">
        <v>15889.8</v>
      </c>
      <c r="Q3915" s="214"/>
    </row>
    <row r="3916" spans="1:17" ht="12" customHeight="1" x14ac:dyDescent="0.2">
      <c r="A3916" s="735" t="s">
        <v>7733</v>
      </c>
      <c r="B3916" s="735" t="s">
        <v>2170</v>
      </c>
      <c r="C3916" s="735" t="s">
        <v>451</v>
      </c>
      <c r="D3916" s="644" t="s">
        <v>9192</v>
      </c>
      <c r="E3916" s="736">
        <v>3500</v>
      </c>
      <c r="F3916" s="737" t="s">
        <v>9880</v>
      </c>
      <c r="G3916" s="636" t="s">
        <v>9881</v>
      </c>
      <c r="H3916" s="636"/>
      <c r="I3916" s="636"/>
      <c r="J3916" s="644" t="s">
        <v>642</v>
      </c>
      <c r="K3916" s="739"/>
      <c r="L3916" s="754"/>
      <c r="M3916" s="735"/>
      <c r="N3916" s="753">
        <v>4</v>
      </c>
      <c r="O3916" s="754">
        <v>6</v>
      </c>
      <c r="P3916" s="736">
        <v>23689.8</v>
      </c>
      <c r="Q3916" s="214"/>
    </row>
    <row r="3917" spans="1:17" ht="12" customHeight="1" x14ac:dyDescent="0.2">
      <c r="A3917" s="735" t="s">
        <v>7733</v>
      </c>
      <c r="B3917" s="735" t="s">
        <v>2170</v>
      </c>
      <c r="C3917" s="735" t="s">
        <v>451</v>
      </c>
      <c r="D3917" s="644" t="s">
        <v>3345</v>
      </c>
      <c r="E3917" s="736">
        <v>4000</v>
      </c>
      <c r="F3917" s="737" t="s">
        <v>9890</v>
      </c>
      <c r="G3917" s="636" t="s">
        <v>9891</v>
      </c>
      <c r="H3917" s="636"/>
      <c r="I3917" s="636"/>
      <c r="J3917" s="644" t="s">
        <v>642</v>
      </c>
      <c r="K3917" s="739"/>
      <c r="L3917" s="754"/>
      <c r="M3917" s="735"/>
      <c r="N3917" s="753">
        <v>2</v>
      </c>
      <c r="O3917" s="754">
        <v>2</v>
      </c>
      <c r="P3917" s="736">
        <v>10689.8</v>
      </c>
      <c r="Q3917" s="214"/>
    </row>
    <row r="3918" spans="1:17" ht="12" customHeight="1" x14ac:dyDescent="0.2">
      <c r="A3918" s="735" t="s">
        <v>7733</v>
      </c>
      <c r="B3918" s="735" t="s">
        <v>2170</v>
      </c>
      <c r="C3918" s="735" t="s">
        <v>451</v>
      </c>
      <c r="D3918" s="644" t="s">
        <v>10217</v>
      </c>
      <c r="E3918" s="736">
        <v>2000</v>
      </c>
      <c r="F3918" s="737" t="s">
        <v>10218</v>
      </c>
      <c r="G3918" s="636" t="s">
        <v>10219</v>
      </c>
      <c r="H3918" s="636" t="s">
        <v>3915</v>
      </c>
      <c r="I3918" s="636"/>
      <c r="J3918" s="644" t="s">
        <v>7991</v>
      </c>
      <c r="K3918" s="739"/>
      <c r="L3918" s="754"/>
      <c r="M3918" s="735"/>
      <c r="N3918" s="753">
        <v>5</v>
      </c>
      <c r="O3918" s="754">
        <v>6</v>
      </c>
      <c r="P3918" s="736">
        <v>14689.8</v>
      </c>
      <c r="Q3918" s="214"/>
    </row>
    <row r="3919" spans="1:17" ht="12" customHeight="1" x14ac:dyDescent="0.2">
      <c r="A3919" s="735" t="s">
        <v>7733</v>
      </c>
      <c r="B3919" s="735" t="s">
        <v>2170</v>
      </c>
      <c r="C3919" s="735" t="s">
        <v>451</v>
      </c>
      <c r="D3919" s="644" t="s">
        <v>2261</v>
      </c>
      <c r="E3919" s="736">
        <v>2500</v>
      </c>
      <c r="F3919" s="737" t="s">
        <v>9959</v>
      </c>
      <c r="G3919" s="636" t="s">
        <v>9960</v>
      </c>
      <c r="H3919" s="636" t="s">
        <v>3915</v>
      </c>
      <c r="I3919" s="636" t="s">
        <v>9816</v>
      </c>
      <c r="J3919" s="644" t="s">
        <v>643</v>
      </c>
      <c r="K3919" s="739"/>
      <c r="L3919" s="754"/>
      <c r="M3919" s="735"/>
      <c r="N3919" s="753">
        <v>4</v>
      </c>
      <c r="O3919" s="754">
        <v>6</v>
      </c>
      <c r="P3919" s="736">
        <v>17689.8</v>
      </c>
      <c r="Q3919" s="214"/>
    </row>
    <row r="3920" spans="1:17" ht="12" customHeight="1" x14ac:dyDescent="0.2">
      <c r="A3920" s="735" t="s">
        <v>7733</v>
      </c>
      <c r="B3920" s="735" t="s">
        <v>2170</v>
      </c>
      <c r="C3920" s="735" t="s">
        <v>451</v>
      </c>
      <c r="D3920" s="644" t="s">
        <v>7921</v>
      </c>
      <c r="E3920" s="736">
        <v>4000</v>
      </c>
      <c r="F3920" s="737" t="s">
        <v>8668</v>
      </c>
      <c r="G3920" s="636" t="s">
        <v>8669</v>
      </c>
      <c r="H3920" s="636" t="s">
        <v>7152</v>
      </c>
      <c r="I3920" s="636" t="s">
        <v>2317</v>
      </c>
      <c r="J3920" s="644" t="s">
        <v>643</v>
      </c>
      <c r="K3920" s="739"/>
      <c r="L3920" s="754"/>
      <c r="M3920" s="735"/>
      <c r="N3920" s="753">
        <v>4</v>
      </c>
      <c r="O3920" s="754">
        <v>6</v>
      </c>
      <c r="P3920" s="736">
        <v>26689.8</v>
      </c>
      <c r="Q3920" s="214"/>
    </row>
    <row r="3921" spans="1:17" ht="12" customHeight="1" x14ac:dyDescent="0.2">
      <c r="A3921" s="735" t="s">
        <v>7733</v>
      </c>
      <c r="B3921" s="735" t="s">
        <v>2170</v>
      </c>
      <c r="C3921" s="735" t="s">
        <v>451</v>
      </c>
      <c r="D3921" s="644" t="s">
        <v>7779</v>
      </c>
      <c r="E3921" s="736">
        <v>4000</v>
      </c>
      <c r="F3921" s="737" t="s">
        <v>8068</v>
      </c>
      <c r="G3921" s="636" t="s">
        <v>8069</v>
      </c>
      <c r="H3921" s="636" t="s">
        <v>7782</v>
      </c>
      <c r="I3921" s="636" t="s">
        <v>7782</v>
      </c>
      <c r="J3921" s="644" t="s">
        <v>642</v>
      </c>
      <c r="K3921" s="739"/>
      <c r="L3921" s="754"/>
      <c r="M3921" s="735"/>
      <c r="N3921" s="753">
        <v>4</v>
      </c>
      <c r="O3921" s="754">
        <v>6</v>
      </c>
      <c r="P3921" s="736">
        <v>26689.8</v>
      </c>
      <c r="Q3921" s="214"/>
    </row>
    <row r="3922" spans="1:17" ht="12" customHeight="1" x14ac:dyDescent="0.2">
      <c r="A3922" s="735" t="s">
        <v>7733</v>
      </c>
      <c r="B3922" s="735" t="s">
        <v>2170</v>
      </c>
      <c r="C3922" s="735" t="s">
        <v>451</v>
      </c>
      <c r="D3922" s="644" t="s">
        <v>7755</v>
      </c>
      <c r="E3922" s="736">
        <v>2500</v>
      </c>
      <c r="F3922" s="737" t="s">
        <v>7875</v>
      </c>
      <c r="G3922" s="636" t="s">
        <v>7876</v>
      </c>
      <c r="H3922" s="636"/>
      <c r="I3922" s="636"/>
      <c r="J3922" s="644" t="s">
        <v>643</v>
      </c>
      <c r="K3922" s="739"/>
      <c r="L3922" s="754"/>
      <c r="M3922" s="735"/>
      <c r="N3922" s="753">
        <v>5</v>
      </c>
      <c r="O3922" s="754">
        <v>6</v>
      </c>
      <c r="P3922" s="736">
        <v>17689.8</v>
      </c>
      <c r="Q3922" s="214"/>
    </row>
    <row r="3923" spans="1:17" ht="12" customHeight="1" x14ac:dyDescent="0.2">
      <c r="A3923" s="735" t="s">
        <v>7733</v>
      </c>
      <c r="B3923" s="735" t="s">
        <v>2170</v>
      </c>
      <c r="C3923" s="735" t="s">
        <v>451</v>
      </c>
      <c r="D3923" s="644" t="s">
        <v>2261</v>
      </c>
      <c r="E3923" s="736">
        <v>3000</v>
      </c>
      <c r="F3923" s="737" t="s">
        <v>8065</v>
      </c>
      <c r="G3923" s="636" t="s">
        <v>8066</v>
      </c>
      <c r="H3923" s="636" t="s">
        <v>8067</v>
      </c>
      <c r="I3923" s="636" t="s">
        <v>6668</v>
      </c>
      <c r="J3923" s="644" t="s">
        <v>644</v>
      </c>
      <c r="K3923" s="739"/>
      <c r="L3923" s="754"/>
      <c r="M3923" s="735"/>
      <c r="N3923" s="753">
        <v>2</v>
      </c>
      <c r="O3923" s="754">
        <v>2</v>
      </c>
      <c r="P3923" s="736">
        <v>8689.7999999999993</v>
      </c>
      <c r="Q3923" s="214"/>
    </row>
    <row r="3924" spans="1:17" ht="12" customHeight="1" x14ac:dyDescent="0.2">
      <c r="A3924" s="735" t="s">
        <v>7733</v>
      </c>
      <c r="B3924" s="735" t="s">
        <v>2170</v>
      </c>
      <c r="C3924" s="735" t="s">
        <v>451</v>
      </c>
      <c r="D3924" s="644" t="s">
        <v>2737</v>
      </c>
      <c r="E3924" s="736">
        <v>2000</v>
      </c>
      <c r="F3924" s="737" t="s">
        <v>9486</v>
      </c>
      <c r="G3924" s="636" t="s">
        <v>9487</v>
      </c>
      <c r="H3924" s="636" t="s">
        <v>3522</v>
      </c>
      <c r="I3924" s="636" t="s">
        <v>2346</v>
      </c>
      <c r="J3924" s="644" t="s">
        <v>643</v>
      </c>
      <c r="K3924" s="739"/>
      <c r="L3924" s="754"/>
      <c r="M3924" s="735"/>
      <c r="N3924" s="753">
        <v>4</v>
      </c>
      <c r="O3924" s="754">
        <v>6</v>
      </c>
      <c r="P3924" s="736">
        <v>14689.8</v>
      </c>
      <c r="Q3924" s="214"/>
    </row>
    <row r="3925" spans="1:17" ht="12" customHeight="1" x14ac:dyDescent="0.2">
      <c r="A3925" s="735" t="s">
        <v>7733</v>
      </c>
      <c r="B3925" s="735" t="s">
        <v>2170</v>
      </c>
      <c r="C3925" s="735" t="s">
        <v>451</v>
      </c>
      <c r="D3925" s="644" t="s">
        <v>8445</v>
      </c>
      <c r="E3925" s="736">
        <v>2500</v>
      </c>
      <c r="F3925" s="737" t="s">
        <v>10220</v>
      </c>
      <c r="G3925" s="636" t="s">
        <v>10221</v>
      </c>
      <c r="H3925" s="636" t="s">
        <v>6571</v>
      </c>
      <c r="I3925" s="636"/>
      <c r="J3925" s="644"/>
      <c r="K3925" s="739"/>
      <c r="L3925" s="754"/>
      <c r="M3925" s="735"/>
      <c r="N3925" s="753">
        <v>2</v>
      </c>
      <c r="O3925" s="754">
        <v>1</v>
      </c>
      <c r="P3925" s="736">
        <v>5189.8</v>
      </c>
      <c r="Q3925" s="214"/>
    </row>
    <row r="3926" spans="1:17" ht="12" customHeight="1" x14ac:dyDescent="0.2">
      <c r="A3926" s="735" t="s">
        <v>7733</v>
      </c>
      <c r="B3926" s="735" t="s">
        <v>2170</v>
      </c>
      <c r="C3926" s="735" t="s">
        <v>451</v>
      </c>
      <c r="D3926" s="644" t="s">
        <v>8899</v>
      </c>
      <c r="E3926" s="736">
        <v>3000</v>
      </c>
      <c r="F3926" s="737" t="s">
        <v>8900</v>
      </c>
      <c r="G3926" s="636" t="s">
        <v>8901</v>
      </c>
      <c r="H3926" s="636" t="s">
        <v>6625</v>
      </c>
      <c r="I3926" s="636" t="s">
        <v>6874</v>
      </c>
      <c r="J3926" s="644" t="s">
        <v>642</v>
      </c>
      <c r="K3926" s="739"/>
      <c r="L3926" s="754"/>
      <c r="M3926" s="735"/>
      <c r="N3926" s="753">
        <v>6</v>
      </c>
      <c r="O3926" s="754">
        <v>6</v>
      </c>
      <c r="P3926" s="736">
        <v>20689.8</v>
      </c>
      <c r="Q3926" s="214"/>
    </row>
    <row r="3927" spans="1:17" ht="12" customHeight="1" x14ac:dyDescent="0.2">
      <c r="A3927" s="735" t="s">
        <v>7733</v>
      </c>
      <c r="B3927" s="735" t="s">
        <v>2170</v>
      </c>
      <c r="C3927" s="735" t="s">
        <v>451</v>
      </c>
      <c r="D3927" s="644" t="s">
        <v>6668</v>
      </c>
      <c r="E3927" s="736">
        <v>3500</v>
      </c>
      <c r="F3927" s="737" t="s">
        <v>8054</v>
      </c>
      <c r="G3927" s="636" t="s">
        <v>8055</v>
      </c>
      <c r="H3927" s="636" t="s">
        <v>8056</v>
      </c>
      <c r="I3927" s="636" t="s">
        <v>2174</v>
      </c>
      <c r="J3927" s="644" t="s">
        <v>642</v>
      </c>
      <c r="K3927" s="739"/>
      <c r="L3927" s="754"/>
      <c r="M3927" s="735"/>
      <c r="N3927" s="753">
        <v>4</v>
      </c>
      <c r="O3927" s="754">
        <v>6</v>
      </c>
      <c r="P3927" s="736">
        <v>23689.8</v>
      </c>
      <c r="Q3927" s="214"/>
    </row>
    <row r="3928" spans="1:17" ht="12" customHeight="1" x14ac:dyDescent="0.2">
      <c r="A3928" s="735" t="s">
        <v>7733</v>
      </c>
      <c r="B3928" s="735" t="s">
        <v>2170</v>
      </c>
      <c r="C3928" s="735" t="s">
        <v>451</v>
      </c>
      <c r="D3928" s="644" t="s">
        <v>7855</v>
      </c>
      <c r="E3928" s="736">
        <v>2200</v>
      </c>
      <c r="F3928" s="737" t="s">
        <v>8718</v>
      </c>
      <c r="G3928" s="636" t="s">
        <v>8719</v>
      </c>
      <c r="H3928" s="636" t="s">
        <v>7858</v>
      </c>
      <c r="I3928" s="636" t="s">
        <v>7858</v>
      </c>
      <c r="J3928" s="644" t="s">
        <v>644</v>
      </c>
      <c r="K3928" s="739"/>
      <c r="L3928" s="754"/>
      <c r="M3928" s="735"/>
      <c r="N3928" s="753">
        <v>4</v>
      </c>
      <c r="O3928" s="754">
        <v>6</v>
      </c>
      <c r="P3928" s="736">
        <v>15889.8</v>
      </c>
      <c r="Q3928" s="214"/>
    </row>
    <row r="3929" spans="1:17" ht="12" customHeight="1" x14ac:dyDescent="0.2">
      <c r="A3929" s="735" t="s">
        <v>7733</v>
      </c>
      <c r="B3929" s="735" t="s">
        <v>2170</v>
      </c>
      <c r="C3929" s="735" t="s">
        <v>451</v>
      </c>
      <c r="D3929" s="644" t="s">
        <v>2261</v>
      </c>
      <c r="E3929" s="736">
        <v>3000</v>
      </c>
      <c r="F3929" s="737" t="s">
        <v>9882</v>
      </c>
      <c r="G3929" s="636" t="s">
        <v>9883</v>
      </c>
      <c r="H3929" s="636"/>
      <c r="I3929" s="636"/>
      <c r="J3929" s="644" t="s">
        <v>642</v>
      </c>
      <c r="K3929" s="739"/>
      <c r="L3929" s="754"/>
      <c r="M3929" s="735"/>
      <c r="N3929" s="753">
        <v>4</v>
      </c>
      <c r="O3929" s="754">
        <v>6</v>
      </c>
      <c r="P3929" s="736">
        <v>20689.8</v>
      </c>
      <c r="Q3929" s="214"/>
    </row>
    <row r="3930" spans="1:17" ht="12" customHeight="1" x14ac:dyDescent="0.2">
      <c r="A3930" s="735" t="s">
        <v>7733</v>
      </c>
      <c r="B3930" s="735" t="s">
        <v>2170</v>
      </c>
      <c r="C3930" s="735" t="s">
        <v>451</v>
      </c>
      <c r="D3930" s="644" t="s">
        <v>7871</v>
      </c>
      <c r="E3930" s="736">
        <v>5000</v>
      </c>
      <c r="F3930" s="737" t="s">
        <v>9841</v>
      </c>
      <c r="G3930" s="636" t="s">
        <v>9842</v>
      </c>
      <c r="H3930" s="636" t="s">
        <v>8067</v>
      </c>
      <c r="I3930" s="636" t="s">
        <v>9843</v>
      </c>
      <c r="J3930" s="644" t="s">
        <v>642</v>
      </c>
      <c r="K3930" s="739"/>
      <c r="L3930" s="754"/>
      <c r="M3930" s="735"/>
      <c r="N3930" s="753">
        <v>4</v>
      </c>
      <c r="O3930" s="754">
        <v>6</v>
      </c>
      <c r="P3930" s="736">
        <v>32689.8</v>
      </c>
      <c r="Q3930" s="214"/>
    </row>
    <row r="3931" spans="1:17" ht="12" customHeight="1" x14ac:dyDescent="0.2">
      <c r="A3931" s="735" t="s">
        <v>7733</v>
      </c>
      <c r="B3931" s="735" t="s">
        <v>2170</v>
      </c>
      <c r="C3931" s="735" t="s">
        <v>451</v>
      </c>
      <c r="D3931" s="644" t="s">
        <v>7901</v>
      </c>
      <c r="E3931" s="736">
        <v>2500</v>
      </c>
      <c r="F3931" s="737" t="s">
        <v>8153</v>
      </c>
      <c r="G3931" s="636" t="s">
        <v>8154</v>
      </c>
      <c r="H3931" s="636" t="s">
        <v>6571</v>
      </c>
      <c r="I3931" s="636" t="s">
        <v>2179</v>
      </c>
      <c r="J3931" s="644" t="s">
        <v>642</v>
      </c>
      <c r="K3931" s="739"/>
      <c r="L3931" s="754"/>
      <c r="M3931" s="735"/>
      <c r="N3931" s="753">
        <v>4</v>
      </c>
      <c r="O3931" s="754">
        <v>6</v>
      </c>
      <c r="P3931" s="736">
        <v>17689.8</v>
      </c>
      <c r="Q3931" s="214"/>
    </row>
    <row r="3932" spans="1:17" ht="12" customHeight="1" x14ac:dyDescent="0.2">
      <c r="A3932" s="735" t="s">
        <v>7733</v>
      </c>
      <c r="B3932" s="735" t="s">
        <v>2170</v>
      </c>
      <c r="C3932" s="735" t="s">
        <v>451</v>
      </c>
      <c r="D3932" s="644" t="s">
        <v>5832</v>
      </c>
      <c r="E3932" s="736">
        <v>2300</v>
      </c>
      <c r="F3932" s="737" t="s">
        <v>9777</v>
      </c>
      <c r="G3932" s="636" t="s">
        <v>9778</v>
      </c>
      <c r="H3932" s="636" t="s">
        <v>8370</v>
      </c>
      <c r="I3932" s="636" t="s">
        <v>7835</v>
      </c>
      <c r="J3932" s="644" t="s">
        <v>642</v>
      </c>
      <c r="K3932" s="739"/>
      <c r="L3932" s="754"/>
      <c r="M3932" s="735"/>
      <c r="N3932" s="753">
        <v>2</v>
      </c>
      <c r="O3932" s="754">
        <v>2</v>
      </c>
      <c r="P3932" s="736">
        <v>7289.8</v>
      </c>
      <c r="Q3932" s="214"/>
    </row>
    <row r="3933" spans="1:17" ht="12" customHeight="1" x14ac:dyDescent="0.2">
      <c r="A3933" s="735" t="s">
        <v>7733</v>
      </c>
      <c r="B3933" s="735" t="s">
        <v>2170</v>
      </c>
      <c r="C3933" s="735" t="s">
        <v>451</v>
      </c>
      <c r="D3933" s="644" t="s">
        <v>7901</v>
      </c>
      <c r="E3933" s="736">
        <v>2500</v>
      </c>
      <c r="F3933" s="737" t="s">
        <v>8870</v>
      </c>
      <c r="G3933" s="636" t="s">
        <v>8871</v>
      </c>
      <c r="H3933" s="636" t="s">
        <v>6608</v>
      </c>
      <c r="I3933" s="636" t="s">
        <v>2766</v>
      </c>
      <c r="J3933" s="644" t="s">
        <v>644</v>
      </c>
      <c r="K3933" s="739"/>
      <c r="L3933" s="754"/>
      <c r="M3933" s="735"/>
      <c r="N3933" s="753">
        <v>4</v>
      </c>
      <c r="O3933" s="754">
        <v>6</v>
      </c>
      <c r="P3933" s="736">
        <v>17689.8</v>
      </c>
      <c r="Q3933" s="214"/>
    </row>
    <row r="3934" spans="1:17" ht="12" customHeight="1" x14ac:dyDescent="0.2">
      <c r="A3934" s="735" t="s">
        <v>7733</v>
      </c>
      <c r="B3934" s="735" t="s">
        <v>2170</v>
      </c>
      <c r="C3934" s="735" t="s">
        <v>451</v>
      </c>
      <c r="D3934" s="644" t="s">
        <v>9146</v>
      </c>
      <c r="E3934" s="736">
        <v>4000</v>
      </c>
      <c r="F3934" s="737" t="s">
        <v>9147</v>
      </c>
      <c r="G3934" s="636" t="s">
        <v>9148</v>
      </c>
      <c r="H3934" s="636" t="s">
        <v>6571</v>
      </c>
      <c r="I3934" s="636" t="s">
        <v>2179</v>
      </c>
      <c r="J3934" s="644" t="s">
        <v>642</v>
      </c>
      <c r="K3934" s="739"/>
      <c r="L3934" s="754"/>
      <c r="M3934" s="735"/>
      <c r="N3934" s="753">
        <v>6</v>
      </c>
      <c r="O3934" s="754">
        <v>6</v>
      </c>
      <c r="P3934" s="736">
        <v>26689.8</v>
      </c>
      <c r="Q3934" s="214"/>
    </row>
    <row r="3935" spans="1:17" ht="12" customHeight="1" x14ac:dyDescent="0.2">
      <c r="A3935" s="735" t="s">
        <v>7733</v>
      </c>
      <c r="B3935" s="735" t="s">
        <v>2170</v>
      </c>
      <c r="C3935" s="735" t="s">
        <v>451</v>
      </c>
      <c r="D3935" s="644" t="s">
        <v>8149</v>
      </c>
      <c r="E3935" s="736">
        <v>2300</v>
      </c>
      <c r="F3935" s="737" t="s">
        <v>9436</v>
      </c>
      <c r="G3935" s="636" t="s">
        <v>9437</v>
      </c>
      <c r="H3935" s="636"/>
      <c r="I3935" s="636"/>
      <c r="J3935" s="644" t="s">
        <v>642</v>
      </c>
      <c r="K3935" s="739"/>
      <c r="L3935" s="754"/>
      <c r="M3935" s="735"/>
      <c r="N3935" s="753">
        <v>4</v>
      </c>
      <c r="O3935" s="754">
        <v>6</v>
      </c>
      <c r="P3935" s="736">
        <v>16489.8</v>
      </c>
      <c r="Q3935" s="214"/>
    </row>
    <row r="3936" spans="1:17" ht="12" customHeight="1" x14ac:dyDescent="0.2">
      <c r="A3936" s="735" t="s">
        <v>7733</v>
      </c>
      <c r="B3936" s="735" t="s">
        <v>2170</v>
      </c>
      <c r="C3936" s="735" t="s">
        <v>451</v>
      </c>
      <c r="D3936" s="644" t="s">
        <v>2261</v>
      </c>
      <c r="E3936" s="736">
        <v>3200</v>
      </c>
      <c r="F3936" s="737" t="s">
        <v>9572</v>
      </c>
      <c r="G3936" s="636" t="s">
        <v>9573</v>
      </c>
      <c r="H3936" s="636"/>
      <c r="I3936" s="636"/>
      <c r="J3936" s="644" t="s">
        <v>644</v>
      </c>
      <c r="K3936" s="739"/>
      <c r="L3936" s="754"/>
      <c r="M3936" s="735"/>
      <c r="N3936" s="753">
        <v>4</v>
      </c>
      <c r="O3936" s="754">
        <v>6</v>
      </c>
      <c r="P3936" s="736">
        <v>21889.8</v>
      </c>
      <c r="Q3936" s="214"/>
    </row>
    <row r="3937" spans="1:17" ht="12" customHeight="1" x14ac:dyDescent="0.2">
      <c r="A3937" s="735" t="s">
        <v>7733</v>
      </c>
      <c r="B3937" s="735" t="s">
        <v>2170</v>
      </c>
      <c r="C3937" s="735" t="s">
        <v>451</v>
      </c>
      <c r="D3937" s="644" t="s">
        <v>9071</v>
      </c>
      <c r="E3937" s="736">
        <v>2100</v>
      </c>
      <c r="F3937" s="737" t="s">
        <v>9072</v>
      </c>
      <c r="G3937" s="636" t="s">
        <v>9073</v>
      </c>
      <c r="H3937" s="636" t="s">
        <v>3915</v>
      </c>
      <c r="I3937" s="636" t="s">
        <v>8644</v>
      </c>
      <c r="J3937" s="644" t="s">
        <v>642</v>
      </c>
      <c r="K3937" s="739"/>
      <c r="L3937" s="754"/>
      <c r="M3937" s="735"/>
      <c r="N3937" s="753">
        <v>2</v>
      </c>
      <c r="O3937" s="754">
        <v>2</v>
      </c>
      <c r="P3937" s="736">
        <v>6889.8</v>
      </c>
      <c r="Q3937" s="214"/>
    </row>
    <row r="3938" spans="1:17" ht="12" customHeight="1" x14ac:dyDescent="0.2">
      <c r="A3938" s="735" t="s">
        <v>7733</v>
      </c>
      <c r="B3938" s="735" t="s">
        <v>2170</v>
      </c>
      <c r="C3938" s="735" t="s">
        <v>451</v>
      </c>
      <c r="D3938" s="644" t="s">
        <v>7800</v>
      </c>
      <c r="E3938" s="736">
        <v>3500</v>
      </c>
      <c r="F3938" s="737" t="s">
        <v>9677</v>
      </c>
      <c r="G3938" s="636" t="s">
        <v>9678</v>
      </c>
      <c r="H3938" s="636"/>
      <c r="I3938" s="636"/>
      <c r="J3938" s="644" t="s">
        <v>642</v>
      </c>
      <c r="K3938" s="739"/>
      <c r="L3938" s="754"/>
      <c r="M3938" s="735"/>
      <c r="N3938" s="753">
        <v>6</v>
      </c>
      <c r="O3938" s="754">
        <v>6</v>
      </c>
      <c r="P3938" s="736">
        <v>23689.8</v>
      </c>
      <c r="Q3938" s="214"/>
    </row>
    <row r="3939" spans="1:17" ht="12" customHeight="1" x14ac:dyDescent="0.2">
      <c r="A3939" s="735" t="s">
        <v>7733</v>
      </c>
      <c r="B3939" s="735" t="s">
        <v>2170</v>
      </c>
      <c r="C3939" s="735" t="s">
        <v>451</v>
      </c>
      <c r="D3939" s="644" t="s">
        <v>2560</v>
      </c>
      <c r="E3939" s="736">
        <v>3000</v>
      </c>
      <c r="F3939" s="737" t="s">
        <v>9811</v>
      </c>
      <c r="G3939" s="636" t="s">
        <v>9812</v>
      </c>
      <c r="H3939" s="636"/>
      <c r="I3939" s="636"/>
      <c r="J3939" s="644" t="s">
        <v>644</v>
      </c>
      <c r="K3939" s="739"/>
      <c r="L3939" s="754"/>
      <c r="M3939" s="735"/>
      <c r="N3939" s="753">
        <v>3</v>
      </c>
      <c r="O3939" s="754">
        <v>3</v>
      </c>
      <c r="P3939" s="736">
        <v>11689.8</v>
      </c>
      <c r="Q3939" s="214"/>
    </row>
    <row r="3940" spans="1:17" ht="12" customHeight="1" x14ac:dyDescent="0.2">
      <c r="A3940" s="735" t="s">
        <v>7733</v>
      </c>
      <c r="B3940" s="735" t="s">
        <v>2170</v>
      </c>
      <c r="C3940" s="735" t="s">
        <v>451</v>
      </c>
      <c r="D3940" s="644" t="s">
        <v>7921</v>
      </c>
      <c r="E3940" s="736">
        <v>4000</v>
      </c>
      <c r="F3940" s="737" t="s">
        <v>8106</v>
      </c>
      <c r="G3940" s="636" t="s">
        <v>8107</v>
      </c>
      <c r="H3940" s="636" t="s">
        <v>7152</v>
      </c>
      <c r="I3940" s="636" t="s">
        <v>2317</v>
      </c>
      <c r="J3940" s="644" t="s">
        <v>642</v>
      </c>
      <c r="K3940" s="739"/>
      <c r="L3940" s="754"/>
      <c r="M3940" s="735"/>
      <c r="N3940" s="753">
        <v>6</v>
      </c>
      <c r="O3940" s="754">
        <v>6</v>
      </c>
      <c r="P3940" s="736">
        <v>26689.8</v>
      </c>
      <c r="Q3940" s="214"/>
    </row>
    <row r="3941" spans="1:17" ht="12" customHeight="1" x14ac:dyDescent="0.2">
      <c r="A3941" s="735" t="s">
        <v>7733</v>
      </c>
      <c r="B3941" s="735" t="s">
        <v>2170</v>
      </c>
      <c r="C3941" s="735" t="s">
        <v>451</v>
      </c>
      <c r="D3941" s="644" t="s">
        <v>7868</v>
      </c>
      <c r="E3941" s="736">
        <v>4000</v>
      </c>
      <c r="F3941" s="737" t="s">
        <v>9053</v>
      </c>
      <c r="G3941" s="636" t="s">
        <v>9054</v>
      </c>
      <c r="H3941" s="636" t="s">
        <v>10235</v>
      </c>
      <c r="I3941" s="636"/>
      <c r="J3941" s="644" t="s">
        <v>642</v>
      </c>
      <c r="K3941" s="739"/>
      <c r="L3941" s="754"/>
      <c r="M3941" s="735"/>
      <c r="N3941" s="753">
        <v>4</v>
      </c>
      <c r="O3941" s="754">
        <v>6</v>
      </c>
      <c r="P3941" s="736">
        <v>26689.8</v>
      </c>
      <c r="Q3941" s="214"/>
    </row>
    <row r="3942" spans="1:17" ht="12" customHeight="1" x14ac:dyDescent="0.2">
      <c r="A3942" s="735" t="s">
        <v>7733</v>
      </c>
      <c r="B3942" s="735" t="s">
        <v>2170</v>
      </c>
      <c r="C3942" s="735" t="s">
        <v>451</v>
      </c>
      <c r="D3942" s="644" t="s">
        <v>8158</v>
      </c>
      <c r="E3942" s="736">
        <v>2500</v>
      </c>
      <c r="F3942" s="737" t="s">
        <v>9082</v>
      </c>
      <c r="G3942" s="636" t="s">
        <v>9083</v>
      </c>
      <c r="H3942" s="636" t="s">
        <v>6778</v>
      </c>
      <c r="I3942" s="636" t="s">
        <v>3092</v>
      </c>
      <c r="J3942" s="644" t="s">
        <v>643</v>
      </c>
      <c r="K3942" s="739"/>
      <c r="L3942" s="754"/>
      <c r="M3942" s="735"/>
      <c r="N3942" s="753">
        <v>3</v>
      </c>
      <c r="O3942" s="754">
        <v>3</v>
      </c>
      <c r="P3942" s="736">
        <v>10189.799999999999</v>
      </c>
      <c r="Q3942" s="214"/>
    </row>
    <row r="3943" spans="1:17" ht="12" customHeight="1" x14ac:dyDescent="0.2">
      <c r="A3943" s="735" t="s">
        <v>7733</v>
      </c>
      <c r="B3943" s="735" t="s">
        <v>2170</v>
      </c>
      <c r="C3943" s="735" t="s">
        <v>451</v>
      </c>
      <c r="D3943" s="644" t="s">
        <v>10028</v>
      </c>
      <c r="E3943" s="736">
        <v>4500</v>
      </c>
      <c r="F3943" s="737" t="s">
        <v>10029</v>
      </c>
      <c r="G3943" s="636" t="s">
        <v>10030</v>
      </c>
      <c r="H3943" s="636" t="s">
        <v>6571</v>
      </c>
      <c r="I3943" s="636" t="s">
        <v>2179</v>
      </c>
      <c r="J3943" s="644" t="s">
        <v>642</v>
      </c>
      <c r="K3943" s="739"/>
      <c r="L3943" s="754"/>
      <c r="M3943" s="735"/>
      <c r="N3943" s="753">
        <v>4</v>
      </c>
      <c r="O3943" s="754">
        <v>6</v>
      </c>
      <c r="P3943" s="736">
        <v>29689.8</v>
      </c>
      <c r="Q3943" s="214"/>
    </row>
    <row r="3944" spans="1:17" ht="12" customHeight="1" x14ac:dyDescent="0.2">
      <c r="A3944" s="735" t="s">
        <v>7733</v>
      </c>
      <c r="B3944" s="735" t="s">
        <v>2170</v>
      </c>
      <c r="C3944" s="735" t="s">
        <v>451</v>
      </c>
      <c r="D3944" s="644" t="s">
        <v>2261</v>
      </c>
      <c r="E3944" s="736">
        <v>1800</v>
      </c>
      <c r="F3944" s="737" t="s">
        <v>10255</v>
      </c>
      <c r="G3944" s="636" t="s">
        <v>10256</v>
      </c>
      <c r="H3944" s="636" t="s">
        <v>10257</v>
      </c>
      <c r="I3944" s="636" t="s">
        <v>4559</v>
      </c>
      <c r="J3944" s="644" t="s">
        <v>7991</v>
      </c>
      <c r="K3944" s="739"/>
      <c r="L3944" s="754"/>
      <c r="M3944" s="735"/>
      <c r="N3944" s="753">
        <v>4</v>
      </c>
      <c r="O3944" s="754">
        <v>6</v>
      </c>
      <c r="P3944" s="736">
        <v>13344</v>
      </c>
      <c r="Q3944" s="214"/>
    </row>
    <row r="3945" spans="1:17" ht="12" customHeight="1" x14ac:dyDescent="0.2">
      <c r="A3945" s="735" t="s">
        <v>7733</v>
      </c>
      <c r="B3945" s="735" t="s">
        <v>2170</v>
      </c>
      <c r="C3945" s="735" t="s">
        <v>451</v>
      </c>
      <c r="D3945" s="644" t="s">
        <v>2261</v>
      </c>
      <c r="E3945" s="736">
        <v>3000</v>
      </c>
      <c r="F3945" s="737" t="s">
        <v>9466</v>
      </c>
      <c r="G3945" s="636" t="s">
        <v>9467</v>
      </c>
      <c r="H3945" s="636" t="s">
        <v>3522</v>
      </c>
      <c r="I3945" s="636" t="s">
        <v>2346</v>
      </c>
      <c r="J3945" s="644" t="s">
        <v>642</v>
      </c>
      <c r="K3945" s="739"/>
      <c r="L3945" s="754"/>
      <c r="M3945" s="735"/>
      <c r="N3945" s="753">
        <v>4</v>
      </c>
      <c r="O3945" s="754">
        <v>6</v>
      </c>
      <c r="P3945" s="736">
        <v>20689.8</v>
      </c>
      <c r="Q3945" s="214"/>
    </row>
    <row r="3946" spans="1:17" ht="12" customHeight="1" x14ac:dyDescent="0.2">
      <c r="A3946" s="735" t="s">
        <v>7733</v>
      </c>
      <c r="B3946" s="735" t="s">
        <v>2170</v>
      </c>
      <c r="C3946" s="735" t="s">
        <v>451</v>
      </c>
      <c r="D3946" s="644" t="s">
        <v>8268</v>
      </c>
      <c r="E3946" s="736">
        <v>2200</v>
      </c>
      <c r="F3946" s="737" t="s">
        <v>9787</v>
      </c>
      <c r="G3946" s="636" t="s">
        <v>9788</v>
      </c>
      <c r="H3946" s="636"/>
      <c r="I3946" s="636"/>
      <c r="J3946" s="644" t="s">
        <v>643</v>
      </c>
      <c r="K3946" s="739"/>
      <c r="L3946" s="754"/>
      <c r="M3946" s="735"/>
      <c r="N3946" s="753">
        <v>4</v>
      </c>
      <c r="O3946" s="754">
        <v>6</v>
      </c>
      <c r="P3946" s="736">
        <v>15889.8</v>
      </c>
      <c r="Q3946" s="214"/>
    </row>
    <row r="3947" spans="1:17" ht="12" customHeight="1" x14ac:dyDescent="0.2">
      <c r="A3947" s="735" t="s">
        <v>7733</v>
      </c>
      <c r="B3947" s="735" t="s">
        <v>2170</v>
      </c>
      <c r="C3947" s="735" t="s">
        <v>451</v>
      </c>
      <c r="D3947" s="644" t="s">
        <v>2737</v>
      </c>
      <c r="E3947" s="736">
        <v>2500</v>
      </c>
      <c r="F3947" s="737" t="s">
        <v>8324</v>
      </c>
      <c r="G3947" s="636" t="s">
        <v>8325</v>
      </c>
      <c r="H3947" s="636" t="s">
        <v>6613</v>
      </c>
      <c r="I3947" s="636" t="s">
        <v>2745</v>
      </c>
      <c r="J3947" s="644" t="s">
        <v>642</v>
      </c>
      <c r="K3947" s="739"/>
      <c r="L3947" s="754"/>
      <c r="M3947" s="735"/>
      <c r="N3947" s="753">
        <v>4</v>
      </c>
      <c r="O3947" s="754">
        <v>6</v>
      </c>
      <c r="P3947" s="736">
        <v>17689.8</v>
      </c>
      <c r="Q3947" s="214"/>
    </row>
    <row r="3948" spans="1:17" ht="12" customHeight="1" x14ac:dyDescent="0.2">
      <c r="A3948" s="735" t="s">
        <v>7733</v>
      </c>
      <c r="B3948" s="735" t="s">
        <v>2170</v>
      </c>
      <c r="C3948" s="735" t="s">
        <v>451</v>
      </c>
      <c r="D3948" s="644" t="s">
        <v>8639</v>
      </c>
      <c r="E3948" s="736">
        <v>1000</v>
      </c>
      <c r="F3948" s="737" t="s">
        <v>8640</v>
      </c>
      <c r="G3948" s="636" t="s">
        <v>8641</v>
      </c>
      <c r="H3948" s="636"/>
      <c r="I3948" s="636"/>
      <c r="J3948" s="644" t="s">
        <v>644</v>
      </c>
      <c r="K3948" s="739"/>
      <c r="L3948" s="754"/>
      <c r="M3948" s="735"/>
      <c r="N3948" s="753">
        <v>6</v>
      </c>
      <c r="O3948" s="754">
        <v>6</v>
      </c>
      <c r="P3948" s="736">
        <v>7680</v>
      </c>
      <c r="Q3948" s="214"/>
    </row>
    <row r="3949" spans="1:17" ht="12" customHeight="1" x14ac:dyDescent="0.2">
      <c r="A3949" s="735" t="s">
        <v>7733</v>
      </c>
      <c r="B3949" s="735" t="s">
        <v>2170</v>
      </c>
      <c r="C3949" s="735" t="s">
        <v>451</v>
      </c>
      <c r="D3949" s="644" t="s">
        <v>2772</v>
      </c>
      <c r="E3949" s="736">
        <v>2500</v>
      </c>
      <c r="F3949" s="737" t="s">
        <v>9858</v>
      </c>
      <c r="G3949" s="636" t="s">
        <v>9859</v>
      </c>
      <c r="H3949" s="636" t="s">
        <v>6571</v>
      </c>
      <c r="I3949" s="636" t="s">
        <v>2179</v>
      </c>
      <c r="J3949" s="644" t="s">
        <v>642</v>
      </c>
      <c r="K3949" s="739"/>
      <c r="L3949" s="754"/>
      <c r="M3949" s="735"/>
      <c r="N3949" s="753">
        <v>4</v>
      </c>
      <c r="O3949" s="754">
        <v>6</v>
      </c>
      <c r="P3949" s="736">
        <v>17689.8</v>
      </c>
      <c r="Q3949" s="214"/>
    </row>
    <row r="3950" spans="1:17" ht="12" customHeight="1" x14ac:dyDescent="0.2">
      <c r="A3950" s="735" t="s">
        <v>7733</v>
      </c>
      <c r="B3950" s="735" t="s">
        <v>2170</v>
      </c>
      <c r="C3950" s="735" t="s">
        <v>451</v>
      </c>
      <c r="D3950" s="644" t="s">
        <v>8804</v>
      </c>
      <c r="E3950" s="736">
        <v>1500</v>
      </c>
      <c r="F3950" s="737" t="s">
        <v>8805</v>
      </c>
      <c r="G3950" s="636" t="s">
        <v>8806</v>
      </c>
      <c r="H3950" s="636" t="s">
        <v>7280</v>
      </c>
      <c r="I3950" s="636" t="s">
        <v>4559</v>
      </c>
      <c r="J3950" s="644" t="s">
        <v>7991</v>
      </c>
      <c r="K3950" s="739"/>
      <c r="L3950" s="754"/>
      <c r="M3950" s="735"/>
      <c r="N3950" s="753">
        <v>4</v>
      </c>
      <c r="O3950" s="754">
        <v>6</v>
      </c>
      <c r="P3950" s="736">
        <v>11220</v>
      </c>
      <c r="Q3950" s="214"/>
    </row>
    <row r="3951" spans="1:17" ht="12" customHeight="1" x14ac:dyDescent="0.2">
      <c r="A3951" s="735" t="s">
        <v>7733</v>
      </c>
      <c r="B3951" s="735" t="s">
        <v>2170</v>
      </c>
      <c r="C3951" s="735" t="s">
        <v>451</v>
      </c>
      <c r="D3951" s="644" t="s">
        <v>2261</v>
      </c>
      <c r="E3951" s="736">
        <v>2000</v>
      </c>
      <c r="F3951" s="737" t="s">
        <v>10077</v>
      </c>
      <c r="G3951" s="636" t="s">
        <v>10078</v>
      </c>
      <c r="H3951" s="636"/>
      <c r="I3951" s="636"/>
      <c r="J3951" s="644" t="s">
        <v>643</v>
      </c>
      <c r="K3951" s="739"/>
      <c r="L3951" s="754"/>
      <c r="M3951" s="735"/>
      <c r="N3951" s="753">
        <v>4</v>
      </c>
      <c r="O3951" s="754">
        <v>6</v>
      </c>
      <c r="P3951" s="736">
        <v>14689.8</v>
      </c>
      <c r="Q3951" s="214"/>
    </row>
    <row r="3952" spans="1:17" ht="12" customHeight="1" x14ac:dyDescent="0.2">
      <c r="A3952" s="735" t="s">
        <v>7733</v>
      </c>
      <c r="B3952" s="735" t="s">
        <v>2170</v>
      </c>
      <c r="C3952" s="735" t="s">
        <v>451</v>
      </c>
      <c r="D3952" s="644" t="s">
        <v>7855</v>
      </c>
      <c r="E3952" s="736">
        <v>1800</v>
      </c>
      <c r="F3952" s="737" t="s">
        <v>8141</v>
      </c>
      <c r="G3952" s="636" t="s">
        <v>8142</v>
      </c>
      <c r="H3952" s="636" t="s">
        <v>7152</v>
      </c>
      <c r="I3952" s="636"/>
      <c r="J3952" s="644" t="s">
        <v>644</v>
      </c>
      <c r="K3952" s="739"/>
      <c r="L3952" s="754"/>
      <c r="M3952" s="735"/>
      <c r="N3952" s="753">
        <v>4</v>
      </c>
      <c r="O3952" s="754">
        <v>6</v>
      </c>
      <c r="P3952" s="736">
        <v>13344</v>
      </c>
      <c r="Q3952" s="214"/>
    </row>
    <row r="3953" spans="1:17" ht="12" customHeight="1" x14ac:dyDescent="0.2">
      <c r="A3953" s="735" t="s">
        <v>7733</v>
      </c>
      <c r="B3953" s="735" t="s">
        <v>2170</v>
      </c>
      <c r="C3953" s="735" t="s">
        <v>451</v>
      </c>
      <c r="D3953" s="644" t="s">
        <v>7932</v>
      </c>
      <c r="E3953" s="736">
        <v>2500</v>
      </c>
      <c r="F3953" s="737" t="s">
        <v>8050</v>
      </c>
      <c r="G3953" s="636" t="s">
        <v>8051</v>
      </c>
      <c r="H3953" s="636" t="s">
        <v>7152</v>
      </c>
      <c r="I3953" s="636" t="s">
        <v>6536</v>
      </c>
      <c r="J3953" s="644" t="s">
        <v>643</v>
      </c>
      <c r="K3953" s="739"/>
      <c r="L3953" s="754"/>
      <c r="M3953" s="735"/>
      <c r="N3953" s="753">
        <v>4</v>
      </c>
      <c r="O3953" s="754">
        <v>6</v>
      </c>
      <c r="P3953" s="736">
        <v>17689.8</v>
      </c>
      <c r="Q3953" s="214"/>
    </row>
    <row r="3954" spans="1:17" ht="12" customHeight="1" x14ac:dyDescent="0.2">
      <c r="A3954" s="735" t="s">
        <v>7733</v>
      </c>
      <c r="B3954" s="735" t="s">
        <v>2170</v>
      </c>
      <c r="C3954" s="735" t="s">
        <v>451</v>
      </c>
      <c r="D3954" s="644" t="s">
        <v>8404</v>
      </c>
      <c r="E3954" s="736">
        <v>1000</v>
      </c>
      <c r="F3954" s="737" t="s">
        <v>9160</v>
      </c>
      <c r="G3954" s="636" t="s">
        <v>9161</v>
      </c>
      <c r="H3954" s="636" t="s">
        <v>10194</v>
      </c>
      <c r="I3954" s="636"/>
      <c r="J3954" s="644" t="s">
        <v>644</v>
      </c>
      <c r="K3954" s="739"/>
      <c r="L3954" s="754"/>
      <c r="M3954" s="735"/>
      <c r="N3954" s="753">
        <v>4</v>
      </c>
      <c r="O3954" s="754">
        <v>6</v>
      </c>
      <c r="P3954" s="736">
        <v>7680</v>
      </c>
      <c r="Q3954" s="214"/>
    </row>
    <row r="3955" spans="1:17" ht="12" customHeight="1" x14ac:dyDescent="0.2">
      <c r="A3955" s="735" t="s">
        <v>7733</v>
      </c>
      <c r="B3955" s="735" t="s">
        <v>2170</v>
      </c>
      <c r="C3955" s="735" t="s">
        <v>451</v>
      </c>
      <c r="D3955" s="644" t="s">
        <v>2261</v>
      </c>
      <c r="E3955" s="736">
        <v>2800</v>
      </c>
      <c r="F3955" s="737" t="s">
        <v>8659</v>
      </c>
      <c r="G3955" s="636" t="s">
        <v>8660</v>
      </c>
      <c r="H3955" s="636"/>
      <c r="I3955" s="636"/>
      <c r="J3955" s="644" t="s">
        <v>643</v>
      </c>
      <c r="K3955" s="739"/>
      <c r="L3955" s="754"/>
      <c r="M3955" s="735"/>
      <c r="N3955" s="753">
        <v>4</v>
      </c>
      <c r="O3955" s="754">
        <v>6</v>
      </c>
      <c r="P3955" s="736">
        <v>19489.8</v>
      </c>
      <c r="Q3955" s="214"/>
    </row>
    <row r="3956" spans="1:17" ht="12" customHeight="1" x14ac:dyDescent="0.2">
      <c r="A3956" s="735" t="s">
        <v>7733</v>
      </c>
      <c r="B3956" s="735" t="s">
        <v>2170</v>
      </c>
      <c r="C3956" s="735" t="s">
        <v>451</v>
      </c>
      <c r="D3956" s="644" t="s">
        <v>8417</v>
      </c>
      <c r="E3956" s="736">
        <v>1200</v>
      </c>
      <c r="F3956" s="737" t="s">
        <v>10024</v>
      </c>
      <c r="G3956" s="636" t="s">
        <v>10025</v>
      </c>
      <c r="H3956" s="636" t="s">
        <v>10194</v>
      </c>
      <c r="I3956" s="636"/>
      <c r="J3956" s="644" t="s">
        <v>7991</v>
      </c>
      <c r="K3956" s="739"/>
      <c r="L3956" s="754"/>
      <c r="M3956" s="735"/>
      <c r="N3956" s="753">
        <v>4</v>
      </c>
      <c r="O3956" s="754">
        <v>6</v>
      </c>
      <c r="P3956" s="736">
        <v>9096</v>
      </c>
      <c r="Q3956" s="214"/>
    </row>
    <row r="3957" spans="1:17" ht="12" customHeight="1" x14ac:dyDescent="0.2">
      <c r="A3957" s="735" t="s">
        <v>7733</v>
      </c>
      <c r="B3957" s="735" t="s">
        <v>2170</v>
      </c>
      <c r="C3957" s="735" t="s">
        <v>451</v>
      </c>
      <c r="D3957" s="644" t="s">
        <v>7965</v>
      </c>
      <c r="E3957" s="736">
        <v>4000</v>
      </c>
      <c r="F3957" s="737" t="s">
        <v>8264</v>
      </c>
      <c r="G3957" s="636" t="s">
        <v>8265</v>
      </c>
      <c r="H3957" s="636" t="s">
        <v>6571</v>
      </c>
      <c r="I3957" s="636" t="s">
        <v>2179</v>
      </c>
      <c r="J3957" s="644" t="s">
        <v>642</v>
      </c>
      <c r="K3957" s="739"/>
      <c r="L3957" s="754"/>
      <c r="M3957" s="735"/>
      <c r="N3957" s="753">
        <v>4</v>
      </c>
      <c r="O3957" s="754">
        <v>6</v>
      </c>
      <c r="P3957" s="736">
        <v>26689.8</v>
      </c>
      <c r="Q3957" s="214"/>
    </row>
    <row r="3958" spans="1:17" ht="12" customHeight="1" x14ac:dyDescent="0.2">
      <c r="A3958" s="735" t="s">
        <v>7733</v>
      </c>
      <c r="B3958" s="735" t="s">
        <v>2170</v>
      </c>
      <c r="C3958" s="735" t="s">
        <v>451</v>
      </c>
      <c r="D3958" s="644" t="s">
        <v>7929</v>
      </c>
      <c r="E3958" s="736">
        <v>3000</v>
      </c>
      <c r="F3958" s="737" t="s">
        <v>7930</v>
      </c>
      <c r="G3958" s="636" t="s">
        <v>7931</v>
      </c>
      <c r="H3958" s="636" t="s">
        <v>6778</v>
      </c>
      <c r="I3958" s="636" t="s">
        <v>2174</v>
      </c>
      <c r="J3958" s="644" t="s">
        <v>642</v>
      </c>
      <c r="K3958" s="739"/>
      <c r="L3958" s="754"/>
      <c r="M3958" s="735"/>
      <c r="N3958" s="753">
        <v>4</v>
      </c>
      <c r="O3958" s="754">
        <v>6</v>
      </c>
      <c r="P3958" s="736">
        <v>20689.8</v>
      </c>
      <c r="Q3958" s="214"/>
    </row>
    <row r="3959" spans="1:17" ht="12" customHeight="1" x14ac:dyDescent="0.2">
      <c r="A3959" s="735" t="s">
        <v>7733</v>
      </c>
      <c r="B3959" s="735" t="s">
        <v>2170</v>
      </c>
      <c r="C3959" s="735" t="s">
        <v>451</v>
      </c>
      <c r="D3959" s="644" t="s">
        <v>8417</v>
      </c>
      <c r="E3959" s="736">
        <v>1000</v>
      </c>
      <c r="F3959" s="737" t="s">
        <v>9154</v>
      </c>
      <c r="G3959" s="636" t="s">
        <v>9155</v>
      </c>
      <c r="H3959" s="636" t="s">
        <v>6778</v>
      </c>
      <c r="I3959" s="636" t="s">
        <v>9156</v>
      </c>
      <c r="J3959" s="644" t="s">
        <v>644</v>
      </c>
      <c r="K3959" s="739"/>
      <c r="L3959" s="754"/>
      <c r="M3959" s="735"/>
      <c r="N3959" s="753">
        <v>4</v>
      </c>
      <c r="O3959" s="754">
        <v>6</v>
      </c>
      <c r="P3959" s="736">
        <v>7680</v>
      </c>
      <c r="Q3959" s="214"/>
    </row>
    <row r="3960" spans="1:17" ht="12" customHeight="1" x14ac:dyDescent="0.2">
      <c r="A3960" s="735" t="s">
        <v>7733</v>
      </c>
      <c r="B3960" s="735" t="s">
        <v>2170</v>
      </c>
      <c r="C3960" s="735" t="s">
        <v>451</v>
      </c>
      <c r="D3960" s="644" t="s">
        <v>8478</v>
      </c>
      <c r="E3960" s="736">
        <v>4500</v>
      </c>
      <c r="F3960" s="737" t="s">
        <v>8479</v>
      </c>
      <c r="G3960" s="636" t="s">
        <v>8480</v>
      </c>
      <c r="H3960" s="636" t="s">
        <v>7782</v>
      </c>
      <c r="I3960" s="636" t="s">
        <v>2208</v>
      </c>
      <c r="J3960" s="644" t="s">
        <v>642</v>
      </c>
      <c r="K3960" s="739"/>
      <c r="L3960" s="754"/>
      <c r="M3960" s="735"/>
      <c r="N3960" s="753">
        <v>3</v>
      </c>
      <c r="O3960" s="754">
        <v>6</v>
      </c>
      <c r="P3960" s="736">
        <v>29689.8</v>
      </c>
      <c r="Q3960" s="214"/>
    </row>
    <row r="3961" spans="1:17" ht="12" customHeight="1" x14ac:dyDescent="0.2">
      <c r="A3961" s="735" t="s">
        <v>7733</v>
      </c>
      <c r="B3961" s="735" t="s">
        <v>2170</v>
      </c>
      <c r="C3961" s="735" t="s">
        <v>451</v>
      </c>
      <c r="D3961" s="644" t="s">
        <v>8738</v>
      </c>
      <c r="E3961" s="736">
        <v>4000</v>
      </c>
      <c r="F3961" s="737" t="s">
        <v>8739</v>
      </c>
      <c r="G3961" s="636" t="s">
        <v>8740</v>
      </c>
      <c r="H3961" s="636" t="s">
        <v>8044</v>
      </c>
      <c r="I3961" s="636" t="s">
        <v>8741</v>
      </c>
      <c r="J3961" s="644" t="s">
        <v>642</v>
      </c>
      <c r="K3961" s="739"/>
      <c r="L3961" s="754"/>
      <c r="M3961" s="735"/>
      <c r="N3961" s="753">
        <v>4</v>
      </c>
      <c r="O3961" s="754">
        <v>6</v>
      </c>
      <c r="P3961" s="736">
        <v>26689.8</v>
      </c>
      <c r="Q3961" s="214"/>
    </row>
    <row r="3962" spans="1:17" ht="12" customHeight="1" x14ac:dyDescent="0.2">
      <c r="A3962" s="735" t="s">
        <v>7733</v>
      </c>
      <c r="B3962" s="735" t="s">
        <v>2170</v>
      </c>
      <c r="C3962" s="735" t="s">
        <v>451</v>
      </c>
      <c r="D3962" s="644" t="s">
        <v>8889</v>
      </c>
      <c r="E3962" s="736">
        <v>6000</v>
      </c>
      <c r="F3962" s="737" t="s">
        <v>10160</v>
      </c>
      <c r="G3962" s="636" t="s">
        <v>10161</v>
      </c>
      <c r="H3962" s="636" t="s">
        <v>6571</v>
      </c>
      <c r="I3962" s="636" t="s">
        <v>2179</v>
      </c>
      <c r="J3962" s="644" t="s">
        <v>642</v>
      </c>
      <c r="K3962" s="739"/>
      <c r="L3962" s="754"/>
      <c r="M3962" s="735"/>
      <c r="N3962" s="753">
        <v>4</v>
      </c>
      <c r="O3962" s="754">
        <v>4</v>
      </c>
      <c r="P3962" s="736">
        <v>26689.8</v>
      </c>
      <c r="Q3962" s="214"/>
    </row>
    <row r="3963" spans="1:17" ht="12" customHeight="1" x14ac:dyDescent="0.2">
      <c r="A3963" s="735" t="s">
        <v>7733</v>
      </c>
      <c r="B3963" s="735" t="s">
        <v>2170</v>
      </c>
      <c r="C3963" s="735" t="s">
        <v>451</v>
      </c>
      <c r="D3963" s="644" t="s">
        <v>7871</v>
      </c>
      <c r="E3963" s="736">
        <v>4000</v>
      </c>
      <c r="F3963" s="737" t="s">
        <v>9722</v>
      </c>
      <c r="G3963" s="636" t="s">
        <v>9723</v>
      </c>
      <c r="H3963" s="636" t="s">
        <v>2365</v>
      </c>
      <c r="I3963" s="636" t="s">
        <v>2208</v>
      </c>
      <c r="J3963" s="644" t="s">
        <v>642</v>
      </c>
      <c r="K3963" s="739"/>
      <c r="L3963" s="754"/>
      <c r="M3963" s="735"/>
      <c r="N3963" s="753">
        <v>6</v>
      </c>
      <c r="O3963" s="754">
        <v>6</v>
      </c>
      <c r="P3963" s="736">
        <v>26689.8</v>
      </c>
      <c r="Q3963" s="214"/>
    </row>
    <row r="3964" spans="1:17" ht="12" customHeight="1" x14ac:dyDescent="0.2">
      <c r="A3964" s="735" t="s">
        <v>7733</v>
      </c>
      <c r="B3964" s="735" t="s">
        <v>2170</v>
      </c>
      <c r="C3964" s="735" t="s">
        <v>451</v>
      </c>
      <c r="D3964" s="644" t="s">
        <v>8194</v>
      </c>
      <c r="E3964" s="736">
        <v>4500</v>
      </c>
      <c r="F3964" s="737" t="s">
        <v>8195</v>
      </c>
      <c r="G3964" s="636" t="s">
        <v>8196</v>
      </c>
      <c r="H3964" s="636"/>
      <c r="I3964" s="636"/>
      <c r="J3964" s="644" t="s">
        <v>642</v>
      </c>
      <c r="K3964" s="739"/>
      <c r="L3964" s="754"/>
      <c r="M3964" s="735"/>
      <c r="N3964" s="753">
        <v>5</v>
      </c>
      <c r="O3964" s="754">
        <v>6</v>
      </c>
      <c r="P3964" s="736">
        <v>29689.8</v>
      </c>
      <c r="Q3964" s="214"/>
    </row>
    <row r="3965" spans="1:17" ht="12" customHeight="1" x14ac:dyDescent="0.2">
      <c r="A3965" s="735" t="s">
        <v>7733</v>
      </c>
      <c r="B3965" s="735" t="s">
        <v>2170</v>
      </c>
      <c r="C3965" s="735" t="s">
        <v>451</v>
      </c>
      <c r="D3965" s="644" t="s">
        <v>7901</v>
      </c>
      <c r="E3965" s="736">
        <v>2500</v>
      </c>
      <c r="F3965" s="737" t="s">
        <v>8503</v>
      </c>
      <c r="G3965" s="636" t="s">
        <v>8504</v>
      </c>
      <c r="H3965" s="636" t="s">
        <v>8505</v>
      </c>
      <c r="I3965" s="636" t="s">
        <v>8506</v>
      </c>
      <c r="J3965" s="644" t="s">
        <v>643</v>
      </c>
      <c r="K3965" s="739"/>
      <c r="L3965" s="754"/>
      <c r="M3965" s="735"/>
      <c r="N3965" s="753">
        <v>5</v>
      </c>
      <c r="O3965" s="754">
        <v>5</v>
      </c>
      <c r="P3965" s="736">
        <v>15189.8</v>
      </c>
      <c r="Q3965" s="214"/>
    </row>
    <row r="3966" spans="1:17" ht="12" customHeight="1" x14ac:dyDescent="0.2">
      <c r="A3966" s="735" t="s">
        <v>7733</v>
      </c>
      <c r="B3966" s="735" t="s">
        <v>2170</v>
      </c>
      <c r="C3966" s="735" t="s">
        <v>451</v>
      </c>
      <c r="D3966" s="644" t="s">
        <v>7822</v>
      </c>
      <c r="E3966" s="736">
        <v>4200</v>
      </c>
      <c r="F3966" s="737" t="s">
        <v>9653</v>
      </c>
      <c r="G3966" s="636" t="s">
        <v>9654</v>
      </c>
      <c r="H3966" s="636" t="s">
        <v>8135</v>
      </c>
      <c r="I3966" s="636"/>
      <c r="J3966" s="644" t="s">
        <v>642</v>
      </c>
      <c r="K3966" s="739"/>
      <c r="L3966" s="754"/>
      <c r="M3966" s="735"/>
      <c r="N3966" s="753">
        <v>3</v>
      </c>
      <c r="O3966" s="754">
        <v>6</v>
      </c>
      <c r="P3966" s="736">
        <v>27889.8</v>
      </c>
      <c r="Q3966" s="214"/>
    </row>
    <row r="3967" spans="1:17" ht="12" customHeight="1" x14ac:dyDescent="0.2">
      <c r="A3967" s="735" t="s">
        <v>7733</v>
      </c>
      <c r="B3967" s="735" t="s">
        <v>2170</v>
      </c>
      <c r="C3967" s="735" t="s">
        <v>451</v>
      </c>
      <c r="D3967" s="644" t="s">
        <v>2778</v>
      </c>
      <c r="E3967" s="736">
        <v>5500</v>
      </c>
      <c r="F3967" s="737" t="s">
        <v>8830</v>
      </c>
      <c r="G3967" s="636" t="s">
        <v>8831</v>
      </c>
      <c r="H3967" s="636" t="s">
        <v>6633</v>
      </c>
      <c r="I3967" s="636"/>
      <c r="J3967" s="644" t="s">
        <v>642</v>
      </c>
      <c r="K3967" s="739"/>
      <c r="L3967" s="754"/>
      <c r="M3967" s="735"/>
      <c r="N3967" s="753">
        <v>4</v>
      </c>
      <c r="O3967" s="754">
        <v>6</v>
      </c>
      <c r="P3967" s="736">
        <v>35689.800000000003</v>
      </c>
      <c r="Q3967" s="214"/>
    </row>
    <row r="3968" spans="1:17" ht="12" customHeight="1" x14ac:dyDescent="0.2">
      <c r="A3968" s="735" t="s">
        <v>7733</v>
      </c>
      <c r="B3968" s="735" t="s">
        <v>2170</v>
      </c>
      <c r="C3968" s="735" t="s">
        <v>451</v>
      </c>
      <c r="D3968" s="644" t="s">
        <v>7740</v>
      </c>
      <c r="E3968" s="736">
        <v>2200</v>
      </c>
      <c r="F3968" s="737" t="s">
        <v>7741</v>
      </c>
      <c r="G3968" s="636" t="s">
        <v>7742</v>
      </c>
      <c r="H3968" s="636"/>
      <c r="I3968" s="636"/>
      <c r="J3968" s="644" t="s">
        <v>642</v>
      </c>
      <c r="K3968" s="739"/>
      <c r="L3968" s="754"/>
      <c r="M3968" s="735"/>
      <c r="N3968" s="753">
        <v>6</v>
      </c>
      <c r="O3968" s="754">
        <v>6</v>
      </c>
      <c r="P3968" s="736">
        <v>15889.8</v>
      </c>
      <c r="Q3968" s="214"/>
    </row>
    <row r="3969" spans="1:17" ht="12" customHeight="1" x14ac:dyDescent="0.2">
      <c r="A3969" s="735" t="s">
        <v>7733</v>
      </c>
      <c r="B3969" s="735" t="s">
        <v>2170</v>
      </c>
      <c r="C3969" s="735" t="s">
        <v>451</v>
      </c>
      <c r="D3969" s="644" t="s">
        <v>8617</v>
      </c>
      <c r="E3969" s="736">
        <v>1800</v>
      </c>
      <c r="F3969" s="737" t="s">
        <v>10090</v>
      </c>
      <c r="G3969" s="636" t="s">
        <v>10091</v>
      </c>
      <c r="H3969" s="636"/>
      <c r="I3969" s="636"/>
      <c r="J3969" s="644" t="s">
        <v>642</v>
      </c>
      <c r="K3969" s="739"/>
      <c r="L3969" s="754"/>
      <c r="M3969" s="735"/>
      <c r="N3969" s="753">
        <v>6</v>
      </c>
      <c r="O3969" s="754">
        <v>6</v>
      </c>
      <c r="P3969" s="736">
        <v>13344</v>
      </c>
      <c r="Q3969" s="214"/>
    </row>
    <row r="3970" spans="1:17" ht="12" customHeight="1" x14ac:dyDescent="0.2">
      <c r="A3970" s="735" t="s">
        <v>7733</v>
      </c>
      <c r="B3970" s="735" t="s">
        <v>2170</v>
      </c>
      <c r="C3970" s="735" t="s">
        <v>451</v>
      </c>
      <c r="D3970" s="644" t="s">
        <v>2261</v>
      </c>
      <c r="E3970" s="736">
        <v>2000</v>
      </c>
      <c r="F3970" s="737" t="s">
        <v>10258</v>
      </c>
      <c r="G3970" s="636" t="s">
        <v>10259</v>
      </c>
      <c r="H3970" s="636" t="s">
        <v>10257</v>
      </c>
      <c r="I3970" s="636" t="s">
        <v>3760</v>
      </c>
      <c r="J3970" s="644" t="s">
        <v>643</v>
      </c>
      <c r="K3970" s="739"/>
      <c r="L3970" s="754"/>
      <c r="M3970" s="735"/>
      <c r="N3970" s="753">
        <v>4</v>
      </c>
      <c r="O3970" s="754">
        <v>6</v>
      </c>
      <c r="P3970" s="736">
        <v>14689.8</v>
      </c>
      <c r="Q3970" s="214"/>
    </row>
    <row r="3971" spans="1:17" ht="12" customHeight="1" x14ac:dyDescent="0.2">
      <c r="A3971" s="735" t="s">
        <v>7733</v>
      </c>
      <c r="B3971" s="735" t="s">
        <v>2170</v>
      </c>
      <c r="C3971" s="735" t="s">
        <v>451</v>
      </c>
      <c r="D3971" s="644" t="s">
        <v>9034</v>
      </c>
      <c r="E3971" s="736">
        <v>1800</v>
      </c>
      <c r="F3971" s="737" t="s">
        <v>9627</v>
      </c>
      <c r="G3971" s="636" t="s">
        <v>9628</v>
      </c>
      <c r="H3971" s="636"/>
      <c r="I3971" s="636"/>
      <c r="J3971" s="644" t="s">
        <v>644</v>
      </c>
      <c r="K3971" s="739"/>
      <c r="L3971" s="754"/>
      <c r="M3971" s="735"/>
      <c r="N3971" s="753">
        <v>4</v>
      </c>
      <c r="O3971" s="754">
        <v>6</v>
      </c>
      <c r="P3971" s="736">
        <v>13344</v>
      </c>
      <c r="Q3971" s="214"/>
    </row>
    <row r="3972" spans="1:17" ht="12" customHeight="1" x14ac:dyDescent="0.2">
      <c r="A3972" s="735" t="s">
        <v>7733</v>
      </c>
      <c r="B3972" s="735" t="s">
        <v>2170</v>
      </c>
      <c r="C3972" s="735" t="s">
        <v>451</v>
      </c>
      <c r="D3972" s="644" t="s">
        <v>7822</v>
      </c>
      <c r="E3972" s="736">
        <v>5000</v>
      </c>
      <c r="F3972" s="737" t="s">
        <v>7823</v>
      </c>
      <c r="G3972" s="636" t="s">
        <v>7824</v>
      </c>
      <c r="H3972" s="636" t="s">
        <v>3915</v>
      </c>
      <c r="I3972" s="636" t="s">
        <v>3070</v>
      </c>
      <c r="J3972" s="644" t="s">
        <v>642</v>
      </c>
      <c r="K3972" s="739"/>
      <c r="L3972" s="754"/>
      <c r="M3972" s="735"/>
      <c r="N3972" s="753">
        <v>4</v>
      </c>
      <c r="O3972" s="754">
        <v>6</v>
      </c>
      <c r="P3972" s="736">
        <v>32689.8</v>
      </c>
      <c r="Q3972" s="214"/>
    </row>
    <row r="3973" spans="1:17" ht="12" customHeight="1" x14ac:dyDescent="0.2">
      <c r="A3973" s="735" t="s">
        <v>7733</v>
      </c>
      <c r="B3973" s="735" t="s">
        <v>2170</v>
      </c>
      <c r="C3973" s="735" t="s">
        <v>451</v>
      </c>
      <c r="D3973" s="644" t="s">
        <v>2772</v>
      </c>
      <c r="E3973" s="736">
        <v>1500</v>
      </c>
      <c r="F3973" s="737" t="s">
        <v>8197</v>
      </c>
      <c r="G3973" s="636" t="s">
        <v>8198</v>
      </c>
      <c r="H3973" s="636"/>
      <c r="I3973" s="636"/>
      <c r="J3973" s="644" t="s">
        <v>642</v>
      </c>
      <c r="K3973" s="739"/>
      <c r="L3973" s="754"/>
      <c r="M3973" s="735"/>
      <c r="N3973" s="753">
        <v>4</v>
      </c>
      <c r="O3973" s="754">
        <v>6</v>
      </c>
      <c r="P3973" s="736">
        <v>11220</v>
      </c>
      <c r="Q3973" s="214"/>
    </row>
    <row r="3974" spans="1:17" ht="12" customHeight="1" x14ac:dyDescent="0.2">
      <c r="A3974" s="735" t="s">
        <v>7733</v>
      </c>
      <c r="B3974" s="735" t="s">
        <v>2170</v>
      </c>
      <c r="C3974" s="735" t="s">
        <v>451</v>
      </c>
      <c r="D3974" s="644" t="s">
        <v>7858</v>
      </c>
      <c r="E3974" s="736">
        <v>3000</v>
      </c>
      <c r="F3974" s="737" t="s">
        <v>8015</v>
      </c>
      <c r="G3974" s="636" t="s">
        <v>8016</v>
      </c>
      <c r="H3974" s="636"/>
      <c r="I3974" s="636"/>
      <c r="J3974" s="644" t="s">
        <v>643</v>
      </c>
      <c r="K3974" s="739"/>
      <c r="L3974" s="754"/>
      <c r="M3974" s="735"/>
      <c r="N3974" s="753">
        <v>4</v>
      </c>
      <c r="O3974" s="754">
        <v>6</v>
      </c>
      <c r="P3974" s="736">
        <v>20689.8</v>
      </c>
      <c r="Q3974" s="214"/>
    </row>
    <row r="3975" spans="1:17" ht="12" customHeight="1" x14ac:dyDescent="0.2">
      <c r="A3975" s="735" t="s">
        <v>7733</v>
      </c>
      <c r="B3975" s="735" t="s">
        <v>2170</v>
      </c>
      <c r="C3975" s="735" t="s">
        <v>451</v>
      </c>
      <c r="D3975" s="644" t="s">
        <v>8117</v>
      </c>
      <c r="E3975" s="736">
        <v>2300</v>
      </c>
      <c r="F3975" s="737" t="s">
        <v>8118</v>
      </c>
      <c r="G3975" s="636" t="s">
        <v>8119</v>
      </c>
      <c r="H3975" s="636" t="s">
        <v>3915</v>
      </c>
      <c r="I3975" s="636" t="s">
        <v>6668</v>
      </c>
      <c r="J3975" s="644" t="s">
        <v>642</v>
      </c>
      <c r="K3975" s="739"/>
      <c r="L3975" s="754"/>
      <c r="M3975" s="735"/>
      <c r="N3975" s="753">
        <v>4</v>
      </c>
      <c r="O3975" s="754">
        <v>6</v>
      </c>
      <c r="P3975" s="736">
        <v>16489.8</v>
      </c>
      <c r="Q3975" s="214"/>
    </row>
    <row r="3976" spans="1:17" ht="12" customHeight="1" x14ac:dyDescent="0.2">
      <c r="A3976" s="735" t="s">
        <v>7733</v>
      </c>
      <c r="B3976" s="735" t="s">
        <v>2170</v>
      </c>
      <c r="C3976" s="735" t="s">
        <v>451</v>
      </c>
      <c r="D3976" s="644" t="s">
        <v>7755</v>
      </c>
      <c r="E3976" s="736">
        <v>2500</v>
      </c>
      <c r="F3976" s="737" t="s">
        <v>8450</v>
      </c>
      <c r="G3976" s="636" t="s">
        <v>8451</v>
      </c>
      <c r="H3976" s="636" t="s">
        <v>7782</v>
      </c>
      <c r="I3976" s="636" t="s">
        <v>2766</v>
      </c>
      <c r="J3976" s="644" t="s">
        <v>642</v>
      </c>
      <c r="K3976" s="739"/>
      <c r="L3976" s="754"/>
      <c r="M3976" s="735"/>
      <c r="N3976" s="753">
        <v>4</v>
      </c>
      <c r="O3976" s="754">
        <v>6</v>
      </c>
      <c r="P3976" s="736">
        <v>17689.8</v>
      </c>
      <c r="Q3976" s="214"/>
    </row>
    <row r="3977" spans="1:17" ht="12" customHeight="1" x14ac:dyDescent="0.2">
      <c r="A3977" s="735" t="s">
        <v>7733</v>
      </c>
      <c r="B3977" s="735" t="s">
        <v>2170</v>
      </c>
      <c r="C3977" s="735" t="s">
        <v>451</v>
      </c>
      <c r="D3977" s="644" t="s">
        <v>2261</v>
      </c>
      <c r="E3977" s="736">
        <v>2500</v>
      </c>
      <c r="F3977" s="737" t="s">
        <v>8989</v>
      </c>
      <c r="G3977" s="636" t="s">
        <v>8990</v>
      </c>
      <c r="H3977" s="636"/>
      <c r="I3977" s="636"/>
      <c r="J3977" s="644" t="s">
        <v>643</v>
      </c>
      <c r="K3977" s="739"/>
      <c r="L3977" s="754"/>
      <c r="M3977" s="735"/>
      <c r="N3977" s="753">
        <v>3</v>
      </c>
      <c r="O3977" s="754">
        <v>6</v>
      </c>
      <c r="P3977" s="736">
        <v>17689.8</v>
      </c>
      <c r="Q3977" s="214"/>
    </row>
    <row r="3978" spans="1:17" ht="12" customHeight="1" x14ac:dyDescent="0.2">
      <c r="A3978" s="735" t="s">
        <v>7733</v>
      </c>
      <c r="B3978" s="735" t="s">
        <v>2170</v>
      </c>
      <c r="C3978" s="735" t="s">
        <v>451</v>
      </c>
      <c r="D3978" s="644" t="s">
        <v>8316</v>
      </c>
      <c r="E3978" s="736">
        <v>4000</v>
      </c>
      <c r="F3978" s="737" t="s">
        <v>10260</v>
      </c>
      <c r="G3978" s="636" t="s">
        <v>10261</v>
      </c>
      <c r="H3978" s="636" t="s">
        <v>6571</v>
      </c>
      <c r="I3978" s="636" t="s">
        <v>2179</v>
      </c>
      <c r="J3978" s="644" t="s">
        <v>642</v>
      </c>
      <c r="K3978" s="739"/>
      <c r="L3978" s="754"/>
      <c r="M3978" s="735"/>
      <c r="N3978" s="753">
        <v>4</v>
      </c>
      <c r="O3978" s="754">
        <v>6</v>
      </c>
      <c r="P3978" s="736">
        <v>26689.8</v>
      </c>
      <c r="Q3978" s="214"/>
    </row>
    <row r="3979" spans="1:17" ht="12" customHeight="1" x14ac:dyDescent="0.2">
      <c r="A3979" s="735" t="s">
        <v>7733</v>
      </c>
      <c r="B3979" s="735" t="s">
        <v>2170</v>
      </c>
      <c r="C3979" s="735" t="s">
        <v>451</v>
      </c>
      <c r="D3979" s="644" t="s">
        <v>10240</v>
      </c>
      <c r="E3979" s="736">
        <v>5500</v>
      </c>
      <c r="F3979" s="737" t="s">
        <v>10262</v>
      </c>
      <c r="G3979" s="636" t="s">
        <v>10263</v>
      </c>
      <c r="H3979" s="636" t="s">
        <v>6571</v>
      </c>
      <c r="I3979" s="636" t="s">
        <v>2179</v>
      </c>
      <c r="J3979" s="644" t="s">
        <v>642</v>
      </c>
      <c r="K3979" s="739"/>
      <c r="L3979" s="754"/>
      <c r="M3979" s="735"/>
      <c r="N3979" s="753">
        <v>4</v>
      </c>
      <c r="O3979" s="754">
        <v>6</v>
      </c>
      <c r="P3979" s="736">
        <v>35689.800000000003</v>
      </c>
      <c r="Q3979" s="214"/>
    </row>
    <row r="3980" spans="1:17" ht="12" customHeight="1" x14ac:dyDescent="0.2">
      <c r="A3980" s="735" t="s">
        <v>7733</v>
      </c>
      <c r="B3980" s="735" t="s">
        <v>2170</v>
      </c>
      <c r="C3980" s="735" t="s">
        <v>451</v>
      </c>
      <c r="D3980" s="644" t="s">
        <v>7740</v>
      </c>
      <c r="E3980" s="736">
        <v>1900</v>
      </c>
      <c r="F3980" s="737" t="s">
        <v>9597</v>
      </c>
      <c r="G3980" s="636" t="s">
        <v>9598</v>
      </c>
      <c r="H3980" s="636" t="s">
        <v>7152</v>
      </c>
      <c r="I3980" s="636" t="s">
        <v>6536</v>
      </c>
      <c r="J3980" s="644" t="s">
        <v>643</v>
      </c>
      <c r="K3980" s="739"/>
      <c r="L3980" s="754"/>
      <c r="M3980" s="735"/>
      <c r="N3980" s="753">
        <v>4</v>
      </c>
      <c r="O3980" s="754">
        <v>6</v>
      </c>
      <c r="P3980" s="736">
        <v>14052</v>
      </c>
      <c r="Q3980" s="214"/>
    </row>
    <row r="3981" spans="1:17" ht="12" customHeight="1" x14ac:dyDescent="0.2">
      <c r="A3981" s="735" t="s">
        <v>7733</v>
      </c>
      <c r="B3981" s="735" t="s">
        <v>2170</v>
      </c>
      <c r="C3981" s="735" t="s">
        <v>451</v>
      </c>
      <c r="D3981" s="644" t="s">
        <v>2261</v>
      </c>
      <c r="E3981" s="736">
        <v>3000</v>
      </c>
      <c r="F3981" s="737" t="s">
        <v>7888</v>
      </c>
      <c r="G3981" s="636" t="s">
        <v>7889</v>
      </c>
      <c r="H3981" s="636" t="s">
        <v>3915</v>
      </c>
      <c r="I3981" s="636" t="s">
        <v>3070</v>
      </c>
      <c r="J3981" s="644" t="s">
        <v>642</v>
      </c>
      <c r="K3981" s="739"/>
      <c r="L3981" s="754"/>
      <c r="M3981" s="735"/>
      <c r="N3981" s="753">
        <v>3</v>
      </c>
      <c r="O3981" s="754">
        <v>6</v>
      </c>
      <c r="P3981" s="736">
        <v>20689.8</v>
      </c>
      <c r="Q3981" s="214"/>
    </row>
    <row r="3982" spans="1:17" ht="12" customHeight="1" x14ac:dyDescent="0.2">
      <c r="A3982" s="735" t="s">
        <v>7733</v>
      </c>
      <c r="B3982" s="735" t="s">
        <v>2170</v>
      </c>
      <c r="C3982" s="735" t="s">
        <v>451</v>
      </c>
      <c r="D3982" s="644" t="s">
        <v>7822</v>
      </c>
      <c r="E3982" s="736">
        <v>5000</v>
      </c>
      <c r="F3982" s="737" t="s">
        <v>10097</v>
      </c>
      <c r="G3982" s="636" t="s">
        <v>10098</v>
      </c>
      <c r="H3982" s="636" t="s">
        <v>7245</v>
      </c>
      <c r="I3982" s="636" t="s">
        <v>2712</v>
      </c>
      <c r="J3982" s="644" t="s">
        <v>642</v>
      </c>
      <c r="K3982" s="739"/>
      <c r="L3982" s="754"/>
      <c r="M3982" s="735"/>
      <c r="N3982" s="753">
        <v>4</v>
      </c>
      <c r="O3982" s="754">
        <v>6</v>
      </c>
      <c r="P3982" s="736">
        <v>32689.8</v>
      </c>
      <c r="Q3982" s="214"/>
    </row>
    <row r="3983" spans="1:17" ht="12" customHeight="1" x14ac:dyDescent="0.2">
      <c r="A3983" s="735" t="s">
        <v>7733</v>
      </c>
      <c r="B3983" s="735" t="s">
        <v>2170</v>
      </c>
      <c r="C3983" s="735" t="s">
        <v>451</v>
      </c>
      <c r="D3983" s="644" t="s">
        <v>2261</v>
      </c>
      <c r="E3983" s="736">
        <v>2500</v>
      </c>
      <c r="F3983" s="737" t="s">
        <v>9457</v>
      </c>
      <c r="G3983" s="636" t="s">
        <v>9458</v>
      </c>
      <c r="H3983" s="636" t="s">
        <v>6778</v>
      </c>
      <c r="I3983" s="636" t="s">
        <v>6778</v>
      </c>
      <c r="J3983" s="644" t="s">
        <v>644</v>
      </c>
      <c r="K3983" s="739"/>
      <c r="L3983" s="754"/>
      <c r="M3983" s="735"/>
      <c r="N3983" s="753">
        <v>2</v>
      </c>
      <c r="O3983" s="754">
        <v>2</v>
      </c>
      <c r="P3983" s="736">
        <v>7689.8</v>
      </c>
      <c r="Q3983" s="214"/>
    </row>
    <row r="3984" spans="1:17" ht="12" customHeight="1" x14ac:dyDescent="0.2">
      <c r="A3984" s="735" t="s">
        <v>7733</v>
      </c>
      <c r="B3984" s="735" t="s">
        <v>2170</v>
      </c>
      <c r="C3984" s="735" t="s">
        <v>451</v>
      </c>
      <c r="D3984" s="644" t="s">
        <v>2261</v>
      </c>
      <c r="E3984" s="736">
        <v>2000</v>
      </c>
      <c r="F3984" s="737" t="s">
        <v>10264</v>
      </c>
      <c r="G3984" s="636" t="s">
        <v>10265</v>
      </c>
      <c r="H3984" s="636" t="s">
        <v>8250</v>
      </c>
      <c r="I3984" s="636" t="s">
        <v>3760</v>
      </c>
      <c r="J3984" s="644" t="s">
        <v>643</v>
      </c>
      <c r="K3984" s="739"/>
      <c r="L3984" s="754"/>
      <c r="M3984" s="735"/>
      <c r="N3984" s="753">
        <v>4</v>
      </c>
      <c r="O3984" s="754">
        <v>6</v>
      </c>
      <c r="P3984" s="736">
        <v>14689.8</v>
      </c>
      <c r="Q3984" s="214"/>
    </row>
    <row r="3985" spans="1:17" ht="12" customHeight="1" x14ac:dyDescent="0.2">
      <c r="A3985" s="735" t="s">
        <v>7733</v>
      </c>
      <c r="B3985" s="735" t="s">
        <v>2170</v>
      </c>
      <c r="C3985" s="735" t="s">
        <v>451</v>
      </c>
      <c r="D3985" s="644" t="s">
        <v>8417</v>
      </c>
      <c r="E3985" s="736">
        <v>1400</v>
      </c>
      <c r="F3985" s="737" t="s">
        <v>10230</v>
      </c>
      <c r="G3985" s="636" t="s">
        <v>10231</v>
      </c>
      <c r="H3985" s="636"/>
      <c r="I3985" s="636"/>
      <c r="J3985" s="644"/>
      <c r="K3985" s="739"/>
      <c r="L3985" s="754"/>
      <c r="M3985" s="735"/>
      <c r="N3985" s="753">
        <v>2</v>
      </c>
      <c r="O3985" s="754">
        <v>4</v>
      </c>
      <c r="P3985" s="736">
        <v>7712</v>
      </c>
      <c r="Q3985" s="214"/>
    </row>
    <row r="3986" spans="1:17" ht="12" customHeight="1" x14ac:dyDescent="0.2">
      <c r="A3986" s="735" t="s">
        <v>7733</v>
      </c>
      <c r="B3986" s="735" t="s">
        <v>2170</v>
      </c>
      <c r="C3986" s="735" t="s">
        <v>451</v>
      </c>
      <c r="D3986" s="644" t="s">
        <v>2261</v>
      </c>
      <c r="E3986" s="736">
        <v>2200</v>
      </c>
      <c r="F3986" s="737" t="s">
        <v>8811</v>
      </c>
      <c r="G3986" s="636" t="s">
        <v>8812</v>
      </c>
      <c r="H3986" s="636" t="s">
        <v>8813</v>
      </c>
      <c r="I3986" s="636" t="s">
        <v>3760</v>
      </c>
      <c r="J3986" s="644" t="s">
        <v>643</v>
      </c>
      <c r="K3986" s="739"/>
      <c r="L3986" s="754"/>
      <c r="M3986" s="735"/>
      <c r="N3986" s="753">
        <v>4</v>
      </c>
      <c r="O3986" s="754">
        <v>6</v>
      </c>
      <c r="P3986" s="736">
        <v>15889.8</v>
      </c>
      <c r="Q3986" s="214"/>
    </row>
    <row r="3987" spans="1:17" ht="12" customHeight="1" x14ac:dyDescent="0.2">
      <c r="A3987" s="735" t="s">
        <v>7733</v>
      </c>
      <c r="B3987" s="735" t="s">
        <v>2170</v>
      </c>
      <c r="C3987" s="735" t="s">
        <v>451</v>
      </c>
      <c r="D3987" s="644" t="s">
        <v>8093</v>
      </c>
      <c r="E3987" s="736">
        <v>1500</v>
      </c>
      <c r="F3987" s="737" t="s">
        <v>8094</v>
      </c>
      <c r="G3987" s="636" t="s">
        <v>8095</v>
      </c>
      <c r="H3987" s="636" t="s">
        <v>8096</v>
      </c>
      <c r="I3987" s="636" t="s">
        <v>4559</v>
      </c>
      <c r="J3987" s="644" t="s">
        <v>7991</v>
      </c>
      <c r="K3987" s="739"/>
      <c r="L3987" s="754"/>
      <c r="M3987" s="735"/>
      <c r="N3987" s="753">
        <v>4</v>
      </c>
      <c r="O3987" s="754">
        <v>6</v>
      </c>
      <c r="P3987" s="736">
        <v>11220</v>
      </c>
      <c r="Q3987" s="214"/>
    </row>
    <row r="3988" spans="1:17" ht="12" customHeight="1" x14ac:dyDescent="0.2">
      <c r="A3988" s="735" t="s">
        <v>7733</v>
      </c>
      <c r="B3988" s="735" t="s">
        <v>2170</v>
      </c>
      <c r="C3988" s="735" t="s">
        <v>451</v>
      </c>
      <c r="D3988" s="644" t="s">
        <v>8301</v>
      </c>
      <c r="E3988" s="736">
        <v>1800</v>
      </c>
      <c r="F3988" s="737" t="s">
        <v>8781</v>
      </c>
      <c r="G3988" s="636" t="s">
        <v>8782</v>
      </c>
      <c r="H3988" s="636"/>
      <c r="I3988" s="636"/>
      <c r="J3988" s="644" t="s">
        <v>643</v>
      </c>
      <c r="K3988" s="739"/>
      <c r="L3988" s="754"/>
      <c r="M3988" s="735"/>
      <c r="N3988" s="753">
        <v>4</v>
      </c>
      <c r="O3988" s="754">
        <v>6</v>
      </c>
      <c r="P3988" s="736">
        <v>13344</v>
      </c>
      <c r="Q3988" s="214"/>
    </row>
    <row r="3989" spans="1:17" ht="12" customHeight="1" x14ac:dyDescent="0.2">
      <c r="A3989" s="735" t="s">
        <v>7733</v>
      </c>
      <c r="B3989" s="735" t="s">
        <v>2170</v>
      </c>
      <c r="C3989" s="735" t="s">
        <v>451</v>
      </c>
      <c r="D3989" s="644" t="s">
        <v>7755</v>
      </c>
      <c r="E3989" s="736">
        <v>2500</v>
      </c>
      <c r="F3989" s="737" t="s">
        <v>7777</v>
      </c>
      <c r="G3989" s="636" t="s">
        <v>7778</v>
      </c>
      <c r="H3989" s="636"/>
      <c r="I3989" s="636"/>
      <c r="J3989" s="644" t="s">
        <v>643</v>
      </c>
      <c r="K3989" s="739"/>
      <c r="L3989" s="754"/>
      <c r="M3989" s="735"/>
      <c r="N3989" s="753">
        <v>4</v>
      </c>
      <c r="O3989" s="754">
        <v>6</v>
      </c>
      <c r="P3989" s="736">
        <v>17689.8</v>
      </c>
      <c r="Q3989" s="214"/>
    </row>
    <row r="3990" spans="1:17" ht="12" customHeight="1" x14ac:dyDescent="0.2">
      <c r="A3990" s="735" t="s">
        <v>7733</v>
      </c>
      <c r="B3990" s="735" t="s">
        <v>2170</v>
      </c>
      <c r="C3990" s="735" t="s">
        <v>451</v>
      </c>
      <c r="D3990" s="644" t="s">
        <v>8417</v>
      </c>
      <c r="E3990" s="736">
        <v>1200</v>
      </c>
      <c r="F3990" s="737" t="s">
        <v>9835</v>
      </c>
      <c r="G3990" s="636" t="s">
        <v>9836</v>
      </c>
      <c r="H3990" s="636" t="s">
        <v>6571</v>
      </c>
      <c r="I3990" s="636" t="s">
        <v>4559</v>
      </c>
      <c r="J3990" s="644" t="s">
        <v>7991</v>
      </c>
      <c r="K3990" s="739"/>
      <c r="L3990" s="754"/>
      <c r="M3990" s="735"/>
      <c r="N3990" s="753">
        <v>4</v>
      </c>
      <c r="O3990" s="754">
        <v>6</v>
      </c>
      <c r="P3990" s="736">
        <v>9096</v>
      </c>
      <c r="Q3990" s="214"/>
    </row>
    <row r="3991" spans="1:17" ht="12" customHeight="1" x14ac:dyDescent="0.2">
      <c r="A3991" s="735" t="s">
        <v>7733</v>
      </c>
      <c r="B3991" s="735" t="s">
        <v>2170</v>
      </c>
      <c r="C3991" s="735" t="s">
        <v>451</v>
      </c>
      <c r="D3991" s="644" t="s">
        <v>2261</v>
      </c>
      <c r="E3991" s="736">
        <v>3000</v>
      </c>
      <c r="F3991" s="737" t="s">
        <v>10104</v>
      </c>
      <c r="G3991" s="636" t="s">
        <v>10105</v>
      </c>
      <c r="H3991" s="636"/>
      <c r="I3991" s="636"/>
      <c r="J3991" s="644" t="s">
        <v>644</v>
      </c>
      <c r="K3991" s="739"/>
      <c r="L3991" s="754"/>
      <c r="M3991" s="735"/>
      <c r="N3991" s="753">
        <v>4</v>
      </c>
      <c r="O3991" s="754">
        <v>6</v>
      </c>
      <c r="P3991" s="736">
        <v>20689.8</v>
      </c>
      <c r="Q3991" s="214"/>
    </row>
    <row r="3992" spans="1:17" ht="12" customHeight="1" x14ac:dyDescent="0.2">
      <c r="A3992" s="735" t="s">
        <v>7733</v>
      </c>
      <c r="B3992" s="735" t="s">
        <v>2170</v>
      </c>
      <c r="C3992" s="735" t="s">
        <v>451</v>
      </c>
      <c r="D3992" s="644" t="s">
        <v>3484</v>
      </c>
      <c r="E3992" s="736">
        <v>3200</v>
      </c>
      <c r="F3992" s="737" t="s">
        <v>8692</v>
      </c>
      <c r="G3992" s="636" t="s">
        <v>8693</v>
      </c>
      <c r="H3992" s="636" t="s">
        <v>3754</v>
      </c>
      <c r="I3992" s="636" t="s">
        <v>3760</v>
      </c>
      <c r="J3992" s="644" t="s">
        <v>643</v>
      </c>
      <c r="K3992" s="739"/>
      <c r="L3992" s="754"/>
      <c r="M3992" s="735"/>
      <c r="N3992" s="753">
        <v>4</v>
      </c>
      <c r="O3992" s="754">
        <v>6</v>
      </c>
      <c r="P3992" s="736">
        <v>21889.8</v>
      </c>
      <c r="Q3992" s="214"/>
    </row>
    <row r="3993" spans="1:17" ht="12" customHeight="1" x14ac:dyDescent="0.2">
      <c r="A3993" s="735" t="s">
        <v>7733</v>
      </c>
      <c r="B3993" s="735" t="s">
        <v>2170</v>
      </c>
      <c r="C3993" s="735" t="s">
        <v>451</v>
      </c>
      <c r="D3993" s="644" t="s">
        <v>8177</v>
      </c>
      <c r="E3993" s="736">
        <v>7000</v>
      </c>
      <c r="F3993" s="737" t="s">
        <v>9061</v>
      </c>
      <c r="G3993" s="636" t="s">
        <v>9062</v>
      </c>
      <c r="H3993" s="636"/>
      <c r="I3993" s="636"/>
      <c r="J3993" s="644" t="s">
        <v>642</v>
      </c>
      <c r="K3993" s="739"/>
      <c r="L3993" s="754"/>
      <c r="M3993" s="735"/>
      <c r="N3993" s="753">
        <v>1</v>
      </c>
      <c r="O3993" s="754">
        <v>1</v>
      </c>
      <c r="P3993" s="736">
        <v>9689.7999999999993</v>
      </c>
      <c r="Q3993" s="214"/>
    </row>
    <row r="3994" spans="1:17" ht="12" customHeight="1" x14ac:dyDescent="0.2">
      <c r="A3994" s="735" t="s">
        <v>7733</v>
      </c>
      <c r="B3994" s="735" t="s">
        <v>2170</v>
      </c>
      <c r="C3994" s="735" t="s">
        <v>451</v>
      </c>
      <c r="D3994" s="644" t="s">
        <v>8298</v>
      </c>
      <c r="E3994" s="736">
        <v>1200</v>
      </c>
      <c r="F3994" s="737" t="s">
        <v>8410</v>
      </c>
      <c r="G3994" s="636" t="s">
        <v>8411</v>
      </c>
      <c r="H3994" s="636" t="s">
        <v>10194</v>
      </c>
      <c r="I3994" s="636"/>
      <c r="J3994" s="644" t="s">
        <v>644</v>
      </c>
      <c r="K3994" s="739"/>
      <c r="L3994" s="754"/>
      <c r="M3994" s="735"/>
      <c r="N3994" s="753">
        <v>4</v>
      </c>
      <c r="O3994" s="754">
        <v>6</v>
      </c>
      <c r="P3994" s="736">
        <v>9096</v>
      </c>
      <c r="Q3994" s="214"/>
    </row>
    <row r="3995" spans="1:17" ht="12" customHeight="1" x14ac:dyDescent="0.2">
      <c r="A3995" s="735" t="s">
        <v>7733</v>
      </c>
      <c r="B3995" s="735" t="s">
        <v>2170</v>
      </c>
      <c r="C3995" s="735" t="s">
        <v>451</v>
      </c>
      <c r="D3995" s="644" t="s">
        <v>7985</v>
      </c>
      <c r="E3995" s="758">
        <v>3000</v>
      </c>
      <c r="F3995" s="737" t="s">
        <v>8752</v>
      </c>
      <c r="G3995" s="636" t="s">
        <v>8753</v>
      </c>
      <c r="H3995" s="636" t="s">
        <v>7916</v>
      </c>
      <c r="I3995" s="636" t="s">
        <v>7917</v>
      </c>
      <c r="J3995" s="644" t="s">
        <v>643</v>
      </c>
      <c r="K3995" s="739"/>
      <c r="L3995" s="754"/>
      <c r="M3995" s="735"/>
      <c r="N3995" s="753">
        <v>4</v>
      </c>
      <c r="O3995" s="754">
        <v>6</v>
      </c>
      <c r="P3995" s="736">
        <v>20689.8</v>
      </c>
      <c r="Q3995" s="214"/>
    </row>
    <row r="3996" spans="1:17" ht="12" customHeight="1" x14ac:dyDescent="0.2">
      <c r="A3996" s="646" t="s">
        <v>10266</v>
      </c>
      <c r="B3996" s="735" t="s">
        <v>2170</v>
      </c>
      <c r="C3996" s="646" t="s">
        <v>451</v>
      </c>
      <c r="D3996" s="636" t="s">
        <v>10267</v>
      </c>
      <c r="E3996" s="759">
        <v>12500</v>
      </c>
      <c r="F3996" s="740" t="s">
        <v>10268</v>
      </c>
      <c r="G3996" s="644" t="s">
        <v>10269</v>
      </c>
      <c r="H3996" s="636" t="s">
        <v>10270</v>
      </c>
      <c r="I3996" s="636" t="s">
        <v>2180</v>
      </c>
      <c r="J3996" s="635" t="s">
        <v>2180</v>
      </c>
      <c r="K3996" s="760">
        <v>5</v>
      </c>
      <c r="L3996" s="760">
        <v>11</v>
      </c>
      <c r="M3996" s="736">
        <v>141236.31</v>
      </c>
      <c r="N3996" s="753">
        <v>0</v>
      </c>
      <c r="O3996" s="760">
        <v>0</v>
      </c>
      <c r="P3996" s="736">
        <v>0</v>
      </c>
      <c r="Q3996" s="214"/>
    </row>
    <row r="3997" spans="1:17" ht="12" customHeight="1" x14ac:dyDescent="0.2">
      <c r="A3997" s="646" t="s">
        <v>10266</v>
      </c>
      <c r="B3997" s="735" t="s">
        <v>2170</v>
      </c>
      <c r="C3997" s="646" t="s">
        <v>451</v>
      </c>
      <c r="D3997" s="636" t="s">
        <v>10271</v>
      </c>
      <c r="E3997" s="759">
        <v>15000</v>
      </c>
      <c r="F3997" s="638" t="s">
        <v>10268</v>
      </c>
      <c r="G3997" s="644" t="s">
        <v>10269</v>
      </c>
      <c r="H3997" s="636" t="s">
        <v>10270</v>
      </c>
      <c r="I3997" s="636" t="s">
        <v>2180</v>
      </c>
      <c r="J3997" s="635" t="s">
        <v>2180</v>
      </c>
      <c r="K3997" s="760">
        <v>1</v>
      </c>
      <c r="L3997" s="760">
        <v>2</v>
      </c>
      <c r="M3997" s="736">
        <v>28726.799999999999</v>
      </c>
      <c r="N3997" s="753">
        <v>3</v>
      </c>
      <c r="O3997" s="760">
        <v>6</v>
      </c>
      <c r="P3997" s="736">
        <v>91044.9</v>
      </c>
      <c r="Q3997" s="214"/>
    </row>
    <row r="3998" spans="1:17" ht="12" customHeight="1" x14ac:dyDescent="0.2">
      <c r="A3998" s="646" t="s">
        <v>10266</v>
      </c>
      <c r="B3998" s="735" t="s">
        <v>2170</v>
      </c>
      <c r="C3998" s="646" t="s">
        <v>451</v>
      </c>
      <c r="D3998" s="636" t="s">
        <v>10272</v>
      </c>
      <c r="E3998" s="759">
        <v>12500</v>
      </c>
      <c r="F3998" s="638" t="s">
        <v>10273</v>
      </c>
      <c r="G3998" s="644" t="s">
        <v>10274</v>
      </c>
      <c r="H3998" s="636" t="s">
        <v>6794</v>
      </c>
      <c r="I3998" s="636" t="s">
        <v>2180</v>
      </c>
      <c r="J3998" s="635" t="s">
        <v>2180</v>
      </c>
      <c r="K3998" s="760">
        <v>10</v>
      </c>
      <c r="L3998" s="760">
        <v>3</v>
      </c>
      <c r="M3998" s="736">
        <v>50270.729999999996</v>
      </c>
      <c r="N3998" s="753">
        <v>0</v>
      </c>
      <c r="O3998" s="760">
        <v>0</v>
      </c>
      <c r="P3998" s="736">
        <v>0</v>
      </c>
      <c r="Q3998" s="214"/>
    </row>
    <row r="3999" spans="1:17" ht="12" customHeight="1" x14ac:dyDescent="0.2">
      <c r="A3999" s="646" t="s">
        <v>10266</v>
      </c>
      <c r="B3999" s="735" t="s">
        <v>2170</v>
      </c>
      <c r="C3999" s="646" t="s">
        <v>451</v>
      </c>
      <c r="D3999" s="636" t="s">
        <v>10275</v>
      </c>
      <c r="E3999" s="759">
        <v>11000</v>
      </c>
      <c r="F3999" s="638" t="s">
        <v>10276</v>
      </c>
      <c r="G3999" s="644" t="s">
        <v>10277</v>
      </c>
      <c r="H3999" s="636" t="s">
        <v>2174</v>
      </c>
      <c r="I3999" s="636" t="s">
        <v>2180</v>
      </c>
      <c r="J3999" s="635" t="s">
        <v>2180</v>
      </c>
      <c r="K3999" s="760">
        <v>1</v>
      </c>
      <c r="L3999" s="760">
        <v>12</v>
      </c>
      <c r="M3999" s="736">
        <v>122847.4</v>
      </c>
      <c r="N3999" s="753">
        <v>1</v>
      </c>
      <c r="O3999" s="760">
        <v>6</v>
      </c>
      <c r="P3999" s="736">
        <v>67044.899999999994</v>
      </c>
      <c r="Q3999" s="214"/>
    </row>
    <row r="4000" spans="1:17" ht="12" customHeight="1" x14ac:dyDescent="0.2">
      <c r="A4000" s="646" t="s">
        <v>10266</v>
      </c>
      <c r="B4000" s="735" t="s">
        <v>2170</v>
      </c>
      <c r="C4000" s="646" t="s">
        <v>451</v>
      </c>
      <c r="D4000" s="636" t="s">
        <v>10278</v>
      </c>
      <c r="E4000" s="759">
        <v>10000</v>
      </c>
      <c r="F4000" s="638" t="s">
        <v>10279</v>
      </c>
      <c r="G4000" s="644" t="s">
        <v>10280</v>
      </c>
      <c r="H4000" s="636" t="s">
        <v>2647</v>
      </c>
      <c r="I4000" s="636" t="s">
        <v>2766</v>
      </c>
      <c r="J4000" s="635" t="s">
        <v>2766</v>
      </c>
      <c r="K4000" s="760">
        <v>1</v>
      </c>
      <c r="L4000" s="760">
        <v>12</v>
      </c>
      <c r="M4000" s="736">
        <v>121960.8</v>
      </c>
      <c r="N4000" s="753">
        <v>1</v>
      </c>
      <c r="O4000" s="760">
        <v>5</v>
      </c>
      <c r="P4000" s="759">
        <v>70774.600000000006</v>
      </c>
      <c r="Q4000" s="214"/>
    </row>
    <row r="4001" spans="1:17" ht="12" customHeight="1" x14ac:dyDescent="0.2">
      <c r="A4001" s="646" t="s">
        <v>10266</v>
      </c>
      <c r="B4001" s="735" t="s">
        <v>2170</v>
      </c>
      <c r="C4001" s="646" t="s">
        <v>451</v>
      </c>
      <c r="D4001" s="636" t="s">
        <v>10278</v>
      </c>
      <c r="E4001" s="759">
        <v>13000</v>
      </c>
      <c r="F4001" s="638" t="s">
        <v>10279</v>
      </c>
      <c r="G4001" s="644" t="s">
        <v>10281</v>
      </c>
      <c r="H4001" s="636" t="s">
        <v>2647</v>
      </c>
      <c r="I4001" s="636" t="s">
        <v>2766</v>
      </c>
      <c r="J4001" s="635" t="s">
        <v>2766</v>
      </c>
      <c r="K4001" s="760">
        <v>0</v>
      </c>
      <c r="L4001" s="760">
        <v>0</v>
      </c>
      <c r="M4001" s="736">
        <v>0</v>
      </c>
      <c r="N4001" s="753">
        <v>1</v>
      </c>
      <c r="O4001" s="760">
        <v>1</v>
      </c>
      <c r="P4001" s="736">
        <v>9707.48</v>
      </c>
      <c r="Q4001" s="214"/>
    </row>
    <row r="4002" spans="1:17" ht="12" customHeight="1" x14ac:dyDescent="0.2">
      <c r="A4002" s="646" t="s">
        <v>10266</v>
      </c>
      <c r="B4002" s="735" t="s">
        <v>2170</v>
      </c>
      <c r="C4002" s="646" t="s">
        <v>451</v>
      </c>
      <c r="D4002" s="636" t="s">
        <v>10282</v>
      </c>
      <c r="E4002" s="759">
        <v>10000</v>
      </c>
      <c r="F4002" s="638" t="s">
        <v>10283</v>
      </c>
      <c r="G4002" s="644" t="s">
        <v>10284</v>
      </c>
      <c r="H4002" s="636" t="s">
        <v>10285</v>
      </c>
      <c r="I4002" s="636" t="s">
        <v>2180</v>
      </c>
      <c r="J4002" s="635" t="s">
        <v>2180</v>
      </c>
      <c r="K4002" s="760">
        <v>12</v>
      </c>
      <c r="L4002" s="760">
        <v>12</v>
      </c>
      <c r="M4002" s="736">
        <v>121933.02</v>
      </c>
      <c r="N4002" s="753">
        <v>16</v>
      </c>
      <c r="O4002" s="760">
        <v>6</v>
      </c>
      <c r="P4002" s="759">
        <v>61044.900000000009</v>
      </c>
      <c r="Q4002" s="214"/>
    </row>
    <row r="4003" spans="1:17" ht="12" customHeight="1" x14ac:dyDescent="0.2">
      <c r="A4003" s="646" t="s">
        <v>10266</v>
      </c>
      <c r="B4003" s="735" t="s">
        <v>2170</v>
      </c>
      <c r="C4003" s="646" t="s">
        <v>451</v>
      </c>
      <c r="D4003" s="636" t="s">
        <v>10286</v>
      </c>
      <c r="E4003" s="759">
        <v>15000</v>
      </c>
      <c r="F4003" s="638" t="s">
        <v>10287</v>
      </c>
      <c r="G4003" s="644" t="s">
        <v>10288</v>
      </c>
      <c r="H4003" s="636" t="s">
        <v>6608</v>
      </c>
      <c r="I4003" s="636" t="s">
        <v>2180</v>
      </c>
      <c r="J4003" s="635" t="s">
        <v>2180</v>
      </c>
      <c r="K4003" s="760">
        <v>1</v>
      </c>
      <c r="L4003" s="760">
        <v>6</v>
      </c>
      <c r="M4003" s="736">
        <v>106207.2</v>
      </c>
      <c r="N4003" s="753">
        <v>0</v>
      </c>
      <c r="O4003" s="760">
        <v>0</v>
      </c>
      <c r="P4003" s="736">
        <v>0</v>
      </c>
      <c r="Q4003" s="214"/>
    </row>
    <row r="4004" spans="1:17" ht="12" customHeight="1" x14ac:dyDescent="0.2">
      <c r="A4004" s="646" t="s">
        <v>10266</v>
      </c>
      <c r="B4004" s="735" t="s">
        <v>2170</v>
      </c>
      <c r="C4004" s="646" t="s">
        <v>451</v>
      </c>
      <c r="D4004" s="636" t="s">
        <v>10289</v>
      </c>
      <c r="E4004" s="759">
        <v>15000</v>
      </c>
      <c r="F4004" s="638" t="s">
        <v>10287</v>
      </c>
      <c r="G4004" s="644" t="s">
        <v>10288</v>
      </c>
      <c r="H4004" s="636" t="s">
        <v>6608</v>
      </c>
      <c r="I4004" s="636" t="s">
        <v>2180</v>
      </c>
      <c r="J4004" s="635" t="s">
        <v>2180</v>
      </c>
      <c r="K4004" s="760">
        <v>1</v>
      </c>
      <c r="L4004" s="760">
        <v>7</v>
      </c>
      <c r="M4004" s="736">
        <v>91305.45</v>
      </c>
      <c r="N4004" s="753">
        <v>1</v>
      </c>
      <c r="O4004" s="760">
        <v>6</v>
      </c>
      <c r="P4004" s="736">
        <v>91044.9</v>
      </c>
      <c r="Q4004" s="214"/>
    </row>
    <row r="4005" spans="1:17" ht="12" customHeight="1" x14ac:dyDescent="0.2">
      <c r="A4005" s="646" t="s">
        <v>10266</v>
      </c>
      <c r="B4005" s="735" t="s">
        <v>2170</v>
      </c>
      <c r="C4005" s="646" t="s">
        <v>451</v>
      </c>
      <c r="D4005" s="636" t="s">
        <v>10290</v>
      </c>
      <c r="E4005" s="759">
        <v>12500</v>
      </c>
      <c r="F4005" s="638" t="s">
        <v>10291</v>
      </c>
      <c r="G4005" s="644" t="s">
        <v>10292</v>
      </c>
      <c r="H4005" s="636" t="s">
        <v>2179</v>
      </c>
      <c r="I4005" s="636" t="s">
        <v>2180</v>
      </c>
      <c r="J4005" s="635" t="s">
        <v>2180</v>
      </c>
      <c r="K4005" s="760">
        <v>1</v>
      </c>
      <c r="L4005" s="760">
        <v>6</v>
      </c>
      <c r="M4005" s="736">
        <v>80977.23</v>
      </c>
      <c r="N4005" s="753">
        <v>0</v>
      </c>
      <c r="O4005" s="760">
        <v>0</v>
      </c>
      <c r="P4005" s="736">
        <v>0</v>
      </c>
      <c r="Q4005" s="214"/>
    </row>
    <row r="4006" spans="1:17" ht="12" customHeight="1" x14ac:dyDescent="0.2">
      <c r="A4006" s="646" t="s">
        <v>10266</v>
      </c>
      <c r="B4006" s="735" t="s">
        <v>2170</v>
      </c>
      <c r="C4006" s="646" t="s">
        <v>451</v>
      </c>
      <c r="D4006" s="636" t="s">
        <v>2602</v>
      </c>
      <c r="E4006" s="759">
        <v>5000</v>
      </c>
      <c r="F4006" s="638" t="s">
        <v>10293</v>
      </c>
      <c r="G4006" s="644" t="s">
        <v>10294</v>
      </c>
      <c r="H4006" s="636" t="s">
        <v>2346</v>
      </c>
      <c r="I4006" s="636" t="s">
        <v>643</v>
      </c>
      <c r="J4006" s="635" t="s">
        <v>643</v>
      </c>
      <c r="K4006" s="760">
        <v>1</v>
      </c>
      <c r="L4006" s="760">
        <v>4</v>
      </c>
      <c r="M4006" s="736">
        <v>17639.240000000002</v>
      </c>
      <c r="N4006" s="753">
        <v>0</v>
      </c>
      <c r="O4006" s="760">
        <v>0</v>
      </c>
      <c r="P4006" s="736">
        <v>0</v>
      </c>
      <c r="Q4006" s="214"/>
    </row>
    <row r="4007" spans="1:17" ht="12" customHeight="1" x14ac:dyDescent="0.2">
      <c r="A4007" s="646" t="s">
        <v>10266</v>
      </c>
      <c r="B4007" s="735" t="s">
        <v>2170</v>
      </c>
      <c r="C4007" s="646" t="s">
        <v>451</v>
      </c>
      <c r="D4007" s="636" t="s">
        <v>2225</v>
      </c>
      <c r="E4007" s="759">
        <v>6000</v>
      </c>
      <c r="F4007" s="638" t="s">
        <v>10295</v>
      </c>
      <c r="G4007" s="644" t="s">
        <v>10296</v>
      </c>
      <c r="H4007" s="636" t="s">
        <v>2179</v>
      </c>
      <c r="I4007" s="636" t="s">
        <v>2180</v>
      </c>
      <c r="J4007" s="635" t="s">
        <v>2180</v>
      </c>
      <c r="K4007" s="760">
        <v>1</v>
      </c>
      <c r="L4007" s="760">
        <v>3</v>
      </c>
      <c r="M4007" s="736">
        <v>18540.2</v>
      </c>
      <c r="N4007" s="753">
        <v>2</v>
      </c>
      <c r="O4007" s="760">
        <v>3</v>
      </c>
      <c r="P4007" s="736">
        <v>17839.16</v>
      </c>
      <c r="Q4007" s="214"/>
    </row>
    <row r="4008" spans="1:17" ht="12" customHeight="1" x14ac:dyDescent="0.2">
      <c r="A4008" s="646" t="s">
        <v>10266</v>
      </c>
      <c r="B4008" s="735" t="s">
        <v>2170</v>
      </c>
      <c r="C4008" s="646" t="s">
        <v>451</v>
      </c>
      <c r="D4008" s="636" t="s">
        <v>10297</v>
      </c>
      <c r="E4008" s="759">
        <v>8000</v>
      </c>
      <c r="F4008" s="638" t="s">
        <v>10298</v>
      </c>
      <c r="G4008" s="644" t="s">
        <v>10299</v>
      </c>
      <c r="H4008" s="636" t="s">
        <v>3070</v>
      </c>
      <c r="I4008" s="636" t="s">
        <v>2180</v>
      </c>
      <c r="J4008" s="635" t="s">
        <v>2180</v>
      </c>
      <c r="K4008" s="760">
        <v>1</v>
      </c>
      <c r="L4008" s="760">
        <v>2</v>
      </c>
      <c r="M4008" s="736">
        <v>15426.8</v>
      </c>
      <c r="N4008" s="753">
        <v>2</v>
      </c>
      <c r="O4008" s="760">
        <v>1</v>
      </c>
      <c r="P4008" s="736">
        <v>10107.43</v>
      </c>
      <c r="Q4008" s="214"/>
    </row>
    <row r="4009" spans="1:17" ht="12" customHeight="1" x14ac:dyDescent="0.2">
      <c r="A4009" s="646" t="s">
        <v>10266</v>
      </c>
      <c r="B4009" s="735" t="s">
        <v>2170</v>
      </c>
      <c r="C4009" s="646" t="s">
        <v>451</v>
      </c>
      <c r="D4009" s="636" t="s">
        <v>10300</v>
      </c>
      <c r="E4009" s="759">
        <v>10000</v>
      </c>
      <c r="F4009" s="638" t="s">
        <v>10301</v>
      </c>
      <c r="G4009" s="644" t="s">
        <v>10302</v>
      </c>
      <c r="H4009" s="636" t="s">
        <v>2712</v>
      </c>
      <c r="I4009" s="636" t="s">
        <v>2180</v>
      </c>
      <c r="J4009" s="635" t="s">
        <v>2180</v>
      </c>
      <c r="K4009" s="760">
        <v>1</v>
      </c>
      <c r="L4009" s="760">
        <v>12</v>
      </c>
      <c r="M4009" s="736">
        <v>117294.13</v>
      </c>
      <c r="N4009" s="753">
        <v>1</v>
      </c>
      <c r="O4009" s="760">
        <v>2</v>
      </c>
      <c r="P4009" s="736">
        <v>26744.670000000002</v>
      </c>
      <c r="Q4009" s="214"/>
    </row>
    <row r="4010" spans="1:17" ht="12" customHeight="1" x14ac:dyDescent="0.2">
      <c r="A4010" s="646" t="s">
        <v>10266</v>
      </c>
      <c r="B4010" s="735" t="s">
        <v>2170</v>
      </c>
      <c r="C4010" s="646" t="s">
        <v>451</v>
      </c>
      <c r="D4010" s="636" t="s">
        <v>10297</v>
      </c>
      <c r="E4010" s="759">
        <v>10000</v>
      </c>
      <c r="F4010" s="638" t="s">
        <v>10303</v>
      </c>
      <c r="G4010" s="644" t="s">
        <v>10304</v>
      </c>
      <c r="H4010" s="636" t="s">
        <v>2536</v>
      </c>
      <c r="I4010" s="636" t="s">
        <v>2766</v>
      </c>
      <c r="J4010" s="635" t="s">
        <v>2766</v>
      </c>
      <c r="K4010" s="760">
        <v>1</v>
      </c>
      <c r="L4010" s="760">
        <v>1</v>
      </c>
      <c r="M4010" s="736">
        <v>6754.58</v>
      </c>
      <c r="N4010" s="753">
        <v>0</v>
      </c>
      <c r="O4010" s="760">
        <v>0</v>
      </c>
      <c r="P4010" s="736">
        <v>0</v>
      </c>
      <c r="Q4010" s="214"/>
    </row>
    <row r="4011" spans="1:17" ht="12" customHeight="1" x14ac:dyDescent="0.2">
      <c r="A4011" s="646" t="s">
        <v>10266</v>
      </c>
      <c r="B4011" s="735" t="s">
        <v>2170</v>
      </c>
      <c r="C4011" s="646" t="s">
        <v>451</v>
      </c>
      <c r="D4011" s="636" t="s">
        <v>10278</v>
      </c>
      <c r="E4011" s="759">
        <v>13000</v>
      </c>
      <c r="F4011" s="638" t="s">
        <v>10303</v>
      </c>
      <c r="G4011" s="644" t="s">
        <v>10304</v>
      </c>
      <c r="H4011" s="636" t="s">
        <v>2536</v>
      </c>
      <c r="I4011" s="636" t="s">
        <v>2766</v>
      </c>
      <c r="J4011" s="635" t="s">
        <v>2766</v>
      </c>
      <c r="K4011" s="760">
        <v>1</v>
      </c>
      <c r="L4011" s="760">
        <v>11</v>
      </c>
      <c r="M4011" s="736">
        <v>117294.13</v>
      </c>
      <c r="N4011" s="753">
        <v>1</v>
      </c>
      <c r="O4011" s="760">
        <v>6</v>
      </c>
      <c r="P4011" s="736">
        <v>79044.899999999994</v>
      </c>
      <c r="Q4011" s="214"/>
    </row>
    <row r="4012" spans="1:17" ht="12" customHeight="1" x14ac:dyDescent="0.2">
      <c r="A4012" s="646" t="s">
        <v>10266</v>
      </c>
      <c r="B4012" s="735" t="s">
        <v>2170</v>
      </c>
      <c r="C4012" s="646" t="s">
        <v>451</v>
      </c>
      <c r="D4012" s="636" t="s">
        <v>10305</v>
      </c>
      <c r="E4012" s="759">
        <v>12500</v>
      </c>
      <c r="F4012" s="638" t="s">
        <v>10306</v>
      </c>
      <c r="G4012" s="644" t="s">
        <v>10307</v>
      </c>
      <c r="H4012" s="636" t="s">
        <v>2712</v>
      </c>
      <c r="I4012" s="636" t="s">
        <v>2180</v>
      </c>
      <c r="J4012" s="635" t="s">
        <v>2180</v>
      </c>
      <c r="K4012" s="760">
        <v>4</v>
      </c>
      <c r="L4012" s="760">
        <v>4</v>
      </c>
      <c r="M4012" s="736">
        <v>54576.869999999995</v>
      </c>
      <c r="N4012" s="753">
        <v>0</v>
      </c>
      <c r="O4012" s="760">
        <v>0</v>
      </c>
      <c r="P4012" s="736">
        <v>0</v>
      </c>
      <c r="Q4012" s="214"/>
    </row>
    <row r="4013" spans="1:17" ht="12" customHeight="1" x14ac:dyDescent="0.2">
      <c r="A4013" s="646" t="s">
        <v>10266</v>
      </c>
      <c r="B4013" s="735" t="s">
        <v>2170</v>
      </c>
      <c r="C4013" s="646" t="s">
        <v>451</v>
      </c>
      <c r="D4013" s="636" t="s">
        <v>2369</v>
      </c>
      <c r="E4013" s="759">
        <v>4500</v>
      </c>
      <c r="F4013" s="638" t="s">
        <v>10308</v>
      </c>
      <c r="G4013" s="644" t="s">
        <v>10309</v>
      </c>
      <c r="H4013" s="636" t="s">
        <v>10310</v>
      </c>
      <c r="I4013" s="636" t="s">
        <v>2766</v>
      </c>
      <c r="J4013" s="635" t="s">
        <v>2766</v>
      </c>
      <c r="K4013" s="760">
        <v>5</v>
      </c>
      <c r="L4013" s="760">
        <v>12</v>
      </c>
      <c r="M4013" s="736">
        <v>55960.799999999996</v>
      </c>
      <c r="N4013" s="753">
        <v>9</v>
      </c>
      <c r="O4013" s="760">
        <v>6</v>
      </c>
      <c r="P4013" s="736">
        <v>28044.9</v>
      </c>
      <c r="Q4013" s="214"/>
    </row>
    <row r="4014" spans="1:17" ht="12" customHeight="1" x14ac:dyDescent="0.2">
      <c r="A4014" s="646" t="s">
        <v>10266</v>
      </c>
      <c r="B4014" s="735" t="s">
        <v>2170</v>
      </c>
      <c r="C4014" s="646" t="s">
        <v>451</v>
      </c>
      <c r="D4014" s="636" t="s">
        <v>10311</v>
      </c>
      <c r="E4014" s="759">
        <v>14000</v>
      </c>
      <c r="F4014" s="638" t="s">
        <v>10312</v>
      </c>
      <c r="G4014" s="644" t="s">
        <v>10313</v>
      </c>
      <c r="H4014" s="636" t="s">
        <v>10314</v>
      </c>
      <c r="I4014" s="636" t="s">
        <v>2180</v>
      </c>
      <c r="J4014" s="635" t="s">
        <v>2180</v>
      </c>
      <c r="K4014" s="760">
        <v>11</v>
      </c>
      <c r="L4014" s="760">
        <v>12</v>
      </c>
      <c r="M4014" s="736">
        <v>169902.47</v>
      </c>
      <c r="N4014" s="753">
        <v>15</v>
      </c>
      <c r="O4014" s="760">
        <v>6</v>
      </c>
      <c r="P4014" s="736">
        <v>85044.9</v>
      </c>
      <c r="Q4014" s="214"/>
    </row>
    <row r="4015" spans="1:17" ht="12" customHeight="1" x14ac:dyDescent="0.2">
      <c r="A4015" s="646" t="s">
        <v>10266</v>
      </c>
      <c r="B4015" s="735" t="s">
        <v>2170</v>
      </c>
      <c r="C4015" s="646" t="s">
        <v>451</v>
      </c>
      <c r="D4015" s="636" t="s">
        <v>10311</v>
      </c>
      <c r="E4015" s="759">
        <v>14000</v>
      </c>
      <c r="F4015" s="638" t="s">
        <v>10315</v>
      </c>
      <c r="G4015" s="644" t="s">
        <v>10316</v>
      </c>
      <c r="H4015" s="636" t="s">
        <v>2197</v>
      </c>
      <c r="I4015" s="636" t="s">
        <v>2180</v>
      </c>
      <c r="J4015" s="635" t="s">
        <v>2180</v>
      </c>
      <c r="K4015" s="760">
        <v>11</v>
      </c>
      <c r="L4015" s="760">
        <v>12</v>
      </c>
      <c r="M4015" s="736">
        <v>169960.8</v>
      </c>
      <c r="N4015" s="753">
        <v>15</v>
      </c>
      <c r="O4015" s="760">
        <v>6</v>
      </c>
      <c r="P4015" s="736">
        <v>85041.01</v>
      </c>
      <c r="Q4015" s="214"/>
    </row>
    <row r="4016" spans="1:17" ht="12" customHeight="1" x14ac:dyDescent="0.2">
      <c r="A4016" s="646" t="s">
        <v>10266</v>
      </c>
      <c r="B4016" s="735" t="s">
        <v>2170</v>
      </c>
      <c r="C4016" s="646" t="s">
        <v>451</v>
      </c>
      <c r="D4016" s="636" t="s">
        <v>10317</v>
      </c>
      <c r="E4016" s="759">
        <v>8000</v>
      </c>
      <c r="F4016" s="638" t="s">
        <v>10318</v>
      </c>
      <c r="G4016" s="644" t="s">
        <v>10319</v>
      </c>
      <c r="H4016" s="636" t="s">
        <v>6558</v>
      </c>
      <c r="I4016" s="636" t="s">
        <v>2180</v>
      </c>
      <c r="J4016" s="635" t="s">
        <v>2180</v>
      </c>
      <c r="K4016" s="760">
        <v>8</v>
      </c>
      <c r="L4016" s="760">
        <v>3</v>
      </c>
      <c r="M4016" s="736">
        <v>37172.1</v>
      </c>
      <c r="N4016" s="753">
        <v>0</v>
      </c>
      <c r="O4016" s="760">
        <v>0</v>
      </c>
      <c r="P4016" s="736">
        <v>0</v>
      </c>
      <c r="Q4016" s="214"/>
    </row>
    <row r="4017" spans="1:17" ht="12" customHeight="1" x14ac:dyDescent="0.2">
      <c r="A4017" s="646" t="s">
        <v>10266</v>
      </c>
      <c r="B4017" s="735" t="s">
        <v>2170</v>
      </c>
      <c r="C4017" s="646" t="s">
        <v>451</v>
      </c>
      <c r="D4017" s="636" t="s">
        <v>10320</v>
      </c>
      <c r="E4017" s="759">
        <v>10000</v>
      </c>
      <c r="F4017" s="638" t="s">
        <v>10321</v>
      </c>
      <c r="G4017" s="644" t="s">
        <v>10322</v>
      </c>
      <c r="H4017" s="636" t="s">
        <v>2197</v>
      </c>
      <c r="I4017" s="636" t="s">
        <v>2180</v>
      </c>
      <c r="J4017" s="635" t="s">
        <v>2180</v>
      </c>
      <c r="K4017" s="760">
        <v>17</v>
      </c>
      <c r="L4017" s="760">
        <v>12</v>
      </c>
      <c r="M4017" s="736">
        <v>121876.08</v>
      </c>
      <c r="N4017" s="753">
        <v>21</v>
      </c>
      <c r="O4017" s="760">
        <v>6</v>
      </c>
      <c r="P4017" s="736">
        <v>61044.9</v>
      </c>
      <c r="Q4017" s="214"/>
    </row>
    <row r="4018" spans="1:17" ht="12" customHeight="1" x14ac:dyDescent="0.2">
      <c r="A4018" s="646" t="s">
        <v>10266</v>
      </c>
      <c r="B4018" s="735" t="s">
        <v>2170</v>
      </c>
      <c r="C4018" s="646" t="s">
        <v>451</v>
      </c>
      <c r="D4018" s="636" t="s">
        <v>10323</v>
      </c>
      <c r="E4018" s="759">
        <v>5500</v>
      </c>
      <c r="F4018" s="638" t="s">
        <v>10324</v>
      </c>
      <c r="G4018" s="644" t="s">
        <v>10325</v>
      </c>
      <c r="H4018" s="636" t="s">
        <v>2253</v>
      </c>
      <c r="I4018" s="636" t="s">
        <v>2253</v>
      </c>
      <c r="J4018" s="635" t="s">
        <v>2253</v>
      </c>
      <c r="K4018" s="760">
        <v>2</v>
      </c>
      <c r="L4018" s="760">
        <v>4</v>
      </c>
      <c r="M4018" s="736">
        <v>22286.93</v>
      </c>
      <c r="N4018" s="753">
        <v>5</v>
      </c>
      <c r="O4018" s="760">
        <v>6</v>
      </c>
      <c r="P4018" s="736">
        <v>34044.9</v>
      </c>
      <c r="Q4018" s="214"/>
    </row>
    <row r="4019" spans="1:17" ht="12" customHeight="1" x14ac:dyDescent="0.2">
      <c r="A4019" s="646" t="s">
        <v>10266</v>
      </c>
      <c r="B4019" s="735" t="s">
        <v>2170</v>
      </c>
      <c r="C4019" s="646" t="s">
        <v>451</v>
      </c>
      <c r="D4019" s="636" t="s">
        <v>10326</v>
      </c>
      <c r="E4019" s="759">
        <v>15000</v>
      </c>
      <c r="F4019" s="638" t="s">
        <v>10327</v>
      </c>
      <c r="G4019" s="644" t="s">
        <v>10328</v>
      </c>
      <c r="H4019" s="636" t="s">
        <v>3070</v>
      </c>
      <c r="I4019" s="636" t="s">
        <v>2180</v>
      </c>
      <c r="J4019" s="635" t="s">
        <v>2180</v>
      </c>
      <c r="K4019" s="760">
        <v>0</v>
      </c>
      <c r="L4019" s="760">
        <v>0</v>
      </c>
      <c r="M4019" s="736">
        <v>0</v>
      </c>
      <c r="N4019" s="753">
        <v>1</v>
      </c>
      <c r="O4019" s="760">
        <v>2</v>
      </c>
      <c r="P4019" s="736">
        <v>31723.39</v>
      </c>
      <c r="Q4019" s="214"/>
    </row>
    <row r="4020" spans="1:17" ht="12" customHeight="1" x14ac:dyDescent="0.2">
      <c r="A4020" s="646" t="s">
        <v>10266</v>
      </c>
      <c r="B4020" s="735" t="s">
        <v>2170</v>
      </c>
      <c r="C4020" s="646" t="s">
        <v>451</v>
      </c>
      <c r="D4020" s="636" t="s">
        <v>10329</v>
      </c>
      <c r="E4020" s="759">
        <v>10000</v>
      </c>
      <c r="F4020" s="638" t="s">
        <v>10330</v>
      </c>
      <c r="G4020" s="644" t="s">
        <v>10331</v>
      </c>
      <c r="H4020" s="636" t="s">
        <v>2179</v>
      </c>
      <c r="I4020" s="636" t="s">
        <v>2180</v>
      </c>
      <c r="J4020" s="635" t="s">
        <v>2180</v>
      </c>
      <c r="K4020" s="760">
        <v>0</v>
      </c>
      <c r="L4020" s="760">
        <v>0</v>
      </c>
      <c r="M4020" s="736">
        <v>0</v>
      </c>
      <c r="N4020" s="753">
        <v>1</v>
      </c>
      <c r="O4020" s="760">
        <v>6</v>
      </c>
      <c r="P4020" s="736">
        <v>60711.57</v>
      </c>
      <c r="Q4020" s="214"/>
    </row>
    <row r="4021" spans="1:17" ht="12" customHeight="1" x14ac:dyDescent="0.2">
      <c r="A4021" s="646" t="s">
        <v>10266</v>
      </c>
      <c r="B4021" s="735" t="s">
        <v>2170</v>
      </c>
      <c r="C4021" s="646" t="s">
        <v>451</v>
      </c>
      <c r="D4021" s="636" t="s">
        <v>10332</v>
      </c>
      <c r="E4021" s="759">
        <v>7000</v>
      </c>
      <c r="F4021" s="638" t="s">
        <v>10333</v>
      </c>
      <c r="G4021" s="644" t="s">
        <v>10334</v>
      </c>
      <c r="H4021" s="636" t="s">
        <v>2253</v>
      </c>
      <c r="I4021" s="636" t="s">
        <v>2253</v>
      </c>
      <c r="J4021" s="635" t="s">
        <v>2253</v>
      </c>
      <c r="K4021" s="760">
        <v>1</v>
      </c>
      <c r="L4021" s="760">
        <v>5</v>
      </c>
      <c r="M4021" s="736">
        <v>33238.649999999994</v>
      </c>
      <c r="N4021" s="753">
        <v>0</v>
      </c>
      <c r="O4021" s="760">
        <v>0</v>
      </c>
      <c r="P4021" s="736">
        <v>0</v>
      </c>
      <c r="Q4021" s="214"/>
    </row>
    <row r="4022" spans="1:17" ht="12" customHeight="1" x14ac:dyDescent="0.2">
      <c r="A4022" s="646" t="s">
        <v>10266</v>
      </c>
      <c r="B4022" s="735" t="s">
        <v>2170</v>
      </c>
      <c r="C4022" s="646" t="s">
        <v>451</v>
      </c>
      <c r="D4022" s="636" t="s">
        <v>10335</v>
      </c>
      <c r="E4022" s="759">
        <v>5500</v>
      </c>
      <c r="F4022" s="638" t="s">
        <v>10336</v>
      </c>
      <c r="G4022" s="644" t="s">
        <v>10337</v>
      </c>
      <c r="H4022" s="636" t="s">
        <v>2253</v>
      </c>
      <c r="I4022" s="636" t="s">
        <v>2253</v>
      </c>
      <c r="J4022" s="635" t="s">
        <v>2253</v>
      </c>
      <c r="K4022" s="760">
        <v>5</v>
      </c>
      <c r="L4022" s="760">
        <v>12</v>
      </c>
      <c r="M4022" s="736">
        <v>73008.98</v>
      </c>
      <c r="N4022" s="753">
        <v>0</v>
      </c>
      <c r="O4022" s="760">
        <v>0</v>
      </c>
      <c r="P4022" s="736">
        <v>0</v>
      </c>
      <c r="Q4022" s="214"/>
    </row>
    <row r="4023" spans="1:17" ht="12" customHeight="1" x14ac:dyDescent="0.2">
      <c r="A4023" s="646" t="s">
        <v>10266</v>
      </c>
      <c r="B4023" s="735" t="s">
        <v>2170</v>
      </c>
      <c r="C4023" s="646" t="s">
        <v>451</v>
      </c>
      <c r="D4023" s="636" t="s">
        <v>10329</v>
      </c>
      <c r="E4023" s="759">
        <v>10000</v>
      </c>
      <c r="F4023" s="638" t="s">
        <v>10338</v>
      </c>
      <c r="G4023" s="644" t="s">
        <v>10339</v>
      </c>
      <c r="H4023" s="636" t="s">
        <v>2179</v>
      </c>
      <c r="I4023" s="636" t="s">
        <v>2180</v>
      </c>
      <c r="J4023" s="635" t="s">
        <v>2180</v>
      </c>
      <c r="K4023" s="760">
        <v>1</v>
      </c>
      <c r="L4023" s="760">
        <v>8</v>
      </c>
      <c r="M4023" s="736">
        <v>86790.58</v>
      </c>
      <c r="N4023" s="753">
        <v>1</v>
      </c>
      <c r="O4023" s="760">
        <v>0</v>
      </c>
      <c r="P4023" s="736">
        <v>0</v>
      </c>
      <c r="Q4023" s="214"/>
    </row>
    <row r="4024" spans="1:17" ht="12" customHeight="1" x14ac:dyDescent="0.2">
      <c r="A4024" s="646" t="s">
        <v>10266</v>
      </c>
      <c r="B4024" s="735" t="s">
        <v>2170</v>
      </c>
      <c r="C4024" s="646" t="s">
        <v>451</v>
      </c>
      <c r="D4024" s="636" t="s">
        <v>10323</v>
      </c>
      <c r="E4024" s="759">
        <v>5500</v>
      </c>
      <c r="F4024" s="638" t="s">
        <v>10340</v>
      </c>
      <c r="G4024" s="644" t="s">
        <v>10341</v>
      </c>
      <c r="H4024" s="636" t="s">
        <v>2253</v>
      </c>
      <c r="I4024" s="636" t="s">
        <v>2253</v>
      </c>
      <c r="J4024" s="635" t="s">
        <v>2253</v>
      </c>
      <c r="K4024" s="760">
        <v>2</v>
      </c>
      <c r="L4024" s="760">
        <v>5</v>
      </c>
      <c r="M4024" s="736">
        <v>28367</v>
      </c>
      <c r="N4024" s="753">
        <v>5</v>
      </c>
      <c r="O4024" s="760">
        <v>6</v>
      </c>
      <c r="P4024" s="736">
        <v>34044.9</v>
      </c>
      <c r="Q4024" s="214"/>
    </row>
    <row r="4025" spans="1:17" ht="12" customHeight="1" x14ac:dyDescent="0.2">
      <c r="A4025" s="646" t="s">
        <v>10266</v>
      </c>
      <c r="B4025" s="735" t="s">
        <v>2170</v>
      </c>
      <c r="C4025" s="646" t="s">
        <v>451</v>
      </c>
      <c r="D4025" s="636" t="s">
        <v>10342</v>
      </c>
      <c r="E4025" s="759">
        <v>6000</v>
      </c>
      <c r="F4025" s="638" t="s">
        <v>10343</v>
      </c>
      <c r="G4025" s="644" t="s">
        <v>10344</v>
      </c>
      <c r="H4025" s="636" t="s">
        <v>10147</v>
      </c>
      <c r="I4025" s="636" t="s">
        <v>2180</v>
      </c>
      <c r="J4025" s="635" t="s">
        <v>2180</v>
      </c>
      <c r="K4025" s="760">
        <v>12</v>
      </c>
      <c r="L4025" s="760">
        <v>12</v>
      </c>
      <c r="M4025" s="736">
        <v>73259.95</v>
      </c>
      <c r="N4025" s="753">
        <v>16</v>
      </c>
      <c r="O4025" s="760">
        <v>6</v>
      </c>
      <c r="P4025" s="736">
        <v>36861.980000000003</v>
      </c>
      <c r="Q4025" s="214"/>
    </row>
    <row r="4026" spans="1:17" ht="12" customHeight="1" x14ac:dyDescent="0.2">
      <c r="A4026" s="646" t="s">
        <v>10266</v>
      </c>
      <c r="B4026" s="735" t="s">
        <v>2170</v>
      </c>
      <c r="C4026" s="646" t="s">
        <v>451</v>
      </c>
      <c r="D4026" s="636" t="s">
        <v>6742</v>
      </c>
      <c r="E4026" s="759">
        <v>10000</v>
      </c>
      <c r="F4026" s="638" t="s">
        <v>10345</v>
      </c>
      <c r="G4026" s="644" t="s">
        <v>10346</v>
      </c>
      <c r="H4026" s="636" t="s">
        <v>2189</v>
      </c>
      <c r="I4026" s="636" t="s">
        <v>2180</v>
      </c>
      <c r="J4026" s="635" t="s">
        <v>2180</v>
      </c>
      <c r="K4026" s="760">
        <v>2</v>
      </c>
      <c r="L4026" s="760">
        <v>3</v>
      </c>
      <c r="M4026" s="736">
        <v>22449.39</v>
      </c>
      <c r="N4026" s="753">
        <v>0</v>
      </c>
      <c r="O4026" s="760">
        <v>0</v>
      </c>
      <c r="P4026" s="736">
        <v>0</v>
      </c>
      <c r="Q4026" s="214"/>
    </row>
    <row r="4027" spans="1:17" ht="12" customHeight="1" x14ac:dyDescent="0.2">
      <c r="A4027" s="646" t="s">
        <v>10266</v>
      </c>
      <c r="B4027" s="735" t="s">
        <v>2170</v>
      </c>
      <c r="C4027" s="646" t="s">
        <v>451</v>
      </c>
      <c r="D4027" s="636" t="s">
        <v>10347</v>
      </c>
      <c r="E4027" s="759">
        <v>8000</v>
      </c>
      <c r="F4027" s="638" t="s">
        <v>10348</v>
      </c>
      <c r="G4027" s="644" t="s">
        <v>10349</v>
      </c>
      <c r="H4027" s="636" t="s">
        <v>2179</v>
      </c>
      <c r="I4027" s="636" t="s">
        <v>2180</v>
      </c>
      <c r="J4027" s="635" t="s">
        <v>2180</v>
      </c>
      <c r="K4027" s="760">
        <v>4</v>
      </c>
      <c r="L4027" s="760">
        <v>12</v>
      </c>
      <c r="M4027" s="736">
        <v>97841.91</v>
      </c>
      <c r="N4027" s="753">
        <v>8</v>
      </c>
      <c r="O4027" s="760">
        <v>6</v>
      </c>
      <c r="P4027" s="736">
        <v>48993.23</v>
      </c>
      <c r="Q4027" s="214"/>
    </row>
    <row r="4028" spans="1:17" ht="12" customHeight="1" x14ac:dyDescent="0.2">
      <c r="A4028" s="646" t="s">
        <v>10266</v>
      </c>
      <c r="B4028" s="735" t="s">
        <v>2170</v>
      </c>
      <c r="C4028" s="646" t="s">
        <v>451</v>
      </c>
      <c r="D4028" s="636" t="s">
        <v>10350</v>
      </c>
      <c r="E4028" s="759">
        <v>6000</v>
      </c>
      <c r="F4028" s="638" t="s">
        <v>10351</v>
      </c>
      <c r="G4028" s="644" t="s">
        <v>10352</v>
      </c>
      <c r="H4028" s="636" t="s">
        <v>10353</v>
      </c>
      <c r="I4028" s="636" t="s">
        <v>2180</v>
      </c>
      <c r="J4028" s="635" t="s">
        <v>2180</v>
      </c>
      <c r="K4028" s="760">
        <v>4</v>
      </c>
      <c r="L4028" s="760">
        <v>12</v>
      </c>
      <c r="M4028" s="736">
        <v>73957.05</v>
      </c>
      <c r="N4028" s="753">
        <v>8</v>
      </c>
      <c r="O4028" s="760">
        <v>6</v>
      </c>
      <c r="P4028" s="736">
        <v>37044.9</v>
      </c>
      <c r="Q4028" s="214"/>
    </row>
    <row r="4029" spans="1:17" ht="12" customHeight="1" x14ac:dyDescent="0.2">
      <c r="A4029" s="646" t="s">
        <v>10266</v>
      </c>
      <c r="B4029" s="735" t="s">
        <v>2170</v>
      </c>
      <c r="C4029" s="646" t="s">
        <v>451</v>
      </c>
      <c r="D4029" s="636" t="s">
        <v>10354</v>
      </c>
      <c r="E4029" s="759">
        <v>6000</v>
      </c>
      <c r="F4029" s="638" t="s">
        <v>10355</v>
      </c>
      <c r="G4029" s="644" t="s">
        <v>10356</v>
      </c>
      <c r="H4029" s="636" t="s">
        <v>10357</v>
      </c>
      <c r="I4029" s="636" t="s">
        <v>2180</v>
      </c>
      <c r="J4029" s="635" t="s">
        <v>2180</v>
      </c>
      <c r="K4029" s="760">
        <v>2</v>
      </c>
      <c r="L4029" s="760">
        <v>4</v>
      </c>
      <c r="M4029" s="736">
        <v>22839.85</v>
      </c>
      <c r="N4029" s="753">
        <v>4</v>
      </c>
      <c r="O4029" s="760">
        <v>6</v>
      </c>
      <c r="P4029" s="736">
        <v>36997.4</v>
      </c>
      <c r="Q4029" s="214"/>
    </row>
    <row r="4030" spans="1:17" ht="12" customHeight="1" x14ac:dyDescent="0.2">
      <c r="A4030" s="646" t="s">
        <v>10266</v>
      </c>
      <c r="B4030" s="735" t="s">
        <v>2170</v>
      </c>
      <c r="C4030" s="646" t="s">
        <v>451</v>
      </c>
      <c r="D4030" s="636" t="s">
        <v>10358</v>
      </c>
      <c r="E4030" s="759">
        <v>10000</v>
      </c>
      <c r="F4030" s="638" t="s">
        <v>10359</v>
      </c>
      <c r="G4030" s="644" t="s">
        <v>10360</v>
      </c>
      <c r="H4030" s="636" t="s">
        <v>2197</v>
      </c>
      <c r="I4030" s="636" t="s">
        <v>2180</v>
      </c>
      <c r="J4030" s="635" t="s">
        <v>2180</v>
      </c>
      <c r="K4030" s="760">
        <v>9</v>
      </c>
      <c r="L4030" s="760">
        <v>12</v>
      </c>
      <c r="M4030" s="736">
        <v>121758.72</v>
      </c>
      <c r="N4030" s="753">
        <v>13</v>
      </c>
      <c r="O4030" s="760">
        <v>6</v>
      </c>
      <c r="P4030" s="736">
        <v>61011.57</v>
      </c>
      <c r="Q4030" s="214"/>
    </row>
    <row r="4031" spans="1:17" ht="12" customHeight="1" x14ac:dyDescent="0.2">
      <c r="A4031" s="646" t="s">
        <v>10266</v>
      </c>
      <c r="B4031" s="735" t="s">
        <v>2170</v>
      </c>
      <c r="C4031" s="646" t="s">
        <v>451</v>
      </c>
      <c r="D4031" s="636" t="s">
        <v>2369</v>
      </c>
      <c r="E4031" s="759">
        <v>3500</v>
      </c>
      <c r="F4031" s="638" t="s">
        <v>10361</v>
      </c>
      <c r="G4031" s="644" t="s">
        <v>10362</v>
      </c>
      <c r="H4031" s="636" t="s">
        <v>2174</v>
      </c>
      <c r="I4031" s="636" t="s">
        <v>2180</v>
      </c>
      <c r="J4031" s="635" t="s">
        <v>2180</v>
      </c>
      <c r="K4031" s="760">
        <v>14</v>
      </c>
      <c r="L4031" s="760">
        <v>12</v>
      </c>
      <c r="M4031" s="736">
        <v>43840.240000000005</v>
      </c>
      <c r="N4031" s="753">
        <v>18</v>
      </c>
      <c r="O4031" s="760">
        <v>6</v>
      </c>
      <c r="P4031" s="736">
        <v>22044.9</v>
      </c>
      <c r="Q4031" s="214"/>
    </row>
    <row r="4032" spans="1:17" ht="12" customHeight="1" x14ac:dyDescent="0.2">
      <c r="A4032" s="646" t="s">
        <v>10266</v>
      </c>
      <c r="B4032" s="735" t="s">
        <v>2170</v>
      </c>
      <c r="C4032" s="646" t="s">
        <v>451</v>
      </c>
      <c r="D4032" s="636" t="s">
        <v>10363</v>
      </c>
      <c r="E4032" s="759">
        <v>4000</v>
      </c>
      <c r="F4032" s="638" t="s">
        <v>10364</v>
      </c>
      <c r="G4032" s="644" t="s">
        <v>10365</v>
      </c>
      <c r="H4032" s="636" t="s">
        <v>10366</v>
      </c>
      <c r="I4032" s="636" t="s">
        <v>643</v>
      </c>
      <c r="J4032" s="635" t="s">
        <v>643</v>
      </c>
      <c r="K4032" s="760">
        <v>1</v>
      </c>
      <c r="L4032" s="760">
        <v>3</v>
      </c>
      <c r="M4032" s="736">
        <v>10561.59</v>
      </c>
      <c r="N4032" s="753">
        <v>3</v>
      </c>
      <c r="O4032" s="760">
        <v>6</v>
      </c>
      <c r="P4032" s="736">
        <v>25007.410000000003</v>
      </c>
      <c r="Q4032" s="214"/>
    </row>
    <row r="4033" spans="1:17" ht="12" customHeight="1" x14ac:dyDescent="0.2">
      <c r="A4033" s="646" t="s">
        <v>10266</v>
      </c>
      <c r="B4033" s="735" t="s">
        <v>2170</v>
      </c>
      <c r="C4033" s="646" t="s">
        <v>451</v>
      </c>
      <c r="D4033" s="636" t="s">
        <v>10297</v>
      </c>
      <c r="E4033" s="759">
        <v>11000</v>
      </c>
      <c r="F4033" s="638" t="s">
        <v>10367</v>
      </c>
      <c r="G4033" s="644" t="s">
        <v>10368</v>
      </c>
      <c r="H4033" s="636" t="s">
        <v>3247</v>
      </c>
      <c r="I4033" s="636" t="s">
        <v>2180</v>
      </c>
      <c r="J4033" s="635" t="s">
        <v>2180</v>
      </c>
      <c r="K4033" s="760">
        <v>1</v>
      </c>
      <c r="L4033" s="760">
        <v>2</v>
      </c>
      <c r="M4033" s="736">
        <v>21312.420000000002</v>
      </c>
      <c r="N4033" s="753">
        <v>0</v>
      </c>
      <c r="O4033" s="760">
        <v>0</v>
      </c>
      <c r="P4033" s="736">
        <v>0</v>
      </c>
      <c r="Q4033" s="214"/>
    </row>
    <row r="4034" spans="1:17" ht="12" customHeight="1" x14ac:dyDescent="0.2">
      <c r="A4034" s="646" t="s">
        <v>10266</v>
      </c>
      <c r="B4034" s="735" t="s">
        <v>2170</v>
      </c>
      <c r="C4034" s="646" t="s">
        <v>451</v>
      </c>
      <c r="D4034" s="636" t="s">
        <v>10297</v>
      </c>
      <c r="E4034" s="759">
        <v>11000</v>
      </c>
      <c r="F4034" s="638" t="s">
        <v>10367</v>
      </c>
      <c r="G4034" s="644" t="s">
        <v>10368</v>
      </c>
      <c r="H4034" s="636" t="s">
        <v>3247</v>
      </c>
      <c r="I4034" s="636" t="s">
        <v>2180</v>
      </c>
      <c r="J4034" s="635" t="s">
        <v>2180</v>
      </c>
      <c r="K4034" s="760">
        <v>1</v>
      </c>
      <c r="L4034" s="760">
        <v>11</v>
      </c>
      <c r="M4034" s="736">
        <v>111894.69</v>
      </c>
      <c r="N4034" s="753">
        <v>2</v>
      </c>
      <c r="O4034" s="760">
        <v>6</v>
      </c>
      <c r="P4034" s="736">
        <v>62330.23</v>
      </c>
      <c r="Q4034" s="214"/>
    </row>
    <row r="4035" spans="1:17" ht="12" customHeight="1" x14ac:dyDescent="0.2">
      <c r="A4035" s="646" t="s">
        <v>10266</v>
      </c>
      <c r="B4035" s="735" t="s">
        <v>2170</v>
      </c>
      <c r="C4035" s="646" t="s">
        <v>451</v>
      </c>
      <c r="D4035" s="636" t="s">
        <v>10369</v>
      </c>
      <c r="E4035" s="759">
        <v>10000</v>
      </c>
      <c r="F4035" s="638" t="s">
        <v>10370</v>
      </c>
      <c r="G4035" s="644" t="s">
        <v>10371</v>
      </c>
      <c r="H4035" s="636" t="s">
        <v>2179</v>
      </c>
      <c r="I4035" s="636" t="s">
        <v>2180</v>
      </c>
      <c r="J4035" s="635" t="s">
        <v>2180</v>
      </c>
      <c r="K4035" s="760">
        <v>8</v>
      </c>
      <c r="L4035" s="760">
        <v>12</v>
      </c>
      <c r="M4035" s="736">
        <v>121425.4</v>
      </c>
      <c r="N4035" s="753">
        <v>12</v>
      </c>
      <c r="O4035" s="760">
        <v>6</v>
      </c>
      <c r="P4035" s="736">
        <v>60926.15</v>
      </c>
      <c r="Q4035" s="214"/>
    </row>
    <row r="4036" spans="1:17" ht="12" customHeight="1" x14ac:dyDescent="0.2">
      <c r="A4036" s="646" t="s">
        <v>10266</v>
      </c>
      <c r="B4036" s="735" t="s">
        <v>2170</v>
      </c>
      <c r="C4036" s="646" t="s">
        <v>451</v>
      </c>
      <c r="D4036" s="636" t="s">
        <v>10282</v>
      </c>
      <c r="E4036" s="759">
        <v>10000</v>
      </c>
      <c r="F4036" s="638" t="s">
        <v>10372</v>
      </c>
      <c r="G4036" s="644" t="s">
        <v>10373</v>
      </c>
      <c r="H4036" s="636" t="s">
        <v>2189</v>
      </c>
      <c r="I4036" s="636" t="s">
        <v>2180</v>
      </c>
      <c r="J4036" s="635" t="s">
        <v>2180</v>
      </c>
      <c r="K4036" s="760">
        <v>12</v>
      </c>
      <c r="L4036" s="760">
        <v>12</v>
      </c>
      <c r="M4036" s="736">
        <v>121952.47</v>
      </c>
      <c r="N4036" s="753">
        <v>16</v>
      </c>
      <c r="O4036" s="760">
        <v>6</v>
      </c>
      <c r="P4036" s="736">
        <v>61044.900000000009</v>
      </c>
      <c r="Q4036" s="214"/>
    </row>
    <row r="4037" spans="1:17" ht="12" customHeight="1" x14ac:dyDescent="0.2">
      <c r="A4037" s="646" t="s">
        <v>10266</v>
      </c>
      <c r="B4037" s="735" t="s">
        <v>2170</v>
      </c>
      <c r="C4037" s="646" t="s">
        <v>451</v>
      </c>
      <c r="D4037" s="636" t="s">
        <v>10275</v>
      </c>
      <c r="E4037" s="759">
        <v>10000</v>
      </c>
      <c r="F4037" s="638" t="s">
        <v>10374</v>
      </c>
      <c r="G4037" s="644" t="s">
        <v>10375</v>
      </c>
      <c r="H4037" s="636" t="s">
        <v>2174</v>
      </c>
      <c r="I4037" s="636" t="s">
        <v>2180</v>
      </c>
      <c r="J4037" s="635" t="s">
        <v>2180</v>
      </c>
      <c r="K4037" s="760">
        <v>1</v>
      </c>
      <c r="L4037" s="760">
        <v>12</v>
      </c>
      <c r="M4037" s="736">
        <v>121960.8</v>
      </c>
      <c r="N4037" s="753">
        <v>1</v>
      </c>
      <c r="O4037" s="760">
        <v>6</v>
      </c>
      <c r="P4037" s="736">
        <v>61044.9</v>
      </c>
      <c r="Q4037" s="214"/>
    </row>
    <row r="4038" spans="1:17" ht="12" customHeight="1" x14ac:dyDescent="0.2">
      <c r="A4038" s="646" t="s">
        <v>10266</v>
      </c>
      <c r="B4038" s="735" t="s">
        <v>2170</v>
      </c>
      <c r="C4038" s="646" t="s">
        <v>451</v>
      </c>
      <c r="D4038" s="636" t="s">
        <v>2225</v>
      </c>
      <c r="E4038" s="759">
        <v>8000</v>
      </c>
      <c r="F4038" s="638" t="s">
        <v>10376</v>
      </c>
      <c r="G4038" s="644" t="s">
        <v>10377</v>
      </c>
      <c r="H4038" s="636" t="s">
        <v>2179</v>
      </c>
      <c r="I4038" s="636" t="s">
        <v>2180</v>
      </c>
      <c r="J4038" s="635" t="s">
        <v>2180</v>
      </c>
      <c r="K4038" s="760">
        <v>1</v>
      </c>
      <c r="L4038" s="760">
        <v>4</v>
      </c>
      <c r="M4038" s="736">
        <v>31853.599999999999</v>
      </c>
      <c r="N4038" s="753">
        <v>4</v>
      </c>
      <c r="O4038" s="760">
        <v>6</v>
      </c>
      <c r="P4038" s="736">
        <v>49044.9</v>
      </c>
      <c r="Q4038" s="214"/>
    </row>
    <row r="4039" spans="1:17" ht="12" customHeight="1" x14ac:dyDescent="0.2">
      <c r="A4039" s="646" t="s">
        <v>10266</v>
      </c>
      <c r="B4039" s="735" t="s">
        <v>2170</v>
      </c>
      <c r="C4039" s="646" t="s">
        <v>451</v>
      </c>
      <c r="D4039" s="636" t="s">
        <v>10278</v>
      </c>
      <c r="E4039" s="759">
        <v>14000</v>
      </c>
      <c r="F4039" s="638" t="s">
        <v>10378</v>
      </c>
      <c r="G4039" s="644" t="s">
        <v>10379</v>
      </c>
      <c r="H4039" s="636" t="s">
        <v>10380</v>
      </c>
      <c r="I4039" s="636" t="s">
        <v>2180</v>
      </c>
      <c r="J4039" s="635" t="s">
        <v>2180</v>
      </c>
      <c r="K4039" s="760">
        <v>1</v>
      </c>
      <c r="L4039" s="760">
        <v>12</v>
      </c>
      <c r="M4039" s="736">
        <v>169027.47</v>
      </c>
      <c r="N4039" s="753">
        <v>1</v>
      </c>
      <c r="O4039" s="760">
        <v>6</v>
      </c>
      <c r="P4039" s="736">
        <v>85044.9</v>
      </c>
      <c r="Q4039" s="214"/>
    </row>
    <row r="4040" spans="1:17" ht="12" customHeight="1" x14ac:dyDescent="0.2">
      <c r="A4040" s="646" t="s">
        <v>10266</v>
      </c>
      <c r="B4040" s="735" t="s">
        <v>2170</v>
      </c>
      <c r="C4040" s="646" t="s">
        <v>451</v>
      </c>
      <c r="D4040" s="636" t="s">
        <v>10381</v>
      </c>
      <c r="E4040" s="759">
        <v>8000</v>
      </c>
      <c r="F4040" s="638" t="s">
        <v>10382</v>
      </c>
      <c r="G4040" s="644" t="s">
        <v>10383</v>
      </c>
      <c r="H4040" s="636" t="s">
        <v>2179</v>
      </c>
      <c r="I4040" s="636" t="s">
        <v>2180</v>
      </c>
      <c r="J4040" s="635" t="s">
        <v>2180</v>
      </c>
      <c r="K4040" s="760">
        <v>1</v>
      </c>
      <c r="L4040" s="760">
        <v>4</v>
      </c>
      <c r="M4040" s="736">
        <v>30811.42</v>
      </c>
      <c r="N4040" s="753">
        <v>0</v>
      </c>
      <c r="O4040" s="760">
        <v>0</v>
      </c>
      <c r="P4040" s="736">
        <v>0</v>
      </c>
      <c r="Q4040" s="214"/>
    </row>
    <row r="4041" spans="1:17" ht="12" customHeight="1" x14ac:dyDescent="0.2">
      <c r="A4041" s="646" t="s">
        <v>10266</v>
      </c>
      <c r="B4041" s="735" t="s">
        <v>2170</v>
      </c>
      <c r="C4041" s="646" t="s">
        <v>451</v>
      </c>
      <c r="D4041" s="636" t="s">
        <v>10272</v>
      </c>
      <c r="E4041" s="759">
        <v>12500</v>
      </c>
      <c r="F4041" s="638" t="s">
        <v>10384</v>
      </c>
      <c r="G4041" s="644" t="s">
        <v>10385</v>
      </c>
      <c r="H4041" s="636" t="s">
        <v>2712</v>
      </c>
      <c r="I4041" s="636" t="s">
        <v>2180</v>
      </c>
      <c r="J4041" s="635" t="s">
        <v>2180</v>
      </c>
      <c r="K4041" s="760">
        <v>1</v>
      </c>
      <c r="L4041" s="760">
        <v>4</v>
      </c>
      <c r="M4041" s="736">
        <v>58878.540000000008</v>
      </c>
      <c r="N4041" s="753">
        <v>0</v>
      </c>
      <c r="O4041" s="760">
        <v>0</v>
      </c>
      <c r="P4041" s="736">
        <v>0</v>
      </c>
      <c r="Q4041" s="214"/>
    </row>
    <row r="4042" spans="1:17" ht="12" customHeight="1" x14ac:dyDescent="0.2">
      <c r="A4042" s="646" t="s">
        <v>10266</v>
      </c>
      <c r="B4042" s="735" t="s">
        <v>2170</v>
      </c>
      <c r="C4042" s="646" t="s">
        <v>451</v>
      </c>
      <c r="D4042" s="636" t="s">
        <v>10386</v>
      </c>
      <c r="E4042" s="759">
        <v>15000</v>
      </c>
      <c r="F4042" s="638" t="s">
        <v>10384</v>
      </c>
      <c r="G4042" s="644" t="s">
        <v>10385</v>
      </c>
      <c r="H4042" s="636" t="s">
        <v>2712</v>
      </c>
      <c r="I4042" s="636" t="s">
        <v>2180</v>
      </c>
      <c r="J4042" s="635" t="s">
        <v>2180</v>
      </c>
      <c r="K4042" s="760">
        <v>1</v>
      </c>
      <c r="L4042" s="760">
        <v>8</v>
      </c>
      <c r="M4042" s="736">
        <v>53439.66</v>
      </c>
      <c r="N4042" s="753">
        <v>2</v>
      </c>
      <c r="O4042" s="760">
        <v>6</v>
      </c>
      <c r="P4042" s="736">
        <v>91044.9</v>
      </c>
      <c r="Q4042" s="214"/>
    </row>
    <row r="4043" spans="1:17" ht="12" customHeight="1" x14ac:dyDescent="0.2">
      <c r="A4043" s="646" t="s">
        <v>10266</v>
      </c>
      <c r="B4043" s="735" t="s">
        <v>2170</v>
      </c>
      <c r="C4043" s="646" t="s">
        <v>451</v>
      </c>
      <c r="D4043" s="636" t="s">
        <v>10329</v>
      </c>
      <c r="E4043" s="759">
        <v>10000</v>
      </c>
      <c r="F4043" s="638" t="s">
        <v>10387</v>
      </c>
      <c r="G4043" s="644" t="s">
        <v>10388</v>
      </c>
      <c r="H4043" s="636" t="s">
        <v>10389</v>
      </c>
      <c r="I4043" s="636" t="s">
        <v>2180</v>
      </c>
      <c r="J4043" s="635" t="s">
        <v>2180</v>
      </c>
      <c r="K4043" s="760">
        <v>1</v>
      </c>
      <c r="L4043" s="760">
        <v>12</v>
      </c>
      <c r="M4043" s="736">
        <v>120960.8</v>
      </c>
      <c r="N4043" s="753">
        <v>1</v>
      </c>
      <c r="O4043" s="760">
        <v>6</v>
      </c>
      <c r="P4043" s="736">
        <v>61044.9</v>
      </c>
      <c r="Q4043" s="214"/>
    </row>
    <row r="4044" spans="1:17" ht="12" customHeight="1" x14ac:dyDescent="0.2">
      <c r="A4044" s="646" t="s">
        <v>10266</v>
      </c>
      <c r="B4044" s="735" t="s">
        <v>2170</v>
      </c>
      <c r="C4044" s="646" t="s">
        <v>451</v>
      </c>
      <c r="D4044" s="636" t="s">
        <v>10390</v>
      </c>
      <c r="E4044" s="759">
        <v>8000</v>
      </c>
      <c r="F4044" s="638" t="s">
        <v>10391</v>
      </c>
      <c r="G4044" s="644" t="s">
        <v>10392</v>
      </c>
      <c r="H4044" s="636" t="s">
        <v>10393</v>
      </c>
      <c r="I4044" s="636" t="s">
        <v>2180</v>
      </c>
      <c r="J4044" s="635" t="s">
        <v>2180</v>
      </c>
      <c r="K4044" s="760">
        <v>2</v>
      </c>
      <c r="L4044" s="760">
        <v>7</v>
      </c>
      <c r="M4044" s="736">
        <v>54693.8</v>
      </c>
      <c r="N4044" s="753">
        <v>5</v>
      </c>
      <c r="O4044" s="760">
        <v>6</v>
      </c>
      <c r="P4044" s="736">
        <v>49044.9</v>
      </c>
      <c r="Q4044" s="214"/>
    </row>
    <row r="4045" spans="1:17" ht="12" customHeight="1" x14ac:dyDescent="0.2">
      <c r="A4045" s="646" t="s">
        <v>10266</v>
      </c>
      <c r="B4045" s="735" t="s">
        <v>2170</v>
      </c>
      <c r="C4045" s="646" t="s">
        <v>451</v>
      </c>
      <c r="D4045" s="636" t="s">
        <v>10297</v>
      </c>
      <c r="E4045" s="759">
        <v>10000</v>
      </c>
      <c r="F4045" s="638" t="s">
        <v>10394</v>
      </c>
      <c r="G4045" s="644" t="s">
        <v>10395</v>
      </c>
      <c r="H4045" s="636" t="s">
        <v>10396</v>
      </c>
      <c r="I4045" s="636" t="s">
        <v>2180</v>
      </c>
      <c r="J4045" s="635" t="s">
        <v>2180</v>
      </c>
      <c r="K4045" s="760">
        <v>1</v>
      </c>
      <c r="L4045" s="760">
        <v>2</v>
      </c>
      <c r="M4045" s="736">
        <v>19226.8</v>
      </c>
      <c r="N4045" s="753">
        <v>2</v>
      </c>
      <c r="O4045" s="760">
        <v>6</v>
      </c>
      <c r="P4045" s="736">
        <v>61044.9</v>
      </c>
      <c r="Q4045" s="214"/>
    </row>
    <row r="4046" spans="1:17" ht="12" customHeight="1" x14ac:dyDescent="0.2">
      <c r="A4046" s="646" t="s">
        <v>10266</v>
      </c>
      <c r="B4046" s="735" t="s">
        <v>2170</v>
      </c>
      <c r="C4046" s="646" t="s">
        <v>451</v>
      </c>
      <c r="D4046" s="636" t="s">
        <v>10282</v>
      </c>
      <c r="E4046" s="759">
        <v>10000</v>
      </c>
      <c r="F4046" s="638" t="s">
        <v>10397</v>
      </c>
      <c r="G4046" s="644" t="s">
        <v>10398</v>
      </c>
      <c r="H4046" s="636" t="s">
        <v>10399</v>
      </c>
      <c r="I4046" s="636" t="s">
        <v>2180</v>
      </c>
      <c r="J4046" s="635" t="s">
        <v>2180</v>
      </c>
      <c r="K4046" s="760">
        <v>5</v>
      </c>
      <c r="L4046" s="760">
        <v>12</v>
      </c>
      <c r="M4046" s="736">
        <v>121907.33</v>
      </c>
      <c r="N4046" s="753">
        <v>9</v>
      </c>
      <c r="O4046" s="760">
        <v>6</v>
      </c>
      <c r="P4046" s="759">
        <v>61043.510000000009</v>
      </c>
      <c r="Q4046" s="214"/>
    </row>
    <row r="4047" spans="1:17" ht="12" customHeight="1" x14ac:dyDescent="0.2">
      <c r="A4047" s="646" t="s">
        <v>10266</v>
      </c>
      <c r="B4047" s="735" t="s">
        <v>2170</v>
      </c>
      <c r="C4047" s="646" t="s">
        <v>451</v>
      </c>
      <c r="D4047" s="636" t="s">
        <v>10282</v>
      </c>
      <c r="E4047" s="759">
        <v>10000</v>
      </c>
      <c r="F4047" s="638" t="s">
        <v>10400</v>
      </c>
      <c r="G4047" s="644" t="s">
        <v>10401</v>
      </c>
      <c r="H4047" s="636" t="s">
        <v>10402</v>
      </c>
      <c r="I4047" s="636" t="s">
        <v>2180</v>
      </c>
      <c r="J4047" s="635" t="s">
        <v>2180</v>
      </c>
      <c r="K4047" s="760">
        <v>5</v>
      </c>
      <c r="L4047" s="760">
        <v>12</v>
      </c>
      <c r="M4047" s="736">
        <v>121960.8</v>
      </c>
      <c r="N4047" s="753">
        <v>9</v>
      </c>
      <c r="O4047" s="760">
        <v>6</v>
      </c>
      <c r="P4047" s="736">
        <v>60785.88</v>
      </c>
      <c r="Q4047" s="214"/>
    </row>
    <row r="4048" spans="1:17" ht="12" customHeight="1" x14ac:dyDescent="0.2">
      <c r="A4048" s="646" t="s">
        <v>10266</v>
      </c>
      <c r="B4048" s="735" t="s">
        <v>2170</v>
      </c>
      <c r="C4048" s="646" t="s">
        <v>451</v>
      </c>
      <c r="D4048" s="636" t="s">
        <v>10275</v>
      </c>
      <c r="E4048" s="759">
        <v>10000</v>
      </c>
      <c r="F4048" s="638" t="s">
        <v>10403</v>
      </c>
      <c r="G4048" s="644" t="s">
        <v>10404</v>
      </c>
      <c r="H4048" s="636" t="s">
        <v>2712</v>
      </c>
      <c r="I4048" s="636" t="s">
        <v>2180</v>
      </c>
      <c r="J4048" s="635" t="s">
        <v>2180</v>
      </c>
      <c r="K4048" s="760">
        <v>1</v>
      </c>
      <c r="L4048" s="760">
        <v>6</v>
      </c>
      <c r="M4048" s="736">
        <v>60683.87</v>
      </c>
      <c r="N4048" s="753">
        <v>1</v>
      </c>
      <c r="O4048" s="760">
        <v>6</v>
      </c>
      <c r="P4048" s="736">
        <v>61044.9</v>
      </c>
      <c r="Q4048" s="214"/>
    </row>
    <row r="4049" spans="1:17" ht="12" customHeight="1" x14ac:dyDescent="0.2">
      <c r="A4049" s="646" t="s">
        <v>10266</v>
      </c>
      <c r="B4049" s="735" t="s">
        <v>2170</v>
      </c>
      <c r="C4049" s="646" t="s">
        <v>451</v>
      </c>
      <c r="D4049" s="636" t="s">
        <v>10405</v>
      </c>
      <c r="E4049" s="759">
        <v>10000</v>
      </c>
      <c r="F4049" s="638" t="s">
        <v>10406</v>
      </c>
      <c r="G4049" s="644" t="s">
        <v>10407</v>
      </c>
      <c r="H4049" s="636" t="s">
        <v>2197</v>
      </c>
      <c r="I4049" s="636" t="s">
        <v>2180</v>
      </c>
      <c r="J4049" s="635" t="s">
        <v>2180</v>
      </c>
      <c r="K4049" s="760">
        <v>11</v>
      </c>
      <c r="L4049" s="760">
        <v>12</v>
      </c>
      <c r="M4049" s="736">
        <v>121960.8</v>
      </c>
      <c r="N4049" s="753">
        <v>15</v>
      </c>
      <c r="O4049" s="760">
        <v>6</v>
      </c>
      <c r="P4049" s="736">
        <v>61044.9</v>
      </c>
      <c r="Q4049" s="214"/>
    </row>
    <row r="4050" spans="1:17" ht="12" customHeight="1" x14ac:dyDescent="0.2">
      <c r="A4050" s="646" t="s">
        <v>10266</v>
      </c>
      <c r="B4050" s="735" t="s">
        <v>2170</v>
      </c>
      <c r="C4050" s="646" t="s">
        <v>451</v>
      </c>
      <c r="D4050" s="636" t="s">
        <v>10329</v>
      </c>
      <c r="E4050" s="759">
        <v>11000</v>
      </c>
      <c r="F4050" s="638" t="s">
        <v>10408</v>
      </c>
      <c r="G4050" s="644" t="s">
        <v>10409</v>
      </c>
      <c r="H4050" s="636" t="s">
        <v>2179</v>
      </c>
      <c r="I4050" s="636" t="s">
        <v>2180</v>
      </c>
      <c r="J4050" s="635" t="s">
        <v>2180</v>
      </c>
      <c r="K4050" s="760">
        <v>1</v>
      </c>
      <c r="L4050" s="760">
        <v>6</v>
      </c>
      <c r="M4050" s="736">
        <v>65824.95</v>
      </c>
      <c r="N4050" s="753">
        <v>1</v>
      </c>
      <c r="O4050" s="760">
        <v>0</v>
      </c>
      <c r="P4050" s="736">
        <v>0</v>
      </c>
      <c r="Q4050" s="214"/>
    </row>
    <row r="4051" spans="1:17" ht="12" customHeight="1" x14ac:dyDescent="0.2">
      <c r="A4051" s="646" t="s">
        <v>10266</v>
      </c>
      <c r="B4051" s="735" t="s">
        <v>2170</v>
      </c>
      <c r="C4051" s="646" t="s">
        <v>451</v>
      </c>
      <c r="D4051" s="636" t="s">
        <v>10275</v>
      </c>
      <c r="E4051" s="759">
        <v>10000</v>
      </c>
      <c r="F4051" s="638" t="s">
        <v>10410</v>
      </c>
      <c r="G4051" s="644" t="s">
        <v>10411</v>
      </c>
      <c r="H4051" s="636" t="s">
        <v>2174</v>
      </c>
      <c r="I4051" s="636" t="s">
        <v>2180</v>
      </c>
      <c r="J4051" s="635" t="s">
        <v>2180</v>
      </c>
      <c r="K4051" s="760">
        <v>1</v>
      </c>
      <c r="L4051" s="760">
        <v>5</v>
      </c>
      <c r="M4051" s="736">
        <v>56205.919999999998</v>
      </c>
      <c r="N4051" s="753">
        <v>1</v>
      </c>
      <c r="O4051" s="760">
        <v>0</v>
      </c>
      <c r="P4051" s="736">
        <v>0</v>
      </c>
      <c r="Q4051" s="214"/>
    </row>
    <row r="4052" spans="1:17" ht="12" customHeight="1" x14ac:dyDescent="0.2">
      <c r="A4052" s="646" t="s">
        <v>10266</v>
      </c>
      <c r="B4052" s="735" t="s">
        <v>2170</v>
      </c>
      <c r="C4052" s="646" t="s">
        <v>451</v>
      </c>
      <c r="D4052" s="636" t="s">
        <v>10329</v>
      </c>
      <c r="E4052" s="759">
        <v>10000</v>
      </c>
      <c r="F4052" s="638" t="s">
        <v>10412</v>
      </c>
      <c r="G4052" s="644" t="s">
        <v>10413</v>
      </c>
      <c r="H4052" s="636" t="s">
        <v>2179</v>
      </c>
      <c r="I4052" s="636" t="s">
        <v>2180</v>
      </c>
      <c r="J4052" s="635" t="s">
        <v>2180</v>
      </c>
      <c r="K4052" s="760">
        <v>1</v>
      </c>
      <c r="L4052" s="760">
        <v>12</v>
      </c>
      <c r="M4052" s="736">
        <v>121960.8</v>
      </c>
      <c r="N4052" s="753">
        <v>1</v>
      </c>
      <c r="O4052" s="760">
        <v>6</v>
      </c>
      <c r="P4052" s="736">
        <v>61044.9</v>
      </c>
      <c r="Q4052" s="214"/>
    </row>
    <row r="4053" spans="1:17" ht="12" customHeight="1" x14ac:dyDescent="0.2">
      <c r="A4053" s="646" t="s">
        <v>10266</v>
      </c>
      <c r="B4053" s="735" t="s">
        <v>2170</v>
      </c>
      <c r="C4053" s="646" t="s">
        <v>451</v>
      </c>
      <c r="D4053" s="636" t="s">
        <v>10278</v>
      </c>
      <c r="E4053" s="759">
        <v>14000</v>
      </c>
      <c r="F4053" s="638" t="s">
        <v>10414</v>
      </c>
      <c r="G4053" s="644" t="s">
        <v>10415</v>
      </c>
      <c r="H4053" s="636" t="s">
        <v>6558</v>
      </c>
      <c r="I4053" s="636" t="s">
        <v>2180</v>
      </c>
      <c r="J4053" s="635" t="s">
        <v>2180</v>
      </c>
      <c r="K4053" s="760">
        <v>1</v>
      </c>
      <c r="L4053" s="760">
        <v>12</v>
      </c>
      <c r="M4053" s="736">
        <v>169960.8</v>
      </c>
      <c r="N4053" s="753">
        <v>1</v>
      </c>
      <c r="O4053" s="760">
        <v>6</v>
      </c>
      <c r="P4053" s="736">
        <v>85044.9</v>
      </c>
      <c r="Q4053" s="214"/>
    </row>
    <row r="4054" spans="1:17" ht="12" customHeight="1" x14ac:dyDescent="0.2">
      <c r="A4054" s="646" t="s">
        <v>10266</v>
      </c>
      <c r="B4054" s="735" t="s">
        <v>2170</v>
      </c>
      <c r="C4054" s="646" t="s">
        <v>451</v>
      </c>
      <c r="D4054" s="636" t="s">
        <v>10416</v>
      </c>
      <c r="E4054" s="759">
        <v>3500</v>
      </c>
      <c r="F4054" s="638" t="s">
        <v>10417</v>
      </c>
      <c r="G4054" s="644" t="s">
        <v>10418</v>
      </c>
      <c r="H4054" s="636" t="s">
        <v>2179</v>
      </c>
      <c r="I4054" s="636" t="s">
        <v>2180</v>
      </c>
      <c r="J4054" s="635" t="s">
        <v>2180</v>
      </c>
      <c r="K4054" s="760">
        <v>1</v>
      </c>
      <c r="L4054" s="760">
        <v>3</v>
      </c>
      <c r="M4054" s="736">
        <v>11040.2</v>
      </c>
      <c r="N4054" s="753">
        <v>3</v>
      </c>
      <c r="O4054" s="760">
        <v>6</v>
      </c>
      <c r="P4054" s="736">
        <v>22044.9</v>
      </c>
      <c r="Q4054" s="214"/>
    </row>
    <row r="4055" spans="1:17" ht="12" customHeight="1" x14ac:dyDescent="0.2">
      <c r="A4055" s="646" t="s">
        <v>10266</v>
      </c>
      <c r="B4055" s="735" t="s">
        <v>2170</v>
      </c>
      <c r="C4055" s="646" t="s">
        <v>451</v>
      </c>
      <c r="D4055" s="636" t="s">
        <v>10419</v>
      </c>
      <c r="E4055" s="759">
        <v>15000</v>
      </c>
      <c r="F4055" s="638" t="s">
        <v>10420</v>
      </c>
      <c r="G4055" s="644" t="s">
        <v>10421</v>
      </c>
      <c r="H4055" s="636" t="s">
        <v>2179</v>
      </c>
      <c r="I4055" s="636" t="s">
        <v>2180</v>
      </c>
      <c r="J4055" s="635" t="s">
        <v>2180</v>
      </c>
      <c r="K4055" s="760">
        <v>1</v>
      </c>
      <c r="L4055" s="760">
        <v>2</v>
      </c>
      <c r="M4055" s="736">
        <v>43381.869999999995</v>
      </c>
      <c r="N4055" s="753">
        <v>0</v>
      </c>
      <c r="O4055" s="760">
        <v>0</v>
      </c>
      <c r="P4055" s="736">
        <v>0</v>
      </c>
      <c r="Q4055" s="214"/>
    </row>
    <row r="4056" spans="1:17" ht="12" customHeight="1" x14ac:dyDescent="0.2">
      <c r="A4056" s="646" t="s">
        <v>10266</v>
      </c>
      <c r="B4056" s="735" t="s">
        <v>2170</v>
      </c>
      <c r="C4056" s="646" t="s">
        <v>451</v>
      </c>
      <c r="D4056" s="636" t="s">
        <v>10323</v>
      </c>
      <c r="E4056" s="759">
        <v>5500</v>
      </c>
      <c r="F4056" s="638" t="s">
        <v>10422</v>
      </c>
      <c r="G4056" s="644" t="s">
        <v>10423</v>
      </c>
      <c r="H4056" s="636" t="s">
        <v>2253</v>
      </c>
      <c r="I4056" s="636" t="s">
        <v>2253</v>
      </c>
      <c r="J4056" s="635" t="s">
        <v>2253</v>
      </c>
      <c r="K4056" s="760">
        <v>6</v>
      </c>
      <c r="L4056" s="760">
        <v>12</v>
      </c>
      <c r="M4056" s="736">
        <v>67960.800000000003</v>
      </c>
      <c r="N4056" s="753">
        <v>10</v>
      </c>
      <c r="O4056" s="760">
        <v>6</v>
      </c>
      <c r="P4056" s="736">
        <v>34044.9</v>
      </c>
      <c r="Q4056" s="214"/>
    </row>
    <row r="4057" spans="1:17" ht="12" customHeight="1" x14ac:dyDescent="0.2">
      <c r="A4057" s="646" t="s">
        <v>10266</v>
      </c>
      <c r="B4057" s="735" t="s">
        <v>2170</v>
      </c>
      <c r="C4057" s="646" t="s">
        <v>451</v>
      </c>
      <c r="D4057" s="636" t="s">
        <v>10424</v>
      </c>
      <c r="E4057" s="759">
        <v>12500</v>
      </c>
      <c r="F4057" s="638" t="s">
        <v>10425</v>
      </c>
      <c r="G4057" s="644" t="s">
        <v>10426</v>
      </c>
      <c r="H4057" s="636" t="s">
        <v>10427</v>
      </c>
      <c r="I4057" s="636" t="s">
        <v>2180</v>
      </c>
      <c r="J4057" s="635" t="s">
        <v>2180</v>
      </c>
      <c r="K4057" s="760">
        <v>12</v>
      </c>
      <c r="L4057" s="760">
        <v>6</v>
      </c>
      <c r="M4057" s="736">
        <v>157304.26999999999</v>
      </c>
      <c r="N4057" s="753">
        <v>4</v>
      </c>
      <c r="O4057" s="760">
        <v>6</v>
      </c>
      <c r="P4057" s="736">
        <v>76044.899999999994</v>
      </c>
      <c r="Q4057" s="214"/>
    </row>
    <row r="4058" spans="1:17" ht="12" customHeight="1" x14ac:dyDescent="0.2">
      <c r="A4058" s="646" t="s">
        <v>10266</v>
      </c>
      <c r="B4058" s="735" t="s">
        <v>2170</v>
      </c>
      <c r="C4058" s="646" t="s">
        <v>451</v>
      </c>
      <c r="D4058" s="636" t="s">
        <v>10311</v>
      </c>
      <c r="E4058" s="759">
        <v>14000</v>
      </c>
      <c r="F4058" s="638" t="s">
        <v>10428</v>
      </c>
      <c r="G4058" s="644" t="s">
        <v>10429</v>
      </c>
      <c r="H4058" s="636" t="s">
        <v>2197</v>
      </c>
      <c r="I4058" s="636" t="s">
        <v>2180</v>
      </c>
      <c r="J4058" s="635" t="s">
        <v>2180</v>
      </c>
      <c r="K4058" s="760">
        <v>11</v>
      </c>
      <c r="L4058" s="760">
        <v>12</v>
      </c>
      <c r="M4058" s="736">
        <v>169960.8</v>
      </c>
      <c r="N4058" s="753">
        <v>15</v>
      </c>
      <c r="O4058" s="760">
        <v>6</v>
      </c>
      <c r="P4058" s="736">
        <v>85044.9</v>
      </c>
      <c r="Q4058" s="214"/>
    </row>
    <row r="4059" spans="1:17" ht="12" customHeight="1" x14ac:dyDescent="0.2">
      <c r="A4059" s="646" t="s">
        <v>10266</v>
      </c>
      <c r="B4059" s="735" t="s">
        <v>2170</v>
      </c>
      <c r="C4059" s="646" t="s">
        <v>451</v>
      </c>
      <c r="D4059" s="636" t="s">
        <v>2225</v>
      </c>
      <c r="E4059" s="759">
        <v>10000</v>
      </c>
      <c r="F4059" s="638" t="s">
        <v>10430</v>
      </c>
      <c r="G4059" s="644" t="s">
        <v>10431</v>
      </c>
      <c r="H4059" s="636" t="s">
        <v>2179</v>
      </c>
      <c r="I4059" s="636" t="s">
        <v>2180</v>
      </c>
      <c r="J4059" s="635" t="s">
        <v>2180</v>
      </c>
      <c r="K4059" s="760">
        <v>4</v>
      </c>
      <c r="L4059" s="760">
        <v>7</v>
      </c>
      <c r="M4059" s="736">
        <v>69102.87</v>
      </c>
      <c r="N4059" s="753">
        <v>0</v>
      </c>
      <c r="O4059" s="760">
        <v>0</v>
      </c>
      <c r="P4059" s="736">
        <v>0</v>
      </c>
      <c r="Q4059" s="214"/>
    </row>
    <row r="4060" spans="1:17" ht="12" customHeight="1" x14ac:dyDescent="0.2">
      <c r="A4060" s="646" t="s">
        <v>10266</v>
      </c>
      <c r="B4060" s="735" t="s">
        <v>2170</v>
      </c>
      <c r="C4060" s="646" t="s">
        <v>451</v>
      </c>
      <c r="D4060" s="636" t="s">
        <v>10432</v>
      </c>
      <c r="E4060" s="759">
        <v>8000</v>
      </c>
      <c r="F4060" s="638" t="s">
        <v>10433</v>
      </c>
      <c r="G4060" s="644" t="s">
        <v>10434</v>
      </c>
      <c r="H4060" s="636" t="s">
        <v>10435</v>
      </c>
      <c r="I4060" s="636" t="s">
        <v>2180</v>
      </c>
      <c r="J4060" s="635" t="s">
        <v>2180</v>
      </c>
      <c r="K4060" s="760">
        <v>1</v>
      </c>
      <c r="L4060" s="760">
        <v>3</v>
      </c>
      <c r="M4060" s="736">
        <v>20474.710000000003</v>
      </c>
      <c r="N4060" s="753">
        <v>3</v>
      </c>
      <c r="O4060" s="760">
        <v>6</v>
      </c>
      <c r="P4060" s="736">
        <v>48487.68</v>
      </c>
      <c r="Q4060" s="214"/>
    </row>
    <row r="4061" spans="1:17" ht="12" customHeight="1" x14ac:dyDescent="0.2">
      <c r="A4061" s="646" t="s">
        <v>10266</v>
      </c>
      <c r="B4061" s="735" t="s">
        <v>2170</v>
      </c>
      <c r="C4061" s="646" t="s">
        <v>451</v>
      </c>
      <c r="D4061" s="636" t="s">
        <v>10278</v>
      </c>
      <c r="E4061" s="759">
        <v>10000</v>
      </c>
      <c r="F4061" s="638" t="s">
        <v>10436</v>
      </c>
      <c r="G4061" s="644" t="s">
        <v>10437</v>
      </c>
      <c r="H4061" s="636" t="s">
        <v>10438</v>
      </c>
      <c r="I4061" s="636" t="s">
        <v>2180</v>
      </c>
      <c r="J4061" s="635" t="s">
        <v>2180</v>
      </c>
      <c r="K4061" s="760">
        <v>1</v>
      </c>
      <c r="L4061" s="760">
        <v>6</v>
      </c>
      <c r="M4061" s="736">
        <v>60980.4</v>
      </c>
      <c r="N4061" s="753">
        <v>1</v>
      </c>
      <c r="O4061" s="760">
        <v>6</v>
      </c>
      <c r="P4061" s="736">
        <v>61044.9</v>
      </c>
      <c r="Q4061" s="214"/>
    </row>
    <row r="4062" spans="1:17" ht="12" customHeight="1" x14ac:dyDescent="0.2">
      <c r="A4062" s="646" t="s">
        <v>10266</v>
      </c>
      <c r="B4062" s="735" t="s">
        <v>2170</v>
      </c>
      <c r="C4062" s="646" t="s">
        <v>451</v>
      </c>
      <c r="D4062" s="636" t="s">
        <v>10439</v>
      </c>
      <c r="E4062" s="759">
        <v>8000</v>
      </c>
      <c r="F4062" s="638" t="s">
        <v>10440</v>
      </c>
      <c r="G4062" s="644" t="s">
        <v>10441</v>
      </c>
      <c r="H4062" s="636" t="s">
        <v>2179</v>
      </c>
      <c r="I4062" s="636" t="s">
        <v>2180</v>
      </c>
      <c r="J4062" s="635" t="s">
        <v>2180</v>
      </c>
      <c r="K4062" s="760">
        <v>1</v>
      </c>
      <c r="L4062" s="760">
        <v>4</v>
      </c>
      <c r="M4062" s="736">
        <v>32240.3</v>
      </c>
      <c r="N4062" s="753">
        <v>0</v>
      </c>
      <c r="O4062" s="760">
        <v>0</v>
      </c>
      <c r="P4062" s="736">
        <v>0</v>
      </c>
      <c r="Q4062" s="214"/>
    </row>
    <row r="4063" spans="1:17" ht="12" customHeight="1" x14ac:dyDescent="0.2">
      <c r="A4063" s="646" t="s">
        <v>10266</v>
      </c>
      <c r="B4063" s="735" t="s">
        <v>2170</v>
      </c>
      <c r="C4063" s="646" t="s">
        <v>451</v>
      </c>
      <c r="D4063" s="636" t="s">
        <v>10275</v>
      </c>
      <c r="E4063" s="759">
        <v>11000</v>
      </c>
      <c r="F4063" s="638" t="s">
        <v>10442</v>
      </c>
      <c r="G4063" s="644" t="s">
        <v>10443</v>
      </c>
      <c r="H4063" s="636" t="s">
        <v>2174</v>
      </c>
      <c r="I4063" s="636" t="s">
        <v>2180</v>
      </c>
      <c r="J4063" s="635" t="s">
        <v>2180</v>
      </c>
      <c r="K4063" s="760">
        <v>0</v>
      </c>
      <c r="L4063" s="760">
        <v>0</v>
      </c>
      <c r="M4063" s="736">
        <v>0</v>
      </c>
      <c r="N4063" s="753">
        <v>1</v>
      </c>
      <c r="O4063" s="760">
        <v>6</v>
      </c>
      <c r="P4063" s="736">
        <v>50004.08</v>
      </c>
      <c r="Q4063" s="214"/>
    </row>
    <row r="4064" spans="1:17" ht="12" customHeight="1" x14ac:dyDescent="0.2">
      <c r="A4064" s="646" t="s">
        <v>10266</v>
      </c>
      <c r="B4064" s="735" t="s">
        <v>2170</v>
      </c>
      <c r="C4064" s="646" t="s">
        <v>451</v>
      </c>
      <c r="D4064" s="636" t="s">
        <v>2225</v>
      </c>
      <c r="E4064" s="759">
        <v>10000</v>
      </c>
      <c r="F4064" s="638" t="s">
        <v>10444</v>
      </c>
      <c r="G4064" s="644" t="s">
        <v>10445</v>
      </c>
      <c r="H4064" s="636" t="s">
        <v>2179</v>
      </c>
      <c r="I4064" s="636" t="s">
        <v>2180</v>
      </c>
      <c r="J4064" s="635" t="s">
        <v>2180</v>
      </c>
      <c r="K4064" s="760">
        <v>5</v>
      </c>
      <c r="L4064" s="760">
        <v>9</v>
      </c>
      <c r="M4064" s="736">
        <v>57283.180000000008</v>
      </c>
      <c r="N4064" s="753">
        <v>0</v>
      </c>
      <c r="O4064" s="760">
        <v>0</v>
      </c>
      <c r="P4064" s="736">
        <v>0</v>
      </c>
      <c r="Q4064" s="214"/>
    </row>
    <row r="4065" spans="1:17" ht="12" customHeight="1" x14ac:dyDescent="0.2">
      <c r="A4065" s="646" t="s">
        <v>10266</v>
      </c>
      <c r="B4065" s="735" t="s">
        <v>2170</v>
      </c>
      <c r="C4065" s="646" t="s">
        <v>451</v>
      </c>
      <c r="D4065" s="636" t="s">
        <v>10446</v>
      </c>
      <c r="E4065" s="759">
        <v>15000</v>
      </c>
      <c r="F4065" s="638" t="s">
        <v>10444</v>
      </c>
      <c r="G4065" s="644" t="s">
        <v>10445</v>
      </c>
      <c r="H4065" s="636" t="s">
        <v>2179</v>
      </c>
      <c r="I4065" s="636" t="s">
        <v>2180</v>
      </c>
      <c r="J4065" s="635" t="s">
        <v>2180</v>
      </c>
      <c r="K4065" s="760">
        <v>1</v>
      </c>
      <c r="L4065" s="760">
        <v>9</v>
      </c>
      <c r="M4065" s="736">
        <v>165013.44999999998</v>
      </c>
      <c r="N4065" s="753">
        <v>2</v>
      </c>
      <c r="O4065" s="760">
        <v>6</v>
      </c>
      <c r="P4065" s="736">
        <v>91044.9</v>
      </c>
      <c r="Q4065" s="214"/>
    </row>
    <row r="4066" spans="1:17" ht="12" customHeight="1" x14ac:dyDescent="0.2">
      <c r="A4066" s="646" t="s">
        <v>10266</v>
      </c>
      <c r="B4066" s="735" t="s">
        <v>2170</v>
      </c>
      <c r="C4066" s="646" t="s">
        <v>451</v>
      </c>
      <c r="D4066" s="636" t="s">
        <v>10447</v>
      </c>
      <c r="E4066" s="759">
        <v>7000</v>
      </c>
      <c r="F4066" s="638" t="s">
        <v>10448</v>
      </c>
      <c r="G4066" s="644" t="s">
        <v>10449</v>
      </c>
      <c r="H4066" s="636" t="s">
        <v>10270</v>
      </c>
      <c r="I4066" s="636" t="s">
        <v>2180</v>
      </c>
      <c r="J4066" s="635" t="s">
        <v>2180</v>
      </c>
      <c r="K4066" s="760">
        <v>4</v>
      </c>
      <c r="L4066" s="760">
        <v>12</v>
      </c>
      <c r="M4066" s="736">
        <v>85576.77</v>
      </c>
      <c r="N4066" s="753">
        <v>8</v>
      </c>
      <c r="O4066" s="760">
        <v>6</v>
      </c>
      <c r="P4066" s="736">
        <v>42574.840000000004</v>
      </c>
      <c r="Q4066" s="214"/>
    </row>
    <row r="4067" spans="1:17" ht="12" customHeight="1" x14ac:dyDescent="0.2">
      <c r="A4067" s="646" t="s">
        <v>10266</v>
      </c>
      <c r="B4067" s="735" t="s">
        <v>2170</v>
      </c>
      <c r="C4067" s="646" t="s">
        <v>451</v>
      </c>
      <c r="D4067" s="636" t="s">
        <v>10450</v>
      </c>
      <c r="E4067" s="759">
        <v>8000</v>
      </c>
      <c r="F4067" s="638" t="s">
        <v>10451</v>
      </c>
      <c r="G4067" s="644" t="s">
        <v>10452</v>
      </c>
      <c r="H4067" s="636" t="s">
        <v>3339</v>
      </c>
      <c r="I4067" s="636" t="s">
        <v>2180</v>
      </c>
      <c r="J4067" s="635" t="s">
        <v>2180</v>
      </c>
      <c r="K4067" s="760">
        <v>1</v>
      </c>
      <c r="L4067" s="760">
        <v>3</v>
      </c>
      <c r="M4067" s="736">
        <v>21773.530000000002</v>
      </c>
      <c r="N4067" s="753">
        <v>3</v>
      </c>
      <c r="O4067" s="760">
        <v>6</v>
      </c>
      <c r="P4067" s="736">
        <v>48727.68</v>
      </c>
      <c r="Q4067" s="214"/>
    </row>
    <row r="4068" spans="1:17" ht="12" customHeight="1" x14ac:dyDescent="0.2">
      <c r="A4068" s="646" t="s">
        <v>10266</v>
      </c>
      <c r="B4068" s="735" t="s">
        <v>2170</v>
      </c>
      <c r="C4068" s="646" t="s">
        <v>451</v>
      </c>
      <c r="D4068" s="636" t="s">
        <v>10453</v>
      </c>
      <c r="E4068" s="759">
        <v>10000</v>
      </c>
      <c r="F4068" s="638" t="s">
        <v>10454</v>
      </c>
      <c r="G4068" s="644" t="s">
        <v>10455</v>
      </c>
      <c r="H4068" s="636" t="s">
        <v>10456</v>
      </c>
      <c r="I4068" s="636" t="s">
        <v>2180</v>
      </c>
      <c r="J4068" s="635" t="s">
        <v>2180</v>
      </c>
      <c r="K4068" s="760">
        <v>1</v>
      </c>
      <c r="L4068" s="760">
        <v>1</v>
      </c>
      <c r="M4068" s="736">
        <v>6113.4</v>
      </c>
      <c r="N4068" s="753">
        <v>4</v>
      </c>
      <c r="O4068" s="760">
        <v>6</v>
      </c>
      <c r="P4068" s="736">
        <v>60976.150000000009</v>
      </c>
      <c r="Q4068" s="214"/>
    </row>
    <row r="4069" spans="1:17" ht="12" customHeight="1" x14ac:dyDescent="0.2">
      <c r="A4069" s="646" t="s">
        <v>10266</v>
      </c>
      <c r="B4069" s="735" t="s">
        <v>2170</v>
      </c>
      <c r="C4069" s="646" t="s">
        <v>451</v>
      </c>
      <c r="D4069" s="636" t="s">
        <v>10329</v>
      </c>
      <c r="E4069" s="759">
        <v>9000</v>
      </c>
      <c r="F4069" s="638" t="s">
        <v>10457</v>
      </c>
      <c r="G4069" s="644" t="s">
        <v>10458</v>
      </c>
      <c r="H4069" s="636" t="s">
        <v>10389</v>
      </c>
      <c r="I4069" s="636" t="s">
        <v>2180</v>
      </c>
      <c r="J4069" s="635" t="s">
        <v>2180</v>
      </c>
      <c r="K4069" s="760">
        <v>1</v>
      </c>
      <c r="L4069" s="760">
        <v>3</v>
      </c>
      <c r="M4069" s="736">
        <v>21834.799999999999</v>
      </c>
      <c r="N4069" s="753">
        <v>1</v>
      </c>
      <c r="O4069" s="760">
        <v>0</v>
      </c>
      <c r="P4069" s="736">
        <v>0</v>
      </c>
      <c r="Q4069" s="214"/>
    </row>
    <row r="4070" spans="1:17" ht="12" customHeight="1" x14ac:dyDescent="0.2">
      <c r="A4070" s="646" t="s">
        <v>10266</v>
      </c>
      <c r="B4070" s="735" t="s">
        <v>2170</v>
      </c>
      <c r="C4070" s="646" t="s">
        <v>451</v>
      </c>
      <c r="D4070" s="636" t="s">
        <v>10300</v>
      </c>
      <c r="E4070" s="759">
        <v>11000</v>
      </c>
      <c r="F4070" s="638" t="s">
        <v>10459</v>
      </c>
      <c r="G4070" s="644" t="s">
        <v>10460</v>
      </c>
      <c r="H4070" s="636" t="s">
        <v>6794</v>
      </c>
      <c r="I4070" s="636" t="s">
        <v>2180</v>
      </c>
      <c r="J4070" s="635" t="s">
        <v>2180</v>
      </c>
      <c r="K4070" s="760">
        <v>1</v>
      </c>
      <c r="L4070" s="760">
        <v>1</v>
      </c>
      <c r="M4070" s="736">
        <v>817.03000000000009</v>
      </c>
      <c r="N4070" s="753">
        <v>1</v>
      </c>
      <c r="O4070" s="760">
        <v>0</v>
      </c>
      <c r="P4070" s="736">
        <v>0</v>
      </c>
      <c r="Q4070" s="214"/>
    </row>
    <row r="4071" spans="1:17" ht="12" customHeight="1" x14ac:dyDescent="0.2">
      <c r="A4071" s="646" t="s">
        <v>10266</v>
      </c>
      <c r="B4071" s="735" t="s">
        <v>2170</v>
      </c>
      <c r="C4071" s="646" t="s">
        <v>451</v>
      </c>
      <c r="D4071" s="636" t="s">
        <v>10461</v>
      </c>
      <c r="E4071" s="759">
        <v>12500</v>
      </c>
      <c r="F4071" s="638" t="s">
        <v>10462</v>
      </c>
      <c r="G4071" s="644" t="s">
        <v>10463</v>
      </c>
      <c r="H4071" s="636" t="s">
        <v>10464</v>
      </c>
      <c r="I4071" s="636" t="s">
        <v>2180</v>
      </c>
      <c r="J4071" s="635" t="s">
        <v>2180</v>
      </c>
      <c r="K4071" s="760">
        <v>2</v>
      </c>
      <c r="L4071" s="760">
        <v>4</v>
      </c>
      <c r="M4071" s="736">
        <v>46780.34</v>
      </c>
      <c r="N4071" s="753">
        <v>4</v>
      </c>
      <c r="O4071" s="760">
        <v>6</v>
      </c>
      <c r="P4071" s="736">
        <v>75787.949999999983</v>
      </c>
      <c r="Q4071" s="214"/>
    </row>
    <row r="4072" spans="1:17" ht="12" customHeight="1" x14ac:dyDescent="0.2">
      <c r="A4072" s="646" t="s">
        <v>10266</v>
      </c>
      <c r="B4072" s="735" t="s">
        <v>2170</v>
      </c>
      <c r="C4072" s="646" t="s">
        <v>451</v>
      </c>
      <c r="D4072" s="636" t="s">
        <v>4776</v>
      </c>
      <c r="E4072" s="759">
        <v>10000</v>
      </c>
      <c r="F4072" s="638" t="s">
        <v>10465</v>
      </c>
      <c r="G4072" s="644" t="s">
        <v>10466</v>
      </c>
      <c r="H4072" s="636" t="s">
        <v>10467</v>
      </c>
      <c r="I4072" s="636" t="s">
        <v>2180</v>
      </c>
      <c r="J4072" s="635" t="s">
        <v>2180</v>
      </c>
      <c r="K4072" s="760">
        <v>8</v>
      </c>
      <c r="L4072" s="760">
        <v>6</v>
      </c>
      <c r="M4072" s="736">
        <v>77063.739999999991</v>
      </c>
      <c r="N4072" s="753">
        <v>0</v>
      </c>
      <c r="O4072" s="760">
        <v>0</v>
      </c>
      <c r="P4072" s="736">
        <v>0</v>
      </c>
      <c r="Q4072" s="214"/>
    </row>
    <row r="4073" spans="1:17" ht="12" customHeight="1" x14ac:dyDescent="0.2">
      <c r="A4073" s="646" t="s">
        <v>10266</v>
      </c>
      <c r="B4073" s="735" t="s">
        <v>2170</v>
      </c>
      <c r="C4073" s="646" t="s">
        <v>451</v>
      </c>
      <c r="D4073" s="636" t="s">
        <v>7281</v>
      </c>
      <c r="E4073" s="759">
        <v>15000</v>
      </c>
      <c r="F4073" s="638" t="s">
        <v>10468</v>
      </c>
      <c r="G4073" s="644" t="s">
        <v>10469</v>
      </c>
      <c r="H4073" s="636" t="s">
        <v>2174</v>
      </c>
      <c r="I4073" s="636" t="s">
        <v>2180</v>
      </c>
      <c r="J4073" s="635" t="s">
        <v>2180</v>
      </c>
      <c r="K4073" s="760">
        <v>0</v>
      </c>
      <c r="L4073" s="760">
        <v>0</v>
      </c>
      <c r="M4073" s="736">
        <v>0</v>
      </c>
      <c r="N4073" s="753">
        <v>1</v>
      </c>
      <c r="O4073" s="760">
        <v>6</v>
      </c>
      <c r="P4073" s="736">
        <v>90544.9</v>
      </c>
      <c r="Q4073" s="214"/>
    </row>
    <row r="4074" spans="1:17" ht="12" customHeight="1" x14ac:dyDescent="0.2">
      <c r="A4074" s="646" t="s">
        <v>10266</v>
      </c>
      <c r="B4074" s="735" t="s">
        <v>2170</v>
      </c>
      <c r="C4074" s="646" t="s">
        <v>451</v>
      </c>
      <c r="D4074" s="636" t="s">
        <v>2737</v>
      </c>
      <c r="E4074" s="759">
        <v>4500</v>
      </c>
      <c r="F4074" s="638" t="s">
        <v>10470</v>
      </c>
      <c r="G4074" s="644" t="s">
        <v>10471</v>
      </c>
      <c r="H4074" s="636" t="s">
        <v>10472</v>
      </c>
      <c r="I4074" s="636" t="s">
        <v>2180</v>
      </c>
      <c r="J4074" s="635" t="s">
        <v>2180</v>
      </c>
      <c r="K4074" s="760">
        <v>1</v>
      </c>
      <c r="L4074" s="760">
        <v>3</v>
      </c>
      <c r="M4074" s="736">
        <v>14033.95</v>
      </c>
      <c r="N4074" s="753">
        <v>4</v>
      </c>
      <c r="O4074" s="760">
        <v>6</v>
      </c>
      <c r="P4074" s="736">
        <v>27976.15</v>
      </c>
      <c r="Q4074" s="214"/>
    </row>
    <row r="4075" spans="1:17" ht="12" customHeight="1" x14ac:dyDescent="0.2">
      <c r="A4075" s="646" t="s">
        <v>10266</v>
      </c>
      <c r="B4075" s="735" t="s">
        <v>2170</v>
      </c>
      <c r="C4075" s="646" t="s">
        <v>451</v>
      </c>
      <c r="D4075" s="636" t="s">
        <v>6668</v>
      </c>
      <c r="E4075" s="759">
        <v>10000</v>
      </c>
      <c r="F4075" s="638" t="s">
        <v>10473</v>
      </c>
      <c r="G4075" s="644" t="s">
        <v>10474</v>
      </c>
      <c r="H4075" s="636" t="s">
        <v>2752</v>
      </c>
      <c r="I4075" s="636" t="s">
        <v>2180</v>
      </c>
      <c r="J4075" s="635" t="s">
        <v>2180</v>
      </c>
      <c r="K4075" s="760">
        <v>5</v>
      </c>
      <c r="L4075" s="760">
        <v>12</v>
      </c>
      <c r="M4075" s="736">
        <v>91960.8</v>
      </c>
      <c r="N4075" s="753">
        <v>2</v>
      </c>
      <c r="O4075" s="760">
        <v>6</v>
      </c>
      <c r="P4075" s="736">
        <v>47469.03</v>
      </c>
      <c r="Q4075" s="214"/>
    </row>
    <row r="4076" spans="1:17" ht="12" customHeight="1" x14ac:dyDescent="0.2">
      <c r="A4076" s="646" t="s">
        <v>10266</v>
      </c>
      <c r="B4076" s="735" t="s">
        <v>2170</v>
      </c>
      <c r="C4076" s="646" t="s">
        <v>451</v>
      </c>
      <c r="D4076" s="636" t="s">
        <v>10275</v>
      </c>
      <c r="E4076" s="759">
        <v>10000</v>
      </c>
      <c r="F4076" s="638" t="s">
        <v>10473</v>
      </c>
      <c r="G4076" s="644" t="s">
        <v>10475</v>
      </c>
      <c r="H4076" s="636" t="s">
        <v>2752</v>
      </c>
      <c r="I4076" s="636" t="s">
        <v>2180</v>
      </c>
      <c r="J4076" s="635" t="s">
        <v>2180</v>
      </c>
      <c r="K4076" s="760">
        <v>0</v>
      </c>
      <c r="L4076" s="760">
        <v>0</v>
      </c>
      <c r="M4076" s="736">
        <v>0</v>
      </c>
      <c r="N4076" s="753">
        <v>1</v>
      </c>
      <c r="O4076" s="760">
        <v>1</v>
      </c>
      <c r="P4076" s="736">
        <v>7507.48</v>
      </c>
      <c r="Q4076" s="214"/>
    </row>
    <row r="4077" spans="1:17" ht="12" customHeight="1" x14ac:dyDescent="0.2">
      <c r="A4077" s="646" t="s">
        <v>10266</v>
      </c>
      <c r="B4077" s="735" t="s">
        <v>2170</v>
      </c>
      <c r="C4077" s="646" t="s">
        <v>451</v>
      </c>
      <c r="D4077" s="636" t="s">
        <v>10350</v>
      </c>
      <c r="E4077" s="759">
        <v>6000</v>
      </c>
      <c r="F4077" s="638" t="s">
        <v>10476</v>
      </c>
      <c r="G4077" s="644" t="s">
        <v>10477</v>
      </c>
      <c r="H4077" s="636" t="s">
        <v>2445</v>
      </c>
      <c r="I4077" s="636" t="s">
        <v>2766</v>
      </c>
      <c r="J4077" s="635" t="s">
        <v>2766</v>
      </c>
      <c r="K4077" s="760">
        <v>4</v>
      </c>
      <c r="L4077" s="760">
        <v>12</v>
      </c>
      <c r="M4077" s="736">
        <v>73951.22</v>
      </c>
      <c r="N4077" s="753">
        <v>8</v>
      </c>
      <c r="O4077" s="760">
        <v>6</v>
      </c>
      <c r="P4077" s="736">
        <v>37041.57</v>
      </c>
      <c r="Q4077" s="214"/>
    </row>
    <row r="4078" spans="1:17" ht="12" customHeight="1" x14ac:dyDescent="0.2">
      <c r="A4078" s="646" t="s">
        <v>10266</v>
      </c>
      <c r="B4078" s="735" t="s">
        <v>2170</v>
      </c>
      <c r="C4078" s="646" t="s">
        <v>451</v>
      </c>
      <c r="D4078" s="636" t="s">
        <v>10329</v>
      </c>
      <c r="E4078" s="759">
        <v>10000</v>
      </c>
      <c r="F4078" s="638" t="s">
        <v>10478</v>
      </c>
      <c r="G4078" s="644" t="s">
        <v>10479</v>
      </c>
      <c r="H4078" s="636" t="s">
        <v>2179</v>
      </c>
      <c r="I4078" s="636" t="s">
        <v>2180</v>
      </c>
      <c r="J4078" s="635" t="s">
        <v>2180</v>
      </c>
      <c r="K4078" s="760">
        <v>1</v>
      </c>
      <c r="L4078" s="760">
        <v>2</v>
      </c>
      <c r="M4078" s="736">
        <v>16476.830000000002</v>
      </c>
      <c r="N4078" s="753">
        <v>1</v>
      </c>
      <c r="O4078" s="760">
        <v>0</v>
      </c>
      <c r="P4078" s="736">
        <v>0</v>
      </c>
      <c r="Q4078" s="214"/>
    </row>
    <row r="4079" spans="1:17" ht="12" customHeight="1" x14ac:dyDescent="0.2">
      <c r="A4079" s="646" t="s">
        <v>10266</v>
      </c>
      <c r="B4079" s="735" t="s">
        <v>2170</v>
      </c>
      <c r="C4079" s="646" t="s">
        <v>451</v>
      </c>
      <c r="D4079" s="636" t="s">
        <v>3383</v>
      </c>
      <c r="E4079" s="759">
        <v>6000</v>
      </c>
      <c r="F4079" s="638" t="s">
        <v>10480</v>
      </c>
      <c r="G4079" s="644" t="s">
        <v>10481</v>
      </c>
      <c r="H4079" s="636" t="s">
        <v>2174</v>
      </c>
      <c r="I4079" s="636" t="s">
        <v>2180</v>
      </c>
      <c r="J4079" s="635" t="s">
        <v>2180</v>
      </c>
      <c r="K4079" s="760">
        <v>1</v>
      </c>
      <c r="L4079" s="760">
        <v>1</v>
      </c>
      <c r="M4079" s="736">
        <v>4113.3999999999996</v>
      </c>
      <c r="N4079" s="753">
        <v>3</v>
      </c>
      <c r="O4079" s="760">
        <v>6</v>
      </c>
      <c r="P4079" s="736">
        <v>36964.49</v>
      </c>
      <c r="Q4079" s="214"/>
    </row>
    <row r="4080" spans="1:17" ht="12" customHeight="1" x14ac:dyDescent="0.2">
      <c r="A4080" s="646" t="s">
        <v>10266</v>
      </c>
      <c r="B4080" s="735" t="s">
        <v>2170</v>
      </c>
      <c r="C4080" s="646" t="s">
        <v>451</v>
      </c>
      <c r="D4080" s="636" t="s">
        <v>2602</v>
      </c>
      <c r="E4080" s="759">
        <v>3500</v>
      </c>
      <c r="F4080" s="638" t="s">
        <v>10482</v>
      </c>
      <c r="G4080" s="644" t="s">
        <v>10483</v>
      </c>
      <c r="H4080" s="636" t="s">
        <v>3522</v>
      </c>
      <c r="I4080" s="636" t="s">
        <v>643</v>
      </c>
      <c r="J4080" s="635" t="s">
        <v>643</v>
      </c>
      <c r="K4080" s="760">
        <v>2</v>
      </c>
      <c r="L4080" s="760">
        <v>8</v>
      </c>
      <c r="M4080" s="736">
        <v>29064.620000000003</v>
      </c>
      <c r="N4080" s="753">
        <v>5</v>
      </c>
      <c r="O4080" s="760">
        <v>6</v>
      </c>
      <c r="P4080" s="736">
        <v>22044.9</v>
      </c>
      <c r="Q4080" s="214"/>
    </row>
    <row r="4081" spans="1:17" ht="12" customHeight="1" x14ac:dyDescent="0.2">
      <c r="A4081" s="646" t="s">
        <v>10266</v>
      </c>
      <c r="B4081" s="735" t="s">
        <v>2170</v>
      </c>
      <c r="C4081" s="646" t="s">
        <v>451</v>
      </c>
      <c r="D4081" s="636" t="s">
        <v>2225</v>
      </c>
      <c r="E4081" s="759">
        <v>10000</v>
      </c>
      <c r="F4081" s="638" t="s">
        <v>10484</v>
      </c>
      <c r="G4081" s="644" t="s">
        <v>10485</v>
      </c>
      <c r="H4081" s="636" t="s">
        <v>2179</v>
      </c>
      <c r="I4081" s="636" t="s">
        <v>2180</v>
      </c>
      <c r="J4081" s="635" t="s">
        <v>2180</v>
      </c>
      <c r="K4081" s="760">
        <v>1</v>
      </c>
      <c r="L4081" s="760">
        <v>1</v>
      </c>
      <c r="M4081" s="736">
        <v>4446.7299999999996</v>
      </c>
      <c r="N4081" s="753">
        <v>4</v>
      </c>
      <c r="O4081" s="760">
        <v>6</v>
      </c>
      <c r="P4081" s="736">
        <v>61044.900000000009</v>
      </c>
      <c r="Q4081" s="214"/>
    </row>
    <row r="4082" spans="1:17" ht="12" customHeight="1" x14ac:dyDescent="0.2">
      <c r="A4082" s="646" t="s">
        <v>10266</v>
      </c>
      <c r="B4082" s="735" t="s">
        <v>2170</v>
      </c>
      <c r="C4082" s="646" t="s">
        <v>451</v>
      </c>
      <c r="D4082" s="636" t="s">
        <v>10278</v>
      </c>
      <c r="E4082" s="759">
        <v>13000</v>
      </c>
      <c r="F4082" s="638" t="s">
        <v>10486</v>
      </c>
      <c r="G4082" s="644" t="s">
        <v>10487</v>
      </c>
      <c r="H4082" s="636" t="s">
        <v>10488</v>
      </c>
      <c r="I4082" s="636" t="s">
        <v>2180</v>
      </c>
      <c r="J4082" s="635" t="s">
        <v>2180</v>
      </c>
      <c r="K4082" s="760">
        <v>1</v>
      </c>
      <c r="L4082" s="760">
        <v>3</v>
      </c>
      <c r="M4082" s="736">
        <v>40820.719999999994</v>
      </c>
      <c r="N4082" s="753">
        <v>1</v>
      </c>
      <c r="O4082" s="760">
        <v>0</v>
      </c>
      <c r="P4082" s="736">
        <v>0</v>
      </c>
      <c r="Q4082" s="214"/>
    </row>
    <row r="4083" spans="1:17" ht="12" customHeight="1" x14ac:dyDescent="0.2">
      <c r="A4083" s="646" t="s">
        <v>10266</v>
      </c>
      <c r="B4083" s="735" t="s">
        <v>2170</v>
      </c>
      <c r="C4083" s="646" t="s">
        <v>451</v>
      </c>
      <c r="D4083" s="636" t="s">
        <v>10489</v>
      </c>
      <c r="E4083" s="759">
        <v>10000</v>
      </c>
      <c r="F4083" s="638" t="s">
        <v>10490</v>
      </c>
      <c r="G4083" s="644" t="s">
        <v>10491</v>
      </c>
      <c r="H4083" s="636" t="s">
        <v>2317</v>
      </c>
      <c r="I4083" s="636" t="s">
        <v>2180</v>
      </c>
      <c r="J4083" s="635" t="s">
        <v>2180</v>
      </c>
      <c r="K4083" s="760">
        <v>11</v>
      </c>
      <c r="L4083" s="760">
        <v>12</v>
      </c>
      <c r="M4083" s="736">
        <v>132161.01</v>
      </c>
      <c r="N4083" s="753">
        <v>0</v>
      </c>
      <c r="O4083" s="760">
        <v>0</v>
      </c>
      <c r="P4083" s="736">
        <v>0</v>
      </c>
      <c r="Q4083" s="214"/>
    </row>
    <row r="4084" spans="1:17" ht="12" customHeight="1" x14ac:dyDescent="0.2">
      <c r="A4084" s="646" t="s">
        <v>10266</v>
      </c>
      <c r="B4084" s="735" t="s">
        <v>2170</v>
      </c>
      <c r="C4084" s="646" t="s">
        <v>451</v>
      </c>
      <c r="D4084" s="636" t="s">
        <v>10492</v>
      </c>
      <c r="E4084" s="759">
        <v>2000</v>
      </c>
      <c r="F4084" s="638" t="s">
        <v>10493</v>
      </c>
      <c r="G4084" s="644" t="s">
        <v>10494</v>
      </c>
      <c r="H4084" s="636" t="s">
        <v>8231</v>
      </c>
      <c r="I4084" s="636" t="s">
        <v>2766</v>
      </c>
      <c r="J4084" s="635" t="s">
        <v>2766</v>
      </c>
      <c r="K4084" s="760">
        <v>1</v>
      </c>
      <c r="L4084" s="760">
        <v>2</v>
      </c>
      <c r="M4084" s="736">
        <v>4000.83</v>
      </c>
      <c r="N4084" s="753">
        <v>2</v>
      </c>
      <c r="O4084" s="760">
        <v>4</v>
      </c>
      <c r="P4084" s="736">
        <v>7651.5199999999986</v>
      </c>
      <c r="Q4084" s="214"/>
    </row>
    <row r="4085" spans="1:17" ht="12" customHeight="1" x14ac:dyDescent="0.2">
      <c r="A4085" s="646" t="s">
        <v>10266</v>
      </c>
      <c r="B4085" s="735" t="s">
        <v>2170</v>
      </c>
      <c r="C4085" s="646" t="s">
        <v>451</v>
      </c>
      <c r="D4085" s="636" t="s">
        <v>2602</v>
      </c>
      <c r="E4085" s="759">
        <v>3500</v>
      </c>
      <c r="F4085" s="638" t="s">
        <v>10495</v>
      </c>
      <c r="G4085" s="644" t="s">
        <v>10496</v>
      </c>
      <c r="H4085" s="636" t="s">
        <v>2602</v>
      </c>
      <c r="I4085" s="636" t="s">
        <v>643</v>
      </c>
      <c r="J4085" s="635" t="s">
        <v>643</v>
      </c>
      <c r="K4085" s="760">
        <v>1</v>
      </c>
      <c r="L4085" s="760">
        <v>2</v>
      </c>
      <c r="M4085" s="736">
        <v>6876.8</v>
      </c>
      <c r="N4085" s="753">
        <v>3</v>
      </c>
      <c r="O4085" s="760">
        <v>6</v>
      </c>
      <c r="P4085" s="736">
        <v>22044.9</v>
      </c>
      <c r="Q4085" s="214"/>
    </row>
    <row r="4086" spans="1:17" ht="12" customHeight="1" x14ac:dyDescent="0.2">
      <c r="A4086" s="646" t="s">
        <v>10266</v>
      </c>
      <c r="B4086" s="735" t="s">
        <v>2170</v>
      </c>
      <c r="C4086" s="646" t="s">
        <v>451</v>
      </c>
      <c r="D4086" s="636" t="s">
        <v>10358</v>
      </c>
      <c r="E4086" s="759">
        <v>10000</v>
      </c>
      <c r="F4086" s="638" t="s">
        <v>10497</v>
      </c>
      <c r="G4086" s="644" t="s">
        <v>10498</v>
      </c>
      <c r="H4086" s="636" t="s">
        <v>10499</v>
      </c>
      <c r="I4086" s="636" t="s">
        <v>2180</v>
      </c>
      <c r="J4086" s="635" t="s">
        <v>2180</v>
      </c>
      <c r="K4086" s="760">
        <v>9</v>
      </c>
      <c r="L4086" s="760">
        <v>12</v>
      </c>
      <c r="M4086" s="736">
        <v>121794.13</v>
      </c>
      <c r="N4086" s="753">
        <v>13</v>
      </c>
      <c r="O4086" s="760">
        <v>6</v>
      </c>
      <c r="P4086" s="736">
        <v>61006.01</v>
      </c>
      <c r="Q4086" s="214"/>
    </row>
    <row r="4087" spans="1:17" ht="12" customHeight="1" x14ac:dyDescent="0.2">
      <c r="A4087" s="646" t="s">
        <v>10266</v>
      </c>
      <c r="B4087" s="735" t="s">
        <v>2170</v>
      </c>
      <c r="C4087" s="646" t="s">
        <v>451</v>
      </c>
      <c r="D4087" s="636" t="s">
        <v>10297</v>
      </c>
      <c r="E4087" s="759">
        <v>11000</v>
      </c>
      <c r="F4087" s="638" t="s">
        <v>10500</v>
      </c>
      <c r="G4087" s="644" t="s">
        <v>10501</v>
      </c>
      <c r="H4087" s="636" t="s">
        <v>2712</v>
      </c>
      <c r="I4087" s="636" t="s">
        <v>2180</v>
      </c>
      <c r="J4087" s="635" t="s">
        <v>2180</v>
      </c>
      <c r="K4087" s="760">
        <v>0</v>
      </c>
      <c r="L4087" s="760">
        <v>1</v>
      </c>
      <c r="M4087" s="736">
        <v>8537.91</v>
      </c>
      <c r="N4087" s="753">
        <v>0</v>
      </c>
      <c r="O4087" s="760">
        <v>0</v>
      </c>
      <c r="P4087" s="736">
        <v>0</v>
      </c>
      <c r="Q4087" s="214"/>
    </row>
    <row r="4088" spans="1:17" ht="12" customHeight="1" x14ac:dyDescent="0.2">
      <c r="A4088" s="646" t="s">
        <v>10266</v>
      </c>
      <c r="B4088" s="735" t="s">
        <v>2170</v>
      </c>
      <c r="C4088" s="646" t="s">
        <v>451</v>
      </c>
      <c r="D4088" s="636" t="s">
        <v>6742</v>
      </c>
      <c r="E4088" s="759">
        <v>8000</v>
      </c>
      <c r="F4088" s="638" t="s">
        <v>10502</v>
      </c>
      <c r="G4088" s="644" t="s">
        <v>10503</v>
      </c>
      <c r="H4088" s="636" t="s">
        <v>2712</v>
      </c>
      <c r="I4088" s="636" t="s">
        <v>2180</v>
      </c>
      <c r="J4088" s="635" t="s">
        <v>2180</v>
      </c>
      <c r="K4088" s="760">
        <v>4</v>
      </c>
      <c r="L4088" s="760">
        <v>4</v>
      </c>
      <c r="M4088" s="736">
        <v>32837.449999999997</v>
      </c>
      <c r="N4088" s="753">
        <v>0</v>
      </c>
      <c r="O4088" s="760">
        <v>0</v>
      </c>
      <c r="P4088" s="736">
        <v>0</v>
      </c>
      <c r="Q4088" s="214"/>
    </row>
    <row r="4089" spans="1:17" ht="12" customHeight="1" x14ac:dyDescent="0.2">
      <c r="A4089" s="646" t="s">
        <v>10266</v>
      </c>
      <c r="B4089" s="735" t="s">
        <v>2170</v>
      </c>
      <c r="C4089" s="646" t="s">
        <v>451</v>
      </c>
      <c r="D4089" s="636" t="s">
        <v>10275</v>
      </c>
      <c r="E4089" s="759">
        <v>10000</v>
      </c>
      <c r="F4089" s="638" t="s">
        <v>10504</v>
      </c>
      <c r="G4089" s="644" t="s">
        <v>10505</v>
      </c>
      <c r="H4089" s="636" t="s">
        <v>2189</v>
      </c>
      <c r="I4089" s="636" t="s">
        <v>2180</v>
      </c>
      <c r="J4089" s="635" t="s">
        <v>2180</v>
      </c>
      <c r="K4089" s="760">
        <v>1</v>
      </c>
      <c r="L4089" s="760">
        <v>10</v>
      </c>
      <c r="M4089" s="736">
        <v>81220.600000000006</v>
      </c>
      <c r="N4089" s="753">
        <v>1</v>
      </c>
      <c r="O4089" s="760">
        <v>6</v>
      </c>
      <c r="P4089" s="736">
        <v>61044.9</v>
      </c>
      <c r="Q4089" s="214"/>
    </row>
    <row r="4090" spans="1:17" ht="12" customHeight="1" x14ac:dyDescent="0.2">
      <c r="A4090" s="646" t="s">
        <v>10266</v>
      </c>
      <c r="B4090" s="735" t="s">
        <v>2170</v>
      </c>
      <c r="C4090" s="646" t="s">
        <v>451</v>
      </c>
      <c r="D4090" s="636" t="s">
        <v>10297</v>
      </c>
      <c r="E4090" s="759">
        <v>8000</v>
      </c>
      <c r="F4090" s="638" t="s">
        <v>10506</v>
      </c>
      <c r="G4090" s="644" t="s">
        <v>10507</v>
      </c>
      <c r="H4090" s="636" t="s">
        <v>2174</v>
      </c>
      <c r="I4090" s="636" t="s">
        <v>2180</v>
      </c>
      <c r="J4090" s="635" t="s">
        <v>2180</v>
      </c>
      <c r="K4090" s="760">
        <v>1</v>
      </c>
      <c r="L4090" s="760">
        <v>2</v>
      </c>
      <c r="M4090" s="736">
        <v>15426.8</v>
      </c>
      <c r="N4090" s="753">
        <v>2</v>
      </c>
      <c r="O4090" s="760">
        <v>6</v>
      </c>
      <c r="P4090" s="736">
        <v>49044.9</v>
      </c>
      <c r="Q4090" s="214"/>
    </row>
    <row r="4091" spans="1:17" ht="12" customHeight="1" x14ac:dyDescent="0.2">
      <c r="A4091" s="646" t="s">
        <v>10266</v>
      </c>
      <c r="B4091" s="735" t="s">
        <v>2170</v>
      </c>
      <c r="C4091" s="646" t="s">
        <v>451</v>
      </c>
      <c r="D4091" s="636" t="s">
        <v>2369</v>
      </c>
      <c r="E4091" s="759">
        <v>4000</v>
      </c>
      <c r="F4091" s="638" t="s">
        <v>10508</v>
      </c>
      <c r="G4091" s="644" t="s">
        <v>10509</v>
      </c>
      <c r="H4091" s="636" t="s">
        <v>2346</v>
      </c>
      <c r="I4091" s="636" t="s">
        <v>643</v>
      </c>
      <c r="J4091" s="635" t="s">
        <v>643</v>
      </c>
      <c r="K4091" s="760">
        <v>4</v>
      </c>
      <c r="L4091" s="760">
        <v>12</v>
      </c>
      <c r="M4091" s="736">
        <v>49848.850000000006</v>
      </c>
      <c r="N4091" s="753">
        <v>8</v>
      </c>
      <c r="O4091" s="760">
        <v>6</v>
      </c>
      <c r="P4091" s="736">
        <v>25009.63</v>
      </c>
      <c r="Q4091" s="214"/>
    </row>
    <row r="4092" spans="1:17" ht="12" customHeight="1" x14ac:dyDescent="0.2">
      <c r="A4092" s="646" t="s">
        <v>10266</v>
      </c>
      <c r="B4092" s="735" t="s">
        <v>2170</v>
      </c>
      <c r="C4092" s="646" t="s">
        <v>451</v>
      </c>
      <c r="D4092" s="636" t="s">
        <v>10510</v>
      </c>
      <c r="E4092" s="759">
        <v>8000</v>
      </c>
      <c r="F4092" s="638" t="s">
        <v>10511</v>
      </c>
      <c r="G4092" s="644" t="s">
        <v>10512</v>
      </c>
      <c r="H4092" s="636" t="s">
        <v>2625</v>
      </c>
      <c r="I4092" s="636" t="s">
        <v>2180</v>
      </c>
      <c r="J4092" s="635" t="s">
        <v>2180</v>
      </c>
      <c r="K4092" s="760">
        <v>6</v>
      </c>
      <c r="L4092" s="760">
        <v>12</v>
      </c>
      <c r="M4092" s="736">
        <v>97904.14</v>
      </c>
      <c r="N4092" s="753">
        <v>10</v>
      </c>
      <c r="O4092" s="760">
        <v>6</v>
      </c>
      <c r="P4092" s="736">
        <v>49037.120000000003</v>
      </c>
      <c r="Q4092" s="214"/>
    </row>
    <row r="4093" spans="1:17" ht="12" customHeight="1" x14ac:dyDescent="0.2">
      <c r="A4093" s="646" t="s">
        <v>10266</v>
      </c>
      <c r="B4093" s="735" t="s">
        <v>2170</v>
      </c>
      <c r="C4093" s="646" t="s">
        <v>451</v>
      </c>
      <c r="D4093" s="636" t="s">
        <v>10513</v>
      </c>
      <c r="E4093" s="759">
        <v>6000</v>
      </c>
      <c r="F4093" s="638" t="s">
        <v>10514</v>
      </c>
      <c r="G4093" s="644" t="s">
        <v>10515</v>
      </c>
      <c r="H4093" s="636" t="s">
        <v>2236</v>
      </c>
      <c r="I4093" s="636" t="s">
        <v>2180</v>
      </c>
      <c r="J4093" s="635" t="s">
        <v>2180</v>
      </c>
      <c r="K4093" s="760">
        <v>8</v>
      </c>
      <c r="L4093" s="760">
        <v>6</v>
      </c>
      <c r="M4093" s="736">
        <v>44430.49</v>
      </c>
      <c r="N4093" s="753">
        <v>0</v>
      </c>
      <c r="O4093" s="760">
        <v>0</v>
      </c>
      <c r="P4093" s="736">
        <v>0</v>
      </c>
      <c r="Q4093" s="214"/>
    </row>
    <row r="4094" spans="1:17" ht="12" customHeight="1" x14ac:dyDescent="0.2">
      <c r="A4094" s="646" t="s">
        <v>10266</v>
      </c>
      <c r="B4094" s="735" t="s">
        <v>2170</v>
      </c>
      <c r="C4094" s="646" t="s">
        <v>451</v>
      </c>
      <c r="D4094" s="636" t="s">
        <v>10300</v>
      </c>
      <c r="E4094" s="759">
        <v>10000</v>
      </c>
      <c r="F4094" s="638" t="s">
        <v>10516</v>
      </c>
      <c r="G4094" s="644" t="s">
        <v>10517</v>
      </c>
      <c r="H4094" s="636" t="s">
        <v>2189</v>
      </c>
      <c r="I4094" s="636" t="s">
        <v>2180</v>
      </c>
      <c r="J4094" s="635" t="s">
        <v>2180</v>
      </c>
      <c r="K4094" s="760">
        <v>1</v>
      </c>
      <c r="L4094" s="760">
        <v>12</v>
      </c>
      <c r="M4094" s="736">
        <v>121960.8</v>
      </c>
      <c r="N4094" s="753">
        <v>1</v>
      </c>
      <c r="O4094" s="760">
        <v>3</v>
      </c>
      <c r="P4094" s="736">
        <v>43800.28</v>
      </c>
      <c r="Q4094" s="214"/>
    </row>
    <row r="4095" spans="1:17" ht="12" customHeight="1" x14ac:dyDescent="0.2">
      <c r="A4095" s="646" t="s">
        <v>10266</v>
      </c>
      <c r="B4095" s="735" t="s">
        <v>2170</v>
      </c>
      <c r="C4095" s="646" t="s">
        <v>451</v>
      </c>
      <c r="D4095" s="636" t="s">
        <v>4124</v>
      </c>
      <c r="E4095" s="759">
        <v>10000</v>
      </c>
      <c r="F4095" s="638" t="s">
        <v>10518</v>
      </c>
      <c r="G4095" s="644" t="s">
        <v>10519</v>
      </c>
      <c r="H4095" s="636" t="s">
        <v>2174</v>
      </c>
      <c r="I4095" s="636" t="s">
        <v>2180</v>
      </c>
      <c r="J4095" s="635" t="s">
        <v>2180</v>
      </c>
      <c r="K4095" s="760">
        <v>5</v>
      </c>
      <c r="L4095" s="760">
        <v>12</v>
      </c>
      <c r="M4095" s="736">
        <v>121840.66</v>
      </c>
      <c r="N4095" s="753">
        <v>9</v>
      </c>
      <c r="O4095" s="760">
        <v>6</v>
      </c>
      <c r="P4095" s="736">
        <v>61001.85</v>
      </c>
      <c r="Q4095" s="214"/>
    </row>
    <row r="4096" spans="1:17" ht="12" customHeight="1" x14ac:dyDescent="0.2">
      <c r="A4096" s="646" t="s">
        <v>10266</v>
      </c>
      <c r="B4096" s="735" t="s">
        <v>2170</v>
      </c>
      <c r="C4096" s="646" t="s">
        <v>451</v>
      </c>
      <c r="D4096" s="636" t="s">
        <v>4124</v>
      </c>
      <c r="E4096" s="759">
        <v>10000</v>
      </c>
      <c r="F4096" s="638" t="s">
        <v>10520</v>
      </c>
      <c r="G4096" s="644" t="s">
        <v>10521</v>
      </c>
      <c r="H4096" s="636" t="s">
        <v>10522</v>
      </c>
      <c r="I4096" s="636" t="s">
        <v>2766</v>
      </c>
      <c r="J4096" s="635" t="s">
        <v>2766</v>
      </c>
      <c r="K4096" s="760">
        <v>4</v>
      </c>
      <c r="L4096" s="760">
        <v>12</v>
      </c>
      <c r="M4096" s="736">
        <v>121588.58</v>
      </c>
      <c r="N4096" s="753">
        <v>8</v>
      </c>
      <c r="O4096" s="760">
        <v>6</v>
      </c>
      <c r="P4096" s="736">
        <v>61044.9</v>
      </c>
      <c r="Q4096" s="214"/>
    </row>
    <row r="4097" spans="1:17" ht="12" customHeight="1" x14ac:dyDescent="0.2">
      <c r="A4097" s="646" t="s">
        <v>10266</v>
      </c>
      <c r="B4097" s="735" t="s">
        <v>2170</v>
      </c>
      <c r="C4097" s="646" t="s">
        <v>451</v>
      </c>
      <c r="D4097" s="636" t="s">
        <v>10523</v>
      </c>
      <c r="E4097" s="759">
        <v>10000</v>
      </c>
      <c r="F4097" s="638" t="s">
        <v>10524</v>
      </c>
      <c r="G4097" s="644" t="s">
        <v>10525</v>
      </c>
      <c r="H4097" s="636" t="s">
        <v>2179</v>
      </c>
      <c r="I4097" s="636" t="s">
        <v>2180</v>
      </c>
      <c r="J4097" s="635" t="s">
        <v>2180</v>
      </c>
      <c r="K4097" s="760">
        <v>1</v>
      </c>
      <c r="L4097" s="760">
        <v>2</v>
      </c>
      <c r="M4097" s="736">
        <v>13893.47</v>
      </c>
      <c r="N4097" s="753">
        <v>3</v>
      </c>
      <c r="O4097" s="760">
        <v>6</v>
      </c>
      <c r="P4097" s="736">
        <v>60074.060000000005</v>
      </c>
      <c r="Q4097" s="214"/>
    </row>
    <row r="4098" spans="1:17" ht="12" customHeight="1" x14ac:dyDescent="0.2">
      <c r="A4098" s="646" t="s">
        <v>10266</v>
      </c>
      <c r="B4098" s="735" t="s">
        <v>2170</v>
      </c>
      <c r="C4098" s="646" t="s">
        <v>451</v>
      </c>
      <c r="D4098" s="636" t="s">
        <v>10526</v>
      </c>
      <c r="E4098" s="759">
        <v>12500</v>
      </c>
      <c r="F4098" s="638" t="s">
        <v>10527</v>
      </c>
      <c r="G4098" s="644" t="s">
        <v>10528</v>
      </c>
      <c r="H4098" s="636" t="s">
        <v>3070</v>
      </c>
      <c r="I4098" s="636" t="s">
        <v>2180</v>
      </c>
      <c r="J4098" s="635" t="s">
        <v>2180</v>
      </c>
      <c r="K4098" s="760">
        <v>5</v>
      </c>
      <c r="L4098" s="760">
        <v>2</v>
      </c>
      <c r="M4098" s="736">
        <v>41704.78</v>
      </c>
      <c r="N4098" s="753">
        <v>0</v>
      </c>
      <c r="O4098" s="760">
        <v>0</v>
      </c>
      <c r="P4098" s="736">
        <v>0</v>
      </c>
      <c r="Q4098" s="214"/>
    </row>
    <row r="4099" spans="1:17" ht="12" customHeight="1" x14ac:dyDescent="0.2">
      <c r="A4099" s="646" t="s">
        <v>10266</v>
      </c>
      <c r="B4099" s="735" t="s">
        <v>2170</v>
      </c>
      <c r="C4099" s="646" t="s">
        <v>451</v>
      </c>
      <c r="D4099" s="636" t="s">
        <v>10529</v>
      </c>
      <c r="E4099" s="759">
        <v>8000</v>
      </c>
      <c r="F4099" s="638" t="s">
        <v>10530</v>
      </c>
      <c r="G4099" s="644" t="s">
        <v>10531</v>
      </c>
      <c r="H4099" s="636" t="s">
        <v>10532</v>
      </c>
      <c r="I4099" s="636" t="s">
        <v>2180</v>
      </c>
      <c r="J4099" s="635" t="s">
        <v>2180</v>
      </c>
      <c r="K4099" s="760">
        <v>5</v>
      </c>
      <c r="L4099" s="760">
        <v>10</v>
      </c>
      <c r="M4099" s="736">
        <v>86780.64</v>
      </c>
      <c r="N4099" s="753">
        <v>0</v>
      </c>
      <c r="O4099" s="760">
        <v>0</v>
      </c>
      <c r="P4099" s="736">
        <v>0</v>
      </c>
      <c r="Q4099" s="214"/>
    </row>
    <row r="4100" spans="1:17" ht="12" customHeight="1" x14ac:dyDescent="0.2">
      <c r="A4100" s="646" t="s">
        <v>10266</v>
      </c>
      <c r="B4100" s="735" t="s">
        <v>2170</v>
      </c>
      <c r="C4100" s="646" t="s">
        <v>451</v>
      </c>
      <c r="D4100" s="636" t="s">
        <v>10297</v>
      </c>
      <c r="E4100" s="759">
        <v>8000</v>
      </c>
      <c r="F4100" s="638" t="s">
        <v>10533</v>
      </c>
      <c r="G4100" s="644" t="s">
        <v>10534</v>
      </c>
      <c r="H4100" s="636" t="s">
        <v>2543</v>
      </c>
      <c r="I4100" s="636" t="s">
        <v>2180</v>
      </c>
      <c r="J4100" s="635" t="s">
        <v>2180</v>
      </c>
      <c r="K4100" s="760">
        <v>0</v>
      </c>
      <c r="L4100" s="760">
        <v>0</v>
      </c>
      <c r="M4100" s="736">
        <v>0</v>
      </c>
      <c r="N4100" s="753">
        <v>1</v>
      </c>
      <c r="O4100" s="760">
        <v>6</v>
      </c>
      <c r="P4100" s="736">
        <v>36604.080000000002</v>
      </c>
      <c r="Q4100" s="214"/>
    </row>
    <row r="4101" spans="1:17" ht="12" customHeight="1" x14ac:dyDescent="0.2">
      <c r="A4101" s="646" t="s">
        <v>10266</v>
      </c>
      <c r="B4101" s="735" t="s">
        <v>2170</v>
      </c>
      <c r="C4101" s="646" t="s">
        <v>451</v>
      </c>
      <c r="D4101" s="636" t="s">
        <v>10535</v>
      </c>
      <c r="E4101" s="759">
        <v>8000</v>
      </c>
      <c r="F4101" s="638" t="s">
        <v>10536</v>
      </c>
      <c r="G4101" s="644" t="s">
        <v>10537</v>
      </c>
      <c r="H4101" s="636" t="s">
        <v>10538</v>
      </c>
      <c r="I4101" s="636" t="s">
        <v>2180</v>
      </c>
      <c r="J4101" s="635" t="s">
        <v>2180</v>
      </c>
      <c r="K4101" s="760">
        <v>1</v>
      </c>
      <c r="L4101" s="760">
        <v>4</v>
      </c>
      <c r="M4101" s="736">
        <v>35144.720000000001</v>
      </c>
      <c r="N4101" s="753">
        <v>0</v>
      </c>
      <c r="O4101" s="760">
        <v>0</v>
      </c>
      <c r="P4101" s="736">
        <v>0</v>
      </c>
      <c r="Q4101" s="214"/>
    </row>
    <row r="4102" spans="1:17" ht="12" customHeight="1" x14ac:dyDescent="0.2">
      <c r="A4102" s="646" t="s">
        <v>10266</v>
      </c>
      <c r="B4102" s="735" t="s">
        <v>2170</v>
      </c>
      <c r="C4102" s="646" t="s">
        <v>451</v>
      </c>
      <c r="D4102" s="636" t="s">
        <v>10539</v>
      </c>
      <c r="E4102" s="759">
        <v>4000</v>
      </c>
      <c r="F4102" s="638" t="s">
        <v>10540</v>
      </c>
      <c r="G4102" s="644" t="s">
        <v>10541</v>
      </c>
      <c r="H4102" s="636" t="s">
        <v>10366</v>
      </c>
      <c r="I4102" s="636" t="s">
        <v>643</v>
      </c>
      <c r="J4102" s="635" t="s">
        <v>643</v>
      </c>
      <c r="K4102" s="760">
        <v>1</v>
      </c>
      <c r="L4102" s="760">
        <v>1</v>
      </c>
      <c r="M4102" s="736">
        <v>2780.07</v>
      </c>
      <c r="N4102" s="753">
        <v>3</v>
      </c>
      <c r="O4102" s="760">
        <v>6</v>
      </c>
      <c r="P4102" s="736">
        <v>25023.780000000002</v>
      </c>
      <c r="Q4102" s="214"/>
    </row>
    <row r="4103" spans="1:17" ht="12" customHeight="1" x14ac:dyDescent="0.2">
      <c r="A4103" s="646" t="s">
        <v>10266</v>
      </c>
      <c r="B4103" s="735" t="s">
        <v>2170</v>
      </c>
      <c r="C4103" s="646" t="s">
        <v>451</v>
      </c>
      <c r="D4103" s="636" t="s">
        <v>10542</v>
      </c>
      <c r="E4103" s="759">
        <v>15000</v>
      </c>
      <c r="F4103" s="638" t="s">
        <v>10543</v>
      </c>
      <c r="G4103" s="644" t="s">
        <v>10544</v>
      </c>
      <c r="H4103" s="636" t="s">
        <v>2236</v>
      </c>
      <c r="I4103" s="636" t="s">
        <v>2180</v>
      </c>
      <c r="J4103" s="635" t="s">
        <v>2180</v>
      </c>
      <c r="K4103" s="760">
        <v>1</v>
      </c>
      <c r="L4103" s="760">
        <v>12</v>
      </c>
      <c r="M4103" s="736">
        <v>179095.99</v>
      </c>
      <c r="N4103" s="753">
        <v>1</v>
      </c>
      <c r="O4103" s="760">
        <v>6</v>
      </c>
      <c r="P4103" s="736">
        <v>91044.9</v>
      </c>
      <c r="Q4103" s="214"/>
    </row>
    <row r="4104" spans="1:17" ht="12" customHeight="1" x14ac:dyDescent="0.2">
      <c r="A4104" s="646" t="s">
        <v>10266</v>
      </c>
      <c r="B4104" s="735" t="s">
        <v>2170</v>
      </c>
      <c r="C4104" s="646" t="s">
        <v>451</v>
      </c>
      <c r="D4104" s="636" t="s">
        <v>2737</v>
      </c>
      <c r="E4104" s="759">
        <v>3500</v>
      </c>
      <c r="F4104" s="638" t="s">
        <v>10545</v>
      </c>
      <c r="G4104" s="644" t="s">
        <v>10546</v>
      </c>
      <c r="H4104" s="636" t="s">
        <v>3070</v>
      </c>
      <c r="I4104" s="636" t="s">
        <v>2180</v>
      </c>
      <c r="J4104" s="635" t="s">
        <v>2180</v>
      </c>
      <c r="K4104" s="760">
        <v>3</v>
      </c>
      <c r="L4104" s="760">
        <v>12</v>
      </c>
      <c r="M4104" s="736">
        <v>43907.57</v>
      </c>
      <c r="N4104" s="753">
        <v>7</v>
      </c>
      <c r="O4104" s="760">
        <v>1</v>
      </c>
      <c r="P4104" s="736">
        <v>6606.07</v>
      </c>
      <c r="Q4104" s="214"/>
    </row>
    <row r="4105" spans="1:17" ht="12" customHeight="1" x14ac:dyDescent="0.2">
      <c r="A4105" s="646" t="s">
        <v>10266</v>
      </c>
      <c r="B4105" s="735" t="s">
        <v>2170</v>
      </c>
      <c r="C4105" s="646" t="s">
        <v>451</v>
      </c>
      <c r="D4105" s="636" t="s">
        <v>10547</v>
      </c>
      <c r="E4105" s="759">
        <v>5000</v>
      </c>
      <c r="F4105" s="638" t="s">
        <v>10548</v>
      </c>
      <c r="G4105" s="644" t="s">
        <v>10549</v>
      </c>
      <c r="H4105" s="636" t="s">
        <v>2179</v>
      </c>
      <c r="I4105" s="636" t="s">
        <v>2180</v>
      </c>
      <c r="J4105" s="635" t="s">
        <v>2180</v>
      </c>
      <c r="K4105" s="760">
        <v>1</v>
      </c>
      <c r="L4105" s="760">
        <v>1</v>
      </c>
      <c r="M4105" s="736">
        <v>4946.7299999999996</v>
      </c>
      <c r="N4105" s="753">
        <v>3</v>
      </c>
      <c r="O4105" s="760">
        <v>6</v>
      </c>
      <c r="P4105" s="736">
        <v>31044.9</v>
      </c>
      <c r="Q4105" s="214"/>
    </row>
    <row r="4106" spans="1:17" ht="12" customHeight="1" x14ac:dyDescent="0.2">
      <c r="A4106" s="646" t="s">
        <v>10266</v>
      </c>
      <c r="B4106" s="735" t="s">
        <v>2170</v>
      </c>
      <c r="C4106" s="646" t="s">
        <v>451</v>
      </c>
      <c r="D4106" s="636" t="s">
        <v>10332</v>
      </c>
      <c r="E4106" s="759">
        <v>7000</v>
      </c>
      <c r="F4106" s="638" t="s">
        <v>10550</v>
      </c>
      <c r="G4106" s="644" t="s">
        <v>10551</v>
      </c>
      <c r="H4106" s="636" t="s">
        <v>2253</v>
      </c>
      <c r="I4106" s="636" t="s">
        <v>2253</v>
      </c>
      <c r="J4106" s="635" t="s">
        <v>2253</v>
      </c>
      <c r="K4106" s="760">
        <v>6</v>
      </c>
      <c r="L4106" s="760">
        <v>12</v>
      </c>
      <c r="M4106" s="736">
        <v>85960.8</v>
      </c>
      <c r="N4106" s="753">
        <v>10</v>
      </c>
      <c r="O4106" s="760">
        <v>6</v>
      </c>
      <c r="P4106" s="736">
        <v>43044.9</v>
      </c>
      <c r="Q4106" s="214"/>
    </row>
    <row r="4107" spans="1:17" ht="12" customHeight="1" x14ac:dyDescent="0.2">
      <c r="A4107" s="646" t="s">
        <v>10266</v>
      </c>
      <c r="B4107" s="735" t="s">
        <v>2170</v>
      </c>
      <c r="C4107" s="646" t="s">
        <v>451</v>
      </c>
      <c r="D4107" s="636" t="s">
        <v>10552</v>
      </c>
      <c r="E4107" s="759">
        <v>10000</v>
      </c>
      <c r="F4107" s="638" t="s">
        <v>10553</v>
      </c>
      <c r="G4107" s="644" t="s">
        <v>10554</v>
      </c>
      <c r="H4107" s="636" t="s">
        <v>10555</v>
      </c>
      <c r="I4107" s="636" t="s">
        <v>2180</v>
      </c>
      <c r="J4107" s="635" t="s">
        <v>2180</v>
      </c>
      <c r="K4107" s="760">
        <v>9</v>
      </c>
      <c r="L4107" s="760">
        <v>12</v>
      </c>
      <c r="M4107" s="736">
        <v>121545.53</v>
      </c>
      <c r="N4107" s="753">
        <v>13</v>
      </c>
      <c r="O4107" s="760">
        <v>6</v>
      </c>
      <c r="P4107" s="736">
        <v>61007.4</v>
      </c>
      <c r="Q4107" s="214"/>
    </row>
    <row r="4108" spans="1:17" ht="12" customHeight="1" x14ac:dyDescent="0.2">
      <c r="A4108" s="646" t="s">
        <v>10266</v>
      </c>
      <c r="B4108" s="735" t="s">
        <v>2170</v>
      </c>
      <c r="C4108" s="646" t="s">
        <v>451</v>
      </c>
      <c r="D4108" s="636" t="s">
        <v>10297</v>
      </c>
      <c r="E4108" s="759">
        <v>10000</v>
      </c>
      <c r="F4108" s="638" t="s">
        <v>10556</v>
      </c>
      <c r="G4108" s="644" t="s">
        <v>10557</v>
      </c>
      <c r="H4108" s="636" t="s">
        <v>10558</v>
      </c>
      <c r="I4108" s="636" t="s">
        <v>2180</v>
      </c>
      <c r="J4108" s="635" t="s">
        <v>2180</v>
      </c>
      <c r="K4108" s="760">
        <v>1</v>
      </c>
      <c r="L4108" s="760">
        <v>12</v>
      </c>
      <c r="M4108" s="736">
        <v>121960.8</v>
      </c>
      <c r="N4108" s="753">
        <v>2</v>
      </c>
      <c r="O4108" s="760">
        <v>6</v>
      </c>
      <c r="P4108" s="736">
        <v>61044.9</v>
      </c>
      <c r="Q4108" s="214"/>
    </row>
    <row r="4109" spans="1:17" ht="12" customHeight="1" x14ac:dyDescent="0.2">
      <c r="A4109" s="646" t="s">
        <v>10266</v>
      </c>
      <c r="B4109" s="735" t="s">
        <v>2170</v>
      </c>
      <c r="C4109" s="646" t="s">
        <v>451</v>
      </c>
      <c r="D4109" s="636" t="s">
        <v>9309</v>
      </c>
      <c r="E4109" s="759">
        <v>6000</v>
      </c>
      <c r="F4109" s="638" t="s">
        <v>10559</v>
      </c>
      <c r="G4109" s="644" t="s">
        <v>10560</v>
      </c>
      <c r="H4109" s="636" t="s">
        <v>10561</v>
      </c>
      <c r="I4109" s="636" t="s">
        <v>2180</v>
      </c>
      <c r="J4109" s="635" t="s">
        <v>2180</v>
      </c>
      <c r="K4109" s="760">
        <v>1</v>
      </c>
      <c r="L4109" s="760">
        <v>3</v>
      </c>
      <c r="M4109" s="736">
        <v>18064.86</v>
      </c>
      <c r="N4109" s="753">
        <v>0</v>
      </c>
      <c r="O4109" s="760">
        <v>0</v>
      </c>
      <c r="P4109" s="736">
        <v>0</v>
      </c>
      <c r="Q4109" s="214"/>
    </row>
    <row r="4110" spans="1:17" ht="12" customHeight="1" x14ac:dyDescent="0.2">
      <c r="A4110" s="646" t="s">
        <v>10266</v>
      </c>
      <c r="B4110" s="735" t="s">
        <v>2170</v>
      </c>
      <c r="C4110" s="646" t="s">
        <v>451</v>
      </c>
      <c r="D4110" s="636" t="s">
        <v>10562</v>
      </c>
      <c r="E4110" s="759">
        <v>12500</v>
      </c>
      <c r="F4110" s="638" t="s">
        <v>2994</v>
      </c>
      <c r="G4110" s="644" t="s">
        <v>2995</v>
      </c>
      <c r="H4110" s="636" t="s">
        <v>10563</v>
      </c>
      <c r="I4110" s="636" t="s">
        <v>2180</v>
      </c>
      <c r="J4110" s="635" t="s">
        <v>2180</v>
      </c>
      <c r="K4110" s="760">
        <v>2</v>
      </c>
      <c r="L4110" s="760">
        <v>8</v>
      </c>
      <c r="M4110" s="736">
        <v>100850.59</v>
      </c>
      <c r="N4110" s="753">
        <v>5</v>
      </c>
      <c r="O4110" s="760">
        <v>6</v>
      </c>
      <c r="P4110" s="736">
        <v>76042.299999999988</v>
      </c>
      <c r="Q4110" s="214"/>
    </row>
    <row r="4111" spans="1:17" ht="12" customHeight="1" x14ac:dyDescent="0.2">
      <c r="A4111" s="646" t="s">
        <v>10266</v>
      </c>
      <c r="B4111" s="735" t="s">
        <v>2170</v>
      </c>
      <c r="C4111" s="646" t="s">
        <v>451</v>
      </c>
      <c r="D4111" s="636" t="s">
        <v>10278</v>
      </c>
      <c r="E4111" s="759">
        <v>14000</v>
      </c>
      <c r="F4111" s="638" t="s">
        <v>10564</v>
      </c>
      <c r="G4111" s="644" t="s">
        <v>10565</v>
      </c>
      <c r="H4111" s="636" t="s">
        <v>10566</v>
      </c>
      <c r="I4111" s="636" t="s">
        <v>2180</v>
      </c>
      <c r="J4111" s="635" t="s">
        <v>2180</v>
      </c>
      <c r="K4111" s="760">
        <v>1</v>
      </c>
      <c r="L4111" s="760">
        <v>12</v>
      </c>
      <c r="M4111" s="736">
        <v>169960.8</v>
      </c>
      <c r="N4111" s="753">
        <v>1</v>
      </c>
      <c r="O4111" s="760">
        <v>6</v>
      </c>
      <c r="P4111" s="736">
        <v>85044.9</v>
      </c>
      <c r="Q4111" s="214"/>
    </row>
    <row r="4112" spans="1:17" ht="12" customHeight="1" x14ac:dyDescent="0.2">
      <c r="A4112" s="646" t="s">
        <v>10266</v>
      </c>
      <c r="B4112" s="735" t="s">
        <v>2170</v>
      </c>
      <c r="C4112" s="646" t="s">
        <v>451</v>
      </c>
      <c r="D4112" s="636" t="s">
        <v>10369</v>
      </c>
      <c r="E4112" s="759">
        <v>10000</v>
      </c>
      <c r="F4112" s="638" t="s">
        <v>10567</v>
      </c>
      <c r="G4112" s="644" t="s">
        <v>10568</v>
      </c>
      <c r="H4112" s="636" t="s">
        <v>2179</v>
      </c>
      <c r="I4112" s="636" t="s">
        <v>2180</v>
      </c>
      <c r="J4112" s="635" t="s">
        <v>2180</v>
      </c>
      <c r="K4112" s="760">
        <v>8</v>
      </c>
      <c r="L4112" s="760">
        <v>12</v>
      </c>
      <c r="M4112" s="736">
        <v>121741.36</v>
      </c>
      <c r="N4112" s="753">
        <v>12</v>
      </c>
      <c r="O4112" s="760">
        <v>6</v>
      </c>
      <c r="P4112" s="736">
        <v>61044.9</v>
      </c>
      <c r="Q4112" s="214"/>
    </row>
    <row r="4113" spans="1:17" ht="12" customHeight="1" x14ac:dyDescent="0.2">
      <c r="A4113" s="646" t="s">
        <v>10266</v>
      </c>
      <c r="B4113" s="735" t="s">
        <v>2170</v>
      </c>
      <c r="C4113" s="646" t="s">
        <v>451</v>
      </c>
      <c r="D4113" s="636" t="s">
        <v>10569</v>
      </c>
      <c r="E4113" s="759">
        <v>10000</v>
      </c>
      <c r="F4113" s="638" t="s">
        <v>10570</v>
      </c>
      <c r="G4113" s="644" t="s">
        <v>10571</v>
      </c>
      <c r="H4113" s="636" t="s">
        <v>10572</v>
      </c>
      <c r="I4113" s="636" t="s">
        <v>2180</v>
      </c>
      <c r="J4113" s="635" t="s">
        <v>2180</v>
      </c>
      <c r="K4113" s="760">
        <v>1</v>
      </c>
      <c r="L4113" s="760">
        <v>1</v>
      </c>
      <c r="M4113" s="736">
        <v>1780.0700000000002</v>
      </c>
      <c r="N4113" s="753">
        <v>4</v>
      </c>
      <c r="O4113" s="760">
        <v>6</v>
      </c>
      <c r="P4113" s="736">
        <v>61037.26</v>
      </c>
      <c r="Q4113" s="214"/>
    </row>
    <row r="4114" spans="1:17" ht="12" customHeight="1" x14ac:dyDescent="0.2">
      <c r="A4114" s="646" t="s">
        <v>10266</v>
      </c>
      <c r="B4114" s="735" t="s">
        <v>2170</v>
      </c>
      <c r="C4114" s="646" t="s">
        <v>451</v>
      </c>
      <c r="D4114" s="636" t="s">
        <v>6668</v>
      </c>
      <c r="E4114" s="759">
        <v>7500</v>
      </c>
      <c r="F4114" s="638" t="s">
        <v>10573</v>
      </c>
      <c r="G4114" s="644" t="s">
        <v>10574</v>
      </c>
      <c r="H4114" s="636" t="s">
        <v>3247</v>
      </c>
      <c r="I4114" s="636" t="s">
        <v>2180</v>
      </c>
      <c r="J4114" s="635" t="s">
        <v>2180</v>
      </c>
      <c r="K4114" s="760">
        <v>2</v>
      </c>
      <c r="L4114" s="760">
        <v>3</v>
      </c>
      <c r="M4114" s="736">
        <v>21340.16</v>
      </c>
      <c r="N4114" s="753">
        <v>0</v>
      </c>
      <c r="O4114" s="760">
        <v>0</v>
      </c>
      <c r="P4114" s="736">
        <v>0</v>
      </c>
      <c r="Q4114" s="214"/>
    </row>
    <row r="4115" spans="1:17" ht="12" customHeight="1" x14ac:dyDescent="0.2">
      <c r="A4115" s="646" t="s">
        <v>10266</v>
      </c>
      <c r="B4115" s="735" t="s">
        <v>2170</v>
      </c>
      <c r="C4115" s="646" t="s">
        <v>451</v>
      </c>
      <c r="D4115" s="636" t="s">
        <v>10575</v>
      </c>
      <c r="E4115" s="759">
        <v>10000</v>
      </c>
      <c r="F4115" s="638" t="s">
        <v>10576</v>
      </c>
      <c r="G4115" s="644" t="s">
        <v>10577</v>
      </c>
      <c r="H4115" s="636" t="s">
        <v>2197</v>
      </c>
      <c r="I4115" s="636" t="s">
        <v>2180</v>
      </c>
      <c r="J4115" s="635" t="s">
        <v>2180</v>
      </c>
      <c r="K4115" s="760">
        <v>19</v>
      </c>
      <c r="L4115" s="760">
        <v>12</v>
      </c>
      <c r="M4115" s="736">
        <v>121730.25</v>
      </c>
      <c r="N4115" s="753">
        <v>23</v>
      </c>
      <c r="O4115" s="760">
        <v>6</v>
      </c>
      <c r="P4115" s="736">
        <v>60571.98</v>
      </c>
      <c r="Q4115" s="214"/>
    </row>
    <row r="4116" spans="1:17" ht="12" customHeight="1" x14ac:dyDescent="0.2">
      <c r="A4116" s="646" t="s">
        <v>10266</v>
      </c>
      <c r="B4116" s="735" t="s">
        <v>2170</v>
      </c>
      <c r="C4116" s="646" t="s">
        <v>451</v>
      </c>
      <c r="D4116" s="636" t="s">
        <v>10578</v>
      </c>
      <c r="E4116" s="759">
        <v>10000</v>
      </c>
      <c r="F4116" s="638" t="s">
        <v>10579</v>
      </c>
      <c r="G4116" s="644" t="s">
        <v>10580</v>
      </c>
      <c r="H4116" s="636" t="s">
        <v>2179</v>
      </c>
      <c r="I4116" s="636" t="s">
        <v>2180</v>
      </c>
      <c r="J4116" s="635" t="s">
        <v>2180</v>
      </c>
      <c r="K4116" s="760">
        <v>2</v>
      </c>
      <c r="L4116" s="760">
        <v>4</v>
      </c>
      <c r="M4116" s="736">
        <v>40287.629999999997</v>
      </c>
      <c r="N4116" s="753">
        <v>4</v>
      </c>
      <c r="O4116" s="760">
        <v>6</v>
      </c>
      <c r="P4116" s="736">
        <v>60980.32</v>
      </c>
      <c r="Q4116" s="214"/>
    </row>
    <row r="4117" spans="1:17" ht="12" customHeight="1" x14ac:dyDescent="0.2">
      <c r="A4117" s="646" t="s">
        <v>10266</v>
      </c>
      <c r="B4117" s="735" t="s">
        <v>2170</v>
      </c>
      <c r="C4117" s="646" t="s">
        <v>451</v>
      </c>
      <c r="D4117" s="636" t="s">
        <v>10581</v>
      </c>
      <c r="E4117" s="759">
        <v>2000</v>
      </c>
      <c r="F4117" s="638" t="s">
        <v>10582</v>
      </c>
      <c r="G4117" s="644" t="s">
        <v>10583</v>
      </c>
      <c r="H4117" s="636" t="s">
        <v>10584</v>
      </c>
      <c r="I4117" s="636" t="s">
        <v>2766</v>
      </c>
      <c r="J4117" s="635" t="s">
        <v>2766</v>
      </c>
      <c r="K4117" s="760">
        <v>1</v>
      </c>
      <c r="L4117" s="760">
        <v>1</v>
      </c>
      <c r="M4117" s="736">
        <v>1308</v>
      </c>
      <c r="N4117" s="753">
        <v>4</v>
      </c>
      <c r="O4117" s="760">
        <v>6</v>
      </c>
      <c r="P4117" s="736">
        <v>13035.88</v>
      </c>
      <c r="Q4117" s="214"/>
    </row>
    <row r="4118" spans="1:17" ht="12" customHeight="1" x14ac:dyDescent="0.2">
      <c r="A4118" s="646" t="s">
        <v>10266</v>
      </c>
      <c r="B4118" s="735" t="s">
        <v>2170</v>
      </c>
      <c r="C4118" s="646" t="s">
        <v>451</v>
      </c>
      <c r="D4118" s="636" t="s">
        <v>2946</v>
      </c>
      <c r="E4118" s="759">
        <v>12500</v>
      </c>
      <c r="F4118" s="638" t="s">
        <v>10585</v>
      </c>
      <c r="G4118" s="644" t="s">
        <v>10586</v>
      </c>
      <c r="H4118" s="636" t="s">
        <v>2317</v>
      </c>
      <c r="I4118" s="636" t="s">
        <v>2180</v>
      </c>
      <c r="J4118" s="635" t="s">
        <v>2180</v>
      </c>
      <c r="K4118" s="760">
        <v>3</v>
      </c>
      <c r="L4118" s="760">
        <v>7</v>
      </c>
      <c r="M4118" s="761">
        <v>64676.22</v>
      </c>
      <c r="N4118" s="753">
        <v>0</v>
      </c>
      <c r="O4118" s="760">
        <v>0</v>
      </c>
      <c r="P4118" s="736">
        <v>0</v>
      </c>
      <c r="Q4118" s="214"/>
    </row>
    <row r="4119" spans="1:17" ht="12" customHeight="1" x14ac:dyDescent="0.2">
      <c r="A4119" s="646" t="s">
        <v>10266</v>
      </c>
      <c r="B4119" s="735" t="s">
        <v>2170</v>
      </c>
      <c r="C4119" s="646" t="s">
        <v>451</v>
      </c>
      <c r="D4119" s="636" t="s">
        <v>10587</v>
      </c>
      <c r="E4119" s="759">
        <v>12500</v>
      </c>
      <c r="F4119" s="638" t="s">
        <v>10585</v>
      </c>
      <c r="G4119" s="644" t="s">
        <v>10586</v>
      </c>
      <c r="H4119" s="636" t="s">
        <v>2317</v>
      </c>
      <c r="I4119" s="636" t="s">
        <v>2180</v>
      </c>
      <c r="J4119" s="635" t="s">
        <v>2180</v>
      </c>
      <c r="K4119" s="760">
        <v>2</v>
      </c>
      <c r="L4119" s="760">
        <v>7</v>
      </c>
      <c r="M4119" s="736">
        <v>87707.199999999997</v>
      </c>
      <c r="N4119" s="753">
        <v>5</v>
      </c>
      <c r="O4119" s="760">
        <v>6</v>
      </c>
      <c r="P4119" s="736">
        <v>75628.23</v>
      </c>
      <c r="Q4119" s="214"/>
    </row>
    <row r="4120" spans="1:17" ht="12" customHeight="1" x14ac:dyDescent="0.2">
      <c r="A4120" s="646" t="s">
        <v>10266</v>
      </c>
      <c r="B4120" s="735" t="s">
        <v>2170</v>
      </c>
      <c r="C4120" s="646" t="s">
        <v>451</v>
      </c>
      <c r="D4120" s="636" t="s">
        <v>10588</v>
      </c>
      <c r="E4120" s="759">
        <v>10000</v>
      </c>
      <c r="F4120" s="638" t="s">
        <v>10589</v>
      </c>
      <c r="G4120" s="644" t="s">
        <v>10590</v>
      </c>
      <c r="H4120" s="636" t="s">
        <v>2543</v>
      </c>
      <c r="I4120" s="636" t="s">
        <v>2180</v>
      </c>
      <c r="J4120" s="635" t="s">
        <v>2180</v>
      </c>
      <c r="K4120" s="760">
        <v>2</v>
      </c>
      <c r="L4120" s="760">
        <v>4</v>
      </c>
      <c r="M4120" s="736">
        <v>35320.269999999997</v>
      </c>
      <c r="N4120" s="753">
        <v>4</v>
      </c>
      <c r="O4120" s="760">
        <v>6</v>
      </c>
      <c r="P4120" s="736">
        <v>61044.9</v>
      </c>
      <c r="Q4120" s="214"/>
    </row>
    <row r="4121" spans="1:17" ht="12" customHeight="1" x14ac:dyDescent="0.2">
      <c r="A4121" s="646" t="s">
        <v>10266</v>
      </c>
      <c r="B4121" s="735" t="s">
        <v>2170</v>
      </c>
      <c r="C4121" s="646" t="s">
        <v>451</v>
      </c>
      <c r="D4121" s="636" t="s">
        <v>10591</v>
      </c>
      <c r="E4121" s="759">
        <v>8000</v>
      </c>
      <c r="F4121" s="638" t="s">
        <v>10592</v>
      </c>
      <c r="G4121" s="644" t="s">
        <v>10593</v>
      </c>
      <c r="H4121" s="636" t="s">
        <v>2543</v>
      </c>
      <c r="I4121" s="636" t="s">
        <v>2180</v>
      </c>
      <c r="J4121" s="635" t="s">
        <v>2180</v>
      </c>
      <c r="K4121" s="760">
        <v>1</v>
      </c>
      <c r="L4121" s="760">
        <v>3</v>
      </c>
      <c r="M4121" s="736">
        <v>20702.43</v>
      </c>
      <c r="N4121" s="753">
        <v>3</v>
      </c>
      <c r="O4121" s="760">
        <v>6</v>
      </c>
      <c r="P4121" s="736">
        <v>48902.67</v>
      </c>
      <c r="Q4121" s="214"/>
    </row>
    <row r="4122" spans="1:17" ht="12" customHeight="1" x14ac:dyDescent="0.2">
      <c r="A4122" s="646" t="s">
        <v>10266</v>
      </c>
      <c r="B4122" s="735" t="s">
        <v>2170</v>
      </c>
      <c r="C4122" s="646" t="s">
        <v>451</v>
      </c>
      <c r="D4122" s="636" t="s">
        <v>10329</v>
      </c>
      <c r="E4122" s="759">
        <v>10000</v>
      </c>
      <c r="F4122" s="638" t="s">
        <v>10594</v>
      </c>
      <c r="G4122" s="644" t="s">
        <v>10595</v>
      </c>
      <c r="H4122" s="636" t="s">
        <v>10596</v>
      </c>
      <c r="I4122" s="636" t="s">
        <v>2180</v>
      </c>
      <c r="J4122" s="635" t="s">
        <v>2180</v>
      </c>
      <c r="K4122" s="760">
        <v>1</v>
      </c>
      <c r="L4122" s="760">
        <v>12</v>
      </c>
      <c r="M4122" s="736">
        <v>121960.8</v>
      </c>
      <c r="N4122" s="753">
        <v>1</v>
      </c>
      <c r="O4122" s="760">
        <v>6</v>
      </c>
      <c r="P4122" s="736">
        <v>61044.9</v>
      </c>
      <c r="Q4122" s="214"/>
    </row>
    <row r="4123" spans="1:17" ht="12" customHeight="1" x14ac:dyDescent="0.2">
      <c r="A4123" s="646" t="s">
        <v>10266</v>
      </c>
      <c r="B4123" s="735" t="s">
        <v>2170</v>
      </c>
      <c r="C4123" s="646" t="s">
        <v>451</v>
      </c>
      <c r="D4123" s="636" t="s">
        <v>10323</v>
      </c>
      <c r="E4123" s="759">
        <v>5500</v>
      </c>
      <c r="F4123" s="638" t="s">
        <v>10597</v>
      </c>
      <c r="G4123" s="644" t="s">
        <v>10598</v>
      </c>
      <c r="H4123" s="636" t="s">
        <v>2253</v>
      </c>
      <c r="I4123" s="636" t="s">
        <v>2253</v>
      </c>
      <c r="J4123" s="635" t="s">
        <v>2253</v>
      </c>
      <c r="K4123" s="760">
        <v>2</v>
      </c>
      <c r="L4123" s="760">
        <v>5</v>
      </c>
      <c r="M4123" s="736">
        <v>25617</v>
      </c>
      <c r="N4123" s="753">
        <v>5</v>
      </c>
      <c r="O4123" s="760">
        <v>6</v>
      </c>
      <c r="P4123" s="736">
        <v>34044.9</v>
      </c>
      <c r="Q4123" s="214"/>
    </row>
    <row r="4124" spans="1:17" ht="12" customHeight="1" x14ac:dyDescent="0.2">
      <c r="A4124" s="646" t="s">
        <v>10266</v>
      </c>
      <c r="B4124" s="735" t="s">
        <v>2170</v>
      </c>
      <c r="C4124" s="646" t="s">
        <v>451</v>
      </c>
      <c r="D4124" s="636" t="s">
        <v>10278</v>
      </c>
      <c r="E4124" s="759">
        <v>10000</v>
      </c>
      <c r="F4124" s="638" t="s">
        <v>10599</v>
      </c>
      <c r="G4124" s="644" t="s">
        <v>10600</v>
      </c>
      <c r="H4124" s="636" t="s">
        <v>2275</v>
      </c>
      <c r="I4124" s="636" t="s">
        <v>2180</v>
      </c>
      <c r="J4124" s="635" t="s">
        <v>2180</v>
      </c>
      <c r="K4124" s="760">
        <v>0</v>
      </c>
      <c r="L4124" s="760">
        <v>0</v>
      </c>
      <c r="M4124" s="736">
        <v>0</v>
      </c>
      <c r="N4124" s="753">
        <v>1</v>
      </c>
      <c r="O4124" s="760">
        <v>1</v>
      </c>
      <c r="P4124" s="736">
        <v>7507.48</v>
      </c>
      <c r="Q4124" s="214"/>
    </row>
    <row r="4125" spans="1:17" ht="12" customHeight="1" x14ac:dyDescent="0.2">
      <c r="A4125" s="646" t="s">
        <v>10266</v>
      </c>
      <c r="B4125" s="735" t="s">
        <v>2170</v>
      </c>
      <c r="C4125" s="646" t="s">
        <v>451</v>
      </c>
      <c r="D4125" s="636" t="s">
        <v>10601</v>
      </c>
      <c r="E4125" s="759">
        <v>10000</v>
      </c>
      <c r="F4125" s="638" t="s">
        <v>10602</v>
      </c>
      <c r="G4125" s="644" t="s">
        <v>10603</v>
      </c>
      <c r="H4125" s="636" t="s">
        <v>10604</v>
      </c>
      <c r="I4125" s="636" t="s">
        <v>2766</v>
      </c>
      <c r="J4125" s="635" t="s">
        <v>2766</v>
      </c>
      <c r="K4125" s="760">
        <v>11</v>
      </c>
      <c r="L4125" s="760">
        <v>12</v>
      </c>
      <c r="M4125" s="736">
        <v>121598.3</v>
      </c>
      <c r="N4125" s="753">
        <v>15</v>
      </c>
      <c r="O4125" s="760">
        <v>6</v>
      </c>
      <c r="P4125" s="736">
        <v>60968.510000000009</v>
      </c>
      <c r="Q4125" s="214"/>
    </row>
    <row r="4126" spans="1:17" ht="12" customHeight="1" x14ac:dyDescent="0.2">
      <c r="A4126" s="646" t="s">
        <v>10266</v>
      </c>
      <c r="B4126" s="735" t="s">
        <v>2170</v>
      </c>
      <c r="C4126" s="646" t="s">
        <v>451</v>
      </c>
      <c r="D4126" s="636" t="s">
        <v>10358</v>
      </c>
      <c r="E4126" s="759">
        <v>10000</v>
      </c>
      <c r="F4126" s="638" t="s">
        <v>10605</v>
      </c>
      <c r="G4126" s="644" t="s">
        <v>10606</v>
      </c>
      <c r="H4126" s="636" t="s">
        <v>10499</v>
      </c>
      <c r="I4126" s="636" t="s">
        <v>2180</v>
      </c>
      <c r="J4126" s="635" t="s">
        <v>2180</v>
      </c>
      <c r="K4126" s="760">
        <v>9</v>
      </c>
      <c r="L4126" s="760">
        <v>12</v>
      </c>
      <c r="M4126" s="736">
        <v>121686.49</v>
      </c>
      <c r="N4126" s="753">
        <v>13</v>
      </c>
      <c r="O4126" s="760">
        <v>6</v>
      </c>
      <c r="P4126" s="736">
        <v>60921.99</v>
      </c>
      <c r="Q4126" s="214"/>
    </row>
    <row r="4127" spans="1:17" ht="12" customHeight="1" x14ac:dyDescent="0.2">
      <c r="A4127" s="646" t="s">
        <v>10266</v>
      </c>
      <c r="B4127" s="735" t="s">
        <v>2170</v>
      </c>
      <c r="C4127" s="646" t="s">
        <v>451</v>
      </c>
      <c r="D4127" s="636" t="s">
        <v>10607</v>
      </c>
      <c r="E4127" s="759">
        <v>15000</v>
      </c>
      <c r="F4127" s="638" t="s">
        <v>10608</v>
      </c>
      <c r="G4127" s="644" t="s">
        <v>10609</v>
      </c>
      <c r="H4127" s="636" t="s">
        <v>10610</v>
      </c>
      <c r="I4127" s="636" t="s">
        <v>2180</v>
      </c>
      <c r="J4127" s="635" t="s">
        <v>2180</v>
      </c>
      <c r="K4127" s="760">
        <v>1</v>
      </c>
      <c r="L4127" s="760">
        <v>3</v>
      </c>
      <c r="M4127" s="736">
        <v>56215.270000000004</v>
      </c>
      <c r="N4127" s="753">
        <v>0</v>
      </c>
      <c r="O4127" s="760">
        <v>0</v>
      </c>
      <c r="P4127" s="736">
        <v>0</v>
      </c>
      <c r="Q4127" s="214"/>
    </row>
    <row r="4128" spans="1:17" ht="12" customHeight="1" x14ac:dyDescent="0.2">
      <c r="A4128" s="646" t="s">
        <v>10266</v>
      </c>
      <c r="B4128" s="735" t="s">
        <v>2170</v>
      </c>
      <c r="C4128" s="646" t="s">
        <v>451</v>
      </c>
      <c r="D4128" s="636" t="s">
        <v>10611</v>
      </c>
      <c r="E4128" s="759">
        <v>14000</v>
      </c>
      <c r="F4128" s="638" t="s">
        <v>10612</v>
      </c>
      <c r="G4128" s="644" t="s">
        <v>10613</v>
      </c>
      <c r="H4128" s="636" t="s">
        <v>2189</v>
      </c>
      <c r="I4128" s="636" t="s">
        <v>2180</v>
      </c>
      <c r="J4128" s="635" t="s">
        <v>2180</v>
      </c>
      <c r="K4128" s="760">
        <v>7</v>
      </c>
      <c r="L4128" s="760">
        <v>2</v>
      </c>
      <c r="M4128" s="736">
        <v>45645.75</v>
      </c>
      <c r="N4128" s="753">
        <v>0</v>
      </c>
      <c r="O4128" s="760">
        <v>0</v>
      </c>
      <c r="P4128" s="736">
        <v>0</v>
      </c>
      <c r="Q4128" s="214"/>
    </row>
    <row r="4129" spans="1:17" ht="12" customHeight="1" x14ac:dyDescent="0.2">
      <c r="A4129" s="646" t="s">
        <v>10266</v>
      </c>
      <c r="B4129" s="735" t="s">
        <v>2170</v>
      </c>
      <c r="C4129" s="646" t="s">
        <v>451</v>
      </c>
      <c r="D4129" s="636" t="s">
        <v>10614</v>
      </c>
      <c r="E4129" s="759">
        <v>8000</v>
      </c>
      <c r="F4129" s="638" t="s">
        <v>10615</v>
      </c>
      <c r="G4129" s="644" t="s">
        <v>10616</v>
      </c>
      <c r="H4129" s="636" t="s">
        <v>10617</v>
      </c>
      <c r="I4129" s="636" t="s">
        <v>2180</v>
      </c>
      <c r="J4129" s="635" t="s">
        <v>2180</v>
      </c>
      <c r="K4129" s="760">
        <v>2</v>
      </c>
      <c r="L4129" s="760">
        <v>4</v>
      </c>
      <c r="M4129" s="736">
        <v>32386.93</v>
      </c>
      <c r="N4129" s="753">
        <v>4</v>
      </c>
      <c r="O4129" s="760">
        <v>6</v>
      </c>
      <c r="P4129" s="736">
        <v>49044.9</v>
      </c>
      <c r="Q4129" s="214"/>
    </row>
    <row r="4130" spans="1:17" ht="12" customHeight="1" x14ac:dyDescent="0.2">
      <c r="A4130" s="646" t="s">
        <v>10266</v>
      </c>
      <c r="B4130" s="735" t="s">
        <v>2170</v>
      </c>
      <c r="C4130" s="646" t="s">
        <v>451</v>
      </c>
      <c r="D4130" s="636" t="s">
        <v>10275</v>
      </c>
      <c r="E4130" s="759">
        <v>10000</v>
      </c>
      <c r="F4130" s="638" t="s">
        <v>10618</v>
      </c>
      <c r="G4130" s="644" t="s">
        <v>10619</v>
      </c>
      <c r="H4130" s="636" t="s">
        <v>2174</v>
      </c>
      <c r="I4130" s="636" t="s">
        <v>2180</v>
      </c>
      <c r="J4130" s="635" t="s">
        <v>2180</v>
      </c>
      <c r="K4130" s="760">
        <v>1</v>
      </c>
      <c r="L4130" s="760">
        <v>11</v>
      </c>
      <c r="M4130" s="736">
        <v>111808.41</v>
      </c>
      <c r="N4130" s="753">
        <v>1</v>
      </c>
      <c r="O4130" s="760">
        <v>0</v>
      </c>
      <c r="P4130" s="736">
        <v>0</v>
      </c>
      <c r="Q4130" s="214"/>
    </row>
    <row r="4131" spans="1:17" ht="12" customHeight="1" x14ac:dyDescent="0.2">
      <c r="A4131" s="646" t="s">
        <v>10266</v>
      </c>
      <c r="B4131" s="735" t="s">
        <v>2170</v>
      </c>
      <c r="C4131" s="646" t="s">
        <v>451</v>
      </c>
      <c r="D4131" s="636" t="s">
        <v>2369</v>
      </c>
      <c r="E4131" s="759">
        <v>3500</v>
      </c>
      <c r="F4131" s="638" t="s">
        <v>10620</v>
      </c>
      <c r="G4131" s="644" t="s">
        <v>10621</v>
      </c>
      <c r="H4131" s="636" t="s">
        <v>3522</v>
      </c>
      <c r="I4131" s="636" t="s">
        <v>643</v>
      </c>
      <c r="J4131" s="635" t="s">
        <v>643</v>
      </c>
      <c r="K4131" s="760">
        <v>2</v>
      </c>
      <c r="L4131" s="760">
        <v>7</v>
      </c>
      <c r="M4131" s="736">
        <v>24164.63</v>
      </c>
      <c r="N4131" s="753">
        <v>4</v>
      </c>
      <c r="O4131" s="760">
        <v>6</v>
      </c>
      <c r="P4131" s="736">
        <v>22044.9</v>
      </c>
      <c r="Q4131" s="214"/>
    </row>
    <row r="4132" spans="1:17" ht="12" customHeight="1" x14ac:dyDescent="0.2">
      <c r="A4132" s="646" t="s">
        <v>10266</v>
      </c>
      <c r="B4132" s="735" t="s">
        <v>2170</v>
      </c>
      <c r="C4132" s="646" t="s">
        <v>451</v>
      </c>
      <c r="D4132" s="636" t="s">
        <v>10275</v>
      </c>
      <c r="E4132" s="759">
        <v>10000</v>
      </c>
      <c r="F4132" s="638" t="s">
        <v>10622</v>
      </c>
      <c r="G4132" s="644" t="s">
        <v>10623</v>
      </c>
      <c r="H4132" s="636" t="s">
        <v>2625</v>
      </c>
      <c r="I4132" s="636" t="s">
        <v>2180</v>
      </c>
      <c r="J4132" s="635" t="s">
        <v>2180</v>
      </c>
      <c r="K4132" s="760">
        <v>1</v>
      </c>
      <c r="L4132" s="760">
        <v>12</v>
      </c>
      <c r="M4132" s="736">
        <v>121960.8</v>
      </c>
      <c r="N4132" s="753">
        <v>1</v>
      </c>
      <c r="O4132" s="760">
        <v>6</v>
      </c>
      <c r="P4132" s="736">
        <v>61044.9</v>
      </c>
      <c r="Q4132" s="214"/>
    </row>
    <row r="4133" spans="1:17" ht="12" customHeight="1" x14ac:dyDescent="0.2">
      <c r="A4133" s="646" t="s">
        <v>10266</v>
      </c>
      <c r="B4133" s="735" t="s">
        <v>2170</v>
      </c>
      <c r="C4133" s="646" t="s">
        <v>451</v>
      </c>
      <c r="D4133" s="636" t="s">
        <v>10624</v>
      </c>
      <c r="E4133" s="759">
        <v>12500</v>
      </c>
      <c r="F4133" s="638" t="s">
        <v>10625</v>
      </c>
      <c r="G4133" s="644" t="s">
        <v>10626</v>
      </c>
      <c r="H4133" s="636" t="s">
        <v>2174</v>
      </c>
      <c r="I4133" s="636" t="s">
        <v>2180</v>
      </c>
      <c r="J4133" s="635" t="s">
        <v>2180</v>
      </c>
      <c r="K4133" s="760">
        <v>2</v>
      </c>
      <c r="L4133" s="760">
        <v>10</v>
      </c>
      <c r="M4133" s="736">
        <v>87760.47</v>
      </c>
      <c r="N4133" s="753">
        <v>4</v>
      </c>
      <c r="O4133" s="760">
        <v>6</v>
      </c>
      <c r="P4133" s="736">
        <v>76044.899999999994</v>
      </c>
      <c r="Q4133" s="214"/>
    </row>
    <row r="4134" spans="1:17" ht="12" customHeight="1" x14ac:dyDescent="0.2">
      <c r="A4134" s="646" t="s">
        <v>10266</v>
      </c>
      <c r="B4134" s="735" t="s">
        <v>2170</v>
      </c>
      <c r="C4134" s="646" t="s">
        <v>451</v>
      </c>
      <c r="D4134" s="636" t="s">
        <v>10332</v>
      </c>
      <c r="E4134" s="759">
        <v>7000</v>
      </c>
      <c r="F4134" s="638" t="s">
        <v>10627</v>
      </c>
      <c r="G4134" s="644" t="s">
        <v>10628</v>
      </c>
      <c r="H4134" s="636" t="s">
        <v>2253</v>
      </c>
      <c r="I4134" s="636" t="s">
        <v>2253</v>
      </c>
      <c r="J4134" s="635" t="s">
        <v>2253</v>
      </c>
      <c r="K4134" s="760">
        <v>7</v>
      </c>
      <c r="L4134" s="760">
        <v>12</v>
      </c>
      <c r="M4134" s="736">
        <v>85960.8</v>
      </c>
      <c r="N4134" s="753">
        <v>12</v>
      </c>
      <c r="O4134" s="760">
        <v>6</v>
      </c>
      <c r="P4134" s="736">
        <v>43044.9</v>
      </c>
      <c r="Q4134" s="214"/>
    </row>
    <row r="4135" spans="1:17" ht="12" customHeight="1" x14ac:dyDescent="0.2">
      <c r="A4135" s="646" t="s">
        <v>10266</v>
      </c>
      <c r="B4135" s="735" t="s">
        <v>2170</v>
      </c>
      <c r="C4135" s="646" t="s">
        <v>451</v>
      </c>
      <c r="D4135" s="636" t="s">
        <v>10278</v>
      </c>
      <c r="E4135" s="759">
        <v>10000</v>
      </c>
      <c r="F4135" s="638" t="s">
        <v>10629</v>
      </c>
      <c r="G4135" s="644" t="s">
        <v>10630</v>
      </c>
      <c r="H4135" s="636" t="s">
        <v>6778</v>
      </c>
      <c r="I4135" s="636" t="s">
        <v>2180</v>
      </c>
      <c r="J4135" s="635" t="s">
        <v>2180</v>
      </c>
      <c r="K4135" s="760">
        <v>1</v>
      </c>
      <c r="L4135" s="760">
        <v>6</v>
      </c>
      <c r="M4135" s="736">
        <v>60924.86</v>
      </c>
      <c r="N4135" s="753">
        <v>1</v>
      </c>
      <c r="O4135" s="760">
        <v>0</v>
      </c>
      <c r="P4135" s="736">
        <v>0</v>
      </c>
      <c r="Q4135" s="214"/>
    </row>
    <row r="4136" spans="1:17" ht="12" customHeight="1" x14ac:dyDescent="0.2">
      <c r="A4136" s="646" t="s">
        <v>10266</v>
      </c>
      <c r="B4136" s="735" t="s">
        <v>2170</v>
      </c>
      <c r="C4136" s="646" t="s">
        <v>451</v>
      </c>
      <c r="D4136" s="636" t="s">
        <v>10631</v>
      </c>
      <c r="E4136" s="759">
        <v>8000</v>
      </c>
      <c r="F4136" s="638" t="s">
        <v>10632</v>
      </c>
      <c r="G4136" s="644" t="s">
        <v>10633</v>
      </c>
      <c r="H4136" s="636" t="s">
        <v>10634</v>
      </c>
      <c r="I4136" s="636" t="s">
        <v>2180</v>
      </c>
      <c r="J4136" s="635" t="s">
        <v>2180</v>
      </c>
      <c r="K4136" s="760">
        <v>1</v>
      </c>
      <c r="L4136" s="760">
        <v>1</v>
      </c>
      <c r="M4136" s="736">
        <v>5980.07</v>
      </c>
      <c r="N4136" s="753">
        <v>3</v>
      </c>
      <c r="O4136" s="760">
        <v>6</v>
      </c>
      <c r="P4136" s="736">
        <v>48953.23</v>
      </c>
      <c r="Q4136" s="214"/>
    </row>
    <row r="4137" spans="1:17" ht="12" customHeight="1" x14ac:dyDescent="0.2">
      <c r="A4137" s="646" t="s">
        <v>10266</v>
      </c>
      <c r="B4137" s="735" t="s">
        <v>2170</v>
      </c>
      <c r="C4137" s="646" t="s">
        <v>451</v>
      </c>
      <c r="D4137" s="636" t="s">
        <v>2261</v>
      </c>
      <c r="E4137" s="759">
        <v>3500</v>
      </c>
      <c r="F4137" s="638" t="s">
        <v>10635</v>
      </c>
      <c r="G4137" s="644" t="s">
        <v>10636</v>
      </c>
      <c r="H4137" s="636" t="s">
        <v>10637</v>
      </c>
      <c r="I4137" s="636" t="s">
        <v>2180</v>
      </c>
      <c r="J4137" s="635" t="s">
        <v>2180</v>
      </c>
      <c r="K4137" s="760">
        <v>4</v>
      </c>
      <c r="L4137" s="760">
        <v>12</v>
      </c>
      <c r="M4137" s="736">
        <v>43403.47</v>
      </c>
      <c r="N4137" s="753">
        <v>8</v>
      </c>
      <c r="O4137" s="760">
        <v>6</v>
      </c>
      <c r="P4137" s="736">
        <v>22040.77</v>
      </c>
      <c r="Q4137" s="214"/>
    </row>
    <row r="4138" spans="1:17" ht="12" customHeight="1" x14ac:dyDescent="0.2">
      <c r="A4138" s="646" t="s">
        <v>10266</v>
      </c>
      <c r="B4138" s="735" t="s">
        <v>2170</v>
      </c>
      <c r="C4138" s="646" t="s">
        <v>451</v>
      </c>
      <c r="D4138" s="636" t="s">
        <v>10638</v>
      </c>
      <c r="E4138" s="759">
        <v>8000</v>
      </c>
      <c r="F4138" s="638" t="s">
        <v>10639</v>
      </c>
      <c r="G4138" s="644" t="s">
        <v>10640</v>
      </c>
      <c r="H4138" s="636" t="s">
        <v>10641</v>
      </c>
      <c r="I4138" s="636" t="s">
        <v>2180</v>
      </c>
      <c r="J4138" s="635" t="s">
        <v>2180</v>
      </c>
      <c r="K4138" s="760">
        <v>1</v>
      </c>
      <c r="L4138" s="760">
        <v>1</v>
      </c>
      <c r="M4138" s="736">
        <v>350.37</v>
      </c>
      <c r="N4138" s="753">
        <v>3</v>
      </c>
      <c r="O4138" s="760">
        <v>6</v>
      </c>
      <c r="P4138" s="736">
        <v>48941.57</v>
      </c>
      <c r="Q4138" s="214"/>
    </row>
    <row r="4139" spans="1:17" ht="12" customHeight="1" x14ac:dyDescent="0.2">
      <c r="A4139" s="646" t="s">
        <v>10266</v>
      </c>
      <c r="B4139" s="735" t="s">
        <v>2170</v>
      </c>
      <c r="C4139" s="646" t="s">
        <v>451</v>
      </c>
      <c r="D4139" s="636" t="s">
        <v>10323</v>
      </c>
      <c r="E4139" s="759">
        <v>5500</v>
      </c>
      <c r="F4139" s="638" t="s">
        <v>10642</v>
      </c>
      <c r="G4139" s="644" t="s">
        <v>10643</v>
      </c>
      <c r="H4139" s="636" t="s">
        <v>2253</v>
      </c>
      <c r="I4139" s="636" t="s">
        <v>2253</v>
      </c>
      <c r="J4139" s="635" t="s">
        <v>2253</v>
      </c>
      <c r="K4139" s="760">
        <v>3</v>
      </c>
      <c r="L4139" s="760">
        <v>5</v>
      </c>
      <c r="M4139" s="736">
        <v>28367</v>
      </c>
      <c r="N4139" s="753">
        <v>5</v>
      </c>
      <c r="O4139" s="760">
        <v>6</v>
      </c>
      <c r="P4139" s="736">
        <v>34044.9</v>
      </c>
      <c r="Q4139" s="214"/>
    </row>
    <row r="4140" spans="1:17" ht="12" customHeight="1" x14ac:dyDescent="0.2">
      <c r="A4140" s="646" t="s">
        <v>10266</v>
      </c>
      <c r="B4140" s="735" t="s">
        <v>2170</v>
      </c>
      <c r="C4140" s="646" t="s">
        <v>451</v>
      </c>
      <c r="D4140" s="636" t="s">
        <v>5425</v>
      </c>
      <c r="E4140" s="759">
        <v>8000</v>
      </c>
      <c r="F4140" s="638" t="s">
        <v>10644</v>
      </c>
      <c r="G4140" s="644" t="s">
        <v>10645</v>
      </c>
      <c r="H4140" s="636" t="s">
        <v>10646</v>
      </c>
      <c r="I4140" s="636" t="s">
        <v>2180</v>
      </c>
      <c r="J4140" s="635" t="s">
        <v>2180</v>
      </c>
      <c r="K4140" s="760">
        <v>6</v>
      </c>
      <c r="L4140" s="760">
        <v>3</v>
      </c>
      <c r="M4140" s="736">
        <v>36290.699999999997</v>
      </c>
      <c r="N4140" s="753">
        <v>0</v>
      </c>
      <c r="O4140" s="760">
        <v>0</v>
      </c>
      <c r="P4140" s="736">
        <v>0</v>
      </c>
      <c r="Q4140" s="214"/>
    </row>
    <row r="4141" spans="1:17" ht="12" customHeight="1" x14ac:dyDescent="0.2">
      <c r="A4141" s="646" t="s">
        <v>10266</v>
      </c>
      <c r="B4141" s="735" t="s">
        <v>2170</v>
      </c>
      <c r="C4141" s="646" t="s">
        <v>451</v>
      </c>
      <c r="D4141" s="636" t="s">
        <v>10329</v>
      </c>
      <c r="E4141" s="759">
        <v>8000</v>
      </c>
      <c r="F4141" s="638" t="s">
        <v>10647</v>
      </c>
      <c r="G4141" s="644" t="s">
        <v>10648</v>
      </c>
      <c r="H4141" s="636" t="s">
        <v>2179</v>
      </c>
      <c r="I4141" s="636" t="s">
        <v>2180</v>
      </c>
      <c r="J4141" s="635" t="s">
        <v>2180</v>
      </c>
      <c r="K4141" s="760">
        <v>1</v>
      </c>
      <c r="L4141" s="760">
        <v>4</v>
      </c>
      <c r="M4141" s="736">
        <v>28589.22</v>
      </c>
      <c r="N4141" s="753">
        <v>1</v>
      </c>
      <c r="O4141" s="760">
        <v>0</v>
      </c>
      <c r="P4141" s="736">
        <v>0</v>
      </c>
      <c r="Q4141" s="214"/>
    </row>
    <row r="4142" spans="1:17" ht="12" customHeight="1" x14ac:dyDescent="0.2">
      <c r="A4142" s="646" t="s">
        <v>10266</v>
      </c>
      <c r="B4142" s="735" t="s">
        <v>2170</v>
      </c>
      <c r="C4142" s="646" t="s">
        <v>451</v>
      </c>
      <c r="D4142" s="636" t="s">
        <v>10510</v>
      </c>
      <c r="E4142" s="759">
        <v>8000</v>
      </c>
      <c r="F4142" s="638" t="s">
        <v>10649</v>
      </c>
      <c r="G4142" s="644" t="s">
        <v>10650</v>
      </c>
      <c r="H4142" s="636" t="s">
        <v>2174</v>
      </c>
      <c r="I4142" s="636" t="s">
        <v>2180</v>
      </c>
      <c r="J4142" s="635" t="s">
        <v>2180</v>
      </c>
      <c r="K4142" s="760">
        <v>6</v>
      </c>
      <c r="L4142" s="760">
        <v>2</v>
      </c>
      <c r="M4142" s="736">
        <v>25002.85</v>
      </c>
      <c r="N4142" s="753">
        <v>0</v>
      </c>
      <c r="O4142" s="760">
        <v>0</v>
      </c>
      <c r="P4142" s="736">
        <v>0</v>
      </c>
      <c r="Q4142" s="214"/>
    </row>
    <row r="4143" spans="1:17" ht="12" customHeight="1" x14ac:dyDescent="0.2">
      <c r="A4143" s="646" t="s">
        <v>10266</v>
      </c>
      <c r="B4143" s="735" t="s">
        <v>2170</v>
      </c>
      <c r="C4143" s="646" t="s">
        <v>451</v>
      </c>
      <c r="D4143" s="636" t="s">
        <v>10651</v>
      </c>
      <c r="E4143" s="759">
        <v>11000</v>
      </c>
      <c r="F4143" s="638" t="s">
        <v>10652</v>
      </c>
      <c r="G4143" s="644" t="s">
        <v>10653</v>
      </c>
      <c r="H4143" s="636" t="s">
        <v>2174</v>
      </c>
      <c r="I4143" s="636" t="s">
        <v>2180</v>
      </c>
      <c r="J4143" s="635" t="s">
        <v>2180</v>
      </c>
      <c r="K4143" s="760">
        <v>3</v>
      </c>
      <c r="L4143" s="760">
        <v>8</v>
      </c>
      <c r="M4143" s="736">
        <v>36993.659999999996</v>
      </c>
      <c r="N4143" s="753">
        <v>5</v>
      </c>
      <c r="O4143" s="760">
        <v>6</v>
      </c>
      <c r="P4143" s="736">
        <v>66910.449999999983</v>
      </c>
      <c r="Q4143" s="214"/>
    </row>
    <row r="4144" spans="1:17" ht="12" customHeight="1" x14ac:dyDescent="0.2">
      <c r="A4144" s="646" t="s">
        <v>10266</v>
      </c>
      <c r="B4144" s="735" t="s">
        <v>2170</v>
      </c>
      <c r="C4144" s="646" t="s">
        <v>451</v>
      </c>
      <c r="D4144" s="636" t="s">
        <v>10654</v>
      </c>
      <c r="E4144" s="759">
        <v>8000</v>
      </c>
      <c r="F4144" s="638" t="s">
        <v>10655</v>
      </c>
      <c r="G4144" s="644" t="s">
        <v>10656</v>
      </c>
      <c r="H4144" s="636" t="s">
        <v>10657</v>
      </c>
      <c r="I4144" s="636" t="s">
        <v>2180</v>
      </c>
      <c r="J4144" s="635" t="s">
        <v>2180</v>
      </c>
      <c r="K4144" s="760">
        <v>5</v>
      </c>
      <c r="L4144" s="760">
        <v>12</v>
      </c>
      <c r="M4144" s="736">
        <v>97910.8</v>
      </c>
      <c r="N4144" s="753">
        <v>9</v>
      </c>
      <c r="O4144" s="736">
        <v>0</v>
      </c>
      <c r="P4144" s="736">
        <v>49044.9</v>
      </c>
      <c r="Q4144" s="214"/>
    </row>
    <row r="4145" spans="1:17" ht="12" customHeight="1" x14ac:dyDescent="0.2">
      <c r="A4145" s="646" t="s">
        <v>10266</v>
      </c>
      <c r="B4145" s="735" t="s">
        <v>2170</v>
      </c>
      <c r="C4145" s="646" t="s">
        <v>451</v>
      </c>
      <c r="D4145" s="636" t="s">
        <v>2519</v>
      </c>
      <c r="E4145" s="759">
        <v>5000</v>
      </c>
      <c r="F4145" s="638" t="s">
        <v>10658</v>
      </c>
      <c r="G4145" s="644" t="s">
        <v>10659</v>
      </c>
      <c r="H4145" s="636" t="s">
        <v>10660</v>
      </c>
      <c r="I4145" s="636" t="s">
        <v>2180</v>
      </c>
      <c r="J4145" s="635" t="s">
        <v>2180</v>
      </c>
      <c r="K4145" s="760">
        <v>5</v>
      </c>
      <c r="L4145" s="760">
        <v>2</v>
      </c>
      <c r="M4145" s="736">
        <v>16115.699999999999</v>
      </c>
      <c r="N4145" s="753">
        <v>0</v>
      </c>
      <c r="O4145" s="760">
        <v>0</v>
      </c>
      <c r="P4145" s="736">
        <v>0</v>
      </c>
      <c r="Q4145" s="214"/>
    </row>
    <row r="4146" spans="1:17" ht="12" customHeight="1" x14ac:dyDescent="0.2">
      <c r="A4146" s="646" t="s">
        <v>10266</v>
      </c>
      <c r="B4146" s="735" t="s">
        <v>2170</v>
      </c>
      <c r="C4146" s="646" t="s">
        <v>451</v>
      </c>
      <c r="D4146" s="636" t="s">
        <v>10275</v>
      </c>
      <c r="E4146" s="759">
        <v>10000</v>
      </c>
      <c r="F4146" s="638" t="s">
        <v>10661</v>
      </c>
      <c r="G4146" s="644" t="s">
        <v>10662</v>
      </c>
      <c r="H4146" s="636" t="s">
        <v>2189</v>
      </c>
      <c r="I4146" s="636" t="s">
        <v>2180</v>
      </c>
      <c r="J4146" s="635" t="s">
        <v>2180</v>
      </c>
      <c r="K4146" s="760">
        <v>1</v>
      </c>
      <c r="L4146" s="760">
        <v>6</v>
      </c>
      <c r="M4146" s="736">
        <v>59980.4</v>
      </c>
      <c r="N4146" s="753">
        <v>1</v>
      </c>
      <c r="O4146" s="760">
        <v>6</v>
      </c>
      <c r="P4146" s="736">
        <v>61490.400000000001</v>
      </c>
      <c r="Q4146" s="214"/>
    </row>
    <row r="4147" spans="1:17" ht="12" customHeight="1" x14ac:dyDescent="0.2">
      <c r="A4147" s="646" t="s">
        <v>10266</v>
      </c>
      <c r="B4147" s="735" t="s">
        <v>2170</v>
      </c>
      <c r="C4147" s="646" t="s">
        <v>451</v>
      </c>
      <c r="D4147" s="636" t="s">
        <v>10332</v>
      </c>
      <c r="E4147" s="759">
        <v>7000</v>
      </c>
      <c r="F4147" s="638" t="s">
        <v>10663</v>
      </c>
      <c r="G4147" s="644" t="s">
        <v>10664</v>
      </c>
      <c r="H4147" s="636" t="s">
        <v>2253</v>
      </c>
      <c r="I4147" s="636" t="s">
        <v>2253</v>
      </c>
      <c r="J4147" s="635" t="s">
        <v>2253</v>
      </c>
      <c r="K4147" s="760">
        <v>1</v>
      </c>
      <c r="L4147" s="760">
        <v>1</v>
      </c>
      <c r="M4147" s="736">
        <v>5013.3999999999996</v>
      </c>
      <c r="N4147" s="753">
        <v>4</v>
      </c>
      <c r="O4147" s="760">
        <v>6</v>
      </c>
      <c r="P4147" s="736">
        <v>43044.9</v>
      </c>
      <c r="Q4147" s="214"/>
    </row>
    <row r="4148" spans="1:17" ht="12" customHeight="1" x14ac:dyDescent="0.2">
      <c r="A4148" s="646" t="s">
        <v>10266</v>
      </c>
      <c r="B4148" s="735" t="s">
        <v>2170</v>
      </c>
      <c r="C4148" s="646" t="s">
        <v>451</v>
      </c>
      <c r="D4148" s="636" t="s">
        <v>10665</v>
      </c>
      <c r="E4148" s="759">
        <v>15000</v>
      </c>
      <c r="F4148" s="638" t="s">
        <v>10666</v>
      </c>
      <c r="G4148" s="644" t="s">
        <v>10667</v>
      </c>
      <c r="H4148" s="636" t="s">
        <v>2197</v>
      </c>
      <c r="I4148" s="636" t="s">
        <v>2180</v>
      </c>
      <c r="J4148" s="635" t="s">
        <v>2180</v>
      </c>
      <c r="K4148" s="760">
        <v>1</v>
      </c>
      <c r="L4148" s="760">
        <v>9</v>
      </c>
      <c r="M4148" s="736">
        <v>136620.6</v>
      </c>
      <c r="N4148" s="753">
        <v>1</v>
      </c>
      <c r="O4148" s="760">
        <v>6</v>
      </c>
      <c r="P4148" s="736">
        <v>91044.9</v>
      </c>
      <c r="Q4148" s="214"/>
    </row>
    <row r="4149" spans="1:17" ht="12" customHeight="1" x14ac:dyDescent="0.2">
      <c r="A4149" s="646" t="s">
        <v>10266</v>
      </c>
      <c r="B4149" s="735" t="s">
        <v>2170</v>
      </c>
      <c r="C4149" s="646" t="s">
        <v>451</v>
      </c>
      <c r="D4149" s="636" t="s">
        <v>10668</v>
      </c>
      <c r="E4149" s="759">
        <v>10000</v>
      </c>
      <c r="F4149" s="638" t="s">
        <v>10669</v>
      </c>
      <c r="G4149" s="644" t="s">
        <v>10670</v>
      </c>
      <c r="H4149" s="636" t="s">
        <v>5450</v>
      </c>
      <c r="I4149" s="636" t="s">
        <v>2180</v>
      </c>
      <c r="J4149" s="635" t="s">
        <v>2180</v>
      </c>
      <c r="K4149" s="760">
        <v>0</v>
      </c>
      <c r="L4149" s="760">
        <v>0</v>
      </c>
      <c r="M4149" s="736">
        <v>0</v>
      </c>
      <c r="N4149" s="753">
        <v>1</v>
      </c>
      <c r="O4149" s="760">
        <v>1</v>
      </c>
      <c r="P4149" s="736">
        <v>10174.15</v>
      </c>
      <c r="Q4149" s="214"/>
    </row>
    <row r="4150" spans="1:17" ht="12" customHeight="1" x14ac:dyDescent="0.2">
      <c r="A4150" s="646" t="s">
        <v>10266</v>
      </c>
      <c r="B4150" s="735" t="s">
        <v>2170</v>
      </c>
      <c r="C4150" s="646" t="s">
        <v>451</v>
      </c>
      <c r="D4150" s="636" t="s">
        <v>10275</v>
      </c>
      <c r="E4150" s="759">
        <v>8000</v>
      </c>
      <c r="F4150" s="638" t="s">
        <v>10671</v>
      </c>
      <c r="G4150" s="644" t="s">
        <v>10672</v>
      </c>
      <c r="H4150" s="636" t="s">
        <v>10673</v>
      </c>
      <c r="I4150" s="636" t="s">
        <v>2180</v>
      </c>
      <c r="J4150" s="635" t="s">
        <v>2180</v>
      </c>
      <c r="K4150" s="760">
        <v>1</v>
      </c>
      <c r="L4150" s="760">
        <v>12</v>
      </c>
      <c r="M4150" s="736">
        <v>94227.47</v>
      </c>
      <c r="N4150" s="753">
        <v>1</v>
      </c>
      <c r="O4150" s="760">
        <v>6</v>
      </c>
      <c r="P4150" s="736">
        <v>49044.9</v>
      </c>
      <c r="Q4150" s="214"/>
    </row>
    <row r="4151" spans="1:17" ht="12" customHeight="1" x14ac:dyDescent="0.2">
      <c r="A4151" s="646" t="s">
        <v>10266</v>
      </c>
      <c r="B4151" s="735" t="s">
        <v>2170</v>
      </c>
      <c r="C4151" s="646" t="s">
        <v>451</v>
      </c>
      <c r="D4151" s="636" t="s">
        <v>10674</v>
      </c>
      <c r="E4151" s="759">
        <v>10000</v>
      </c>
      <c r="F4151" s="638" t="s">
        <v>10675</v>
      </c>
      <c r="G4151" s="644" t="s">
        <v>10676</v>
      </c>
      <c r="H4151" s="636" t="s">
        <v>10677</v>
      </c>
      <c r="I4151" s="636" t="s">
        <v>2180</v>
      </c>
      <c r="J4151" s="635" t="s">
        <v>2180</v>
      </c>
      <c r="K4151" s="760">
        <v>1</v>
      </c>
      <c r="L4151" s="760">
        <v>3</v>
      </c>
      <c r="M4151" s="736">
        <v>27106.87</v>
      </c>
      <c r="N4151" s="753">
        <v>3</v>
      </c>
      <c r="O4151" s="760">
        <v>6</v>
      </c>
      <c r="P4151" s="736">
        <v>61044.9</v>
      </c>
      <c r="Q4151" s="214"/>
    </row>
    <row r="4152" spans="1:17" ht="12" customHeight="1" x14ac:dyDescent="0.2">
      <c r="A4152" s="646" t="s">
        <v>10266</v>
      </c>
      <c r="B4152" s="735" t="s">
        <v>2170</v>
      </c>
      <c r="C4152" s="646" t="s">
        <v>451</v>
      </c>
      <c r="D4152" s="636" t="s">
        <v>10678</v>
      </c>
      <c r="E4152" s="759">
        <v>14500</v>
      </c>
      <c r="F4152" s="638" t="s">
        <v>10679</v>
      </c>
      <c r="G4152" s="644" t="s">
        <v>10680</v>
      </c>
      <c r="H4152" s="636" t="s">
        <v>2174</v>
      </c>
      <c r="I4152" s="636" t="s">
        <v>2180</v>
      </c>
      <c r="J4152" s="635" t="s">
        <v>2180</v>
      </c>
      <c r="K4152" s="760">
        <v>15</v>
      </c>
      <c r="L4152" s="760">
        <v>12</v>
      </c>
      <c r="M4152" s="736">
        <v>175960.8</v>
      </c>
      <c r="N4152" s="753">
        <v>19</v>
      </c>
      <c r="O4152" s="760">
        <v>6</v>
      </c>
      <c r="P4152" s="736">
        <v>88044.9</v>
      </c>
      <c r="Q4152" s="214"/>
    </row>
    <row r="4153" spans="1:17" ht="12" customHeight="1" x14ac:dyDescent="0.2">
      <c r="A4153" s="646" t="s">
        <v>10266</v>
      </c>
      <c r="B4153" s="735" t="s">
        <v>2170</v>
      </c>
      <c r="C4153" s="646" t="s">
        <v>451</v>
      </c>
      <c r="D4153" s="636" t="s">
        <v>10300</v>
      </c>
      <c r="E4153" s="759">
        <v>11000</v>
      </c>
      <c r="F4153" s="638" t="s">
        <v>10681</v>
      </c>
      <c r="G4153" s="644" t="s">
        <v>10682</v>
      </c>
      <c r="H4153" s="636" t="s">
        <v>2317</v>
      </c>
      <c r="I4153" s="636" t="s">
        <v>2180</v>
      </c>
      <c r="J4153" s="635" t="s">
        <v>2180</v>
      </c>
      <c r="K4153" s="760">
        <v>1</v>
      </c>
      <c r="L4153" s="760">
        <v>12</v>
      </c>
      <c r="M4153" s="736">
        <v>133960.79999999999</v>
      </c>
      <c r="N4153" s="753">
        <v>1</v>
      </c>
      <c r="O4153" s="760">
        <v>6</v>
      </c>
      <c r="P4153" s="736">
        <v>67044.899999999994</v>
      </c>
      <c r="Q4153" s="214"/>
    </row>
    <row r="4154" spans="1:17" ht="12" customHeight="1" x14ac:dyDescent="0.2">
      <c r="A4154" s="646" t="s">
        <v>10266</v>
      </c>
      <c r="B4154" s="735" t="s">
        <v>2170</v>
      </c>
      <c r="C4154" s="646" t="s">
        <v>451</v>
      </c>
      <c r="D4154" s="636" t="s">
        <v>2410</v>
      </c>
      <c r="E4154" s="759">
        <v>6500</v>
      </c>
      <c r="F4154" s="638" t="s">
        <v>10683</v>
      </c>
      <c r="G4154" s="644" t="s">
        <v>10684</v>
      </c>
      <c r="H4154" s="636" t="s">
        <v>10685</v>
      </c>
      <c r="I4154" s="636" t="s">
        <v>2180</v>
      </c>
      <c r="J4154" s="635" t="s">
        <v>2180</v>
      </c>
      <c r="K4154" s="760">
        <v>2</v>
      </c>
      <c r="L4154" s="760">
        <v>5</v>
      </c>
      <c r="M4154" s="736">
        <v>33367</v>
      </c>
      <c r="N4154" s="753">
        <v>5</v>
      </c>
      <c r="O4154" s="760">
        <v>6</v>
      </c>
      <c r="P4154" s="736">
        <v>40044.9</v>
      </c>
      <c r="Q4154" s="214"/>
    </row>
    <row r="4155" spans="1:17" ht="12" customHeight="1" x14ac:dyDescent="0.2">
      <c r="A4155" s="646" t="s">
        <v>10266</v>
      </c>
      <c r="B4155" s="735" t="s">
        <v>2170</v>
      </c>
      <c r="C4155" s="646" t="s">
        <v>451</v>
      </c>
      <c r="D4155" s="636" t="s">
        <v>4885</v>
      </c>
      <c r="E4155" s="759">
        <v>8000</v>
      </c>
      <c r="F4155" s="638" t="s">
        <v>10686</v>
      </c>
      <c r="G4155" s="644" t="s">
        <v>10687</v>
      </c>
      <c r="H4155" s="636" t="s">
        <v>2174</v>
      </c>
      <c r="I4155" s="636" t="s">
        <v>2180</v>
      </c>
      <c r="J4155" s="635" t="s">
        <v>2180</v>
      </c>
      <c r="K4155" s="760">
        <v>2</v>
      </c>
      <c r="L4155" s="760">
        <v>3</v>
      </c>
      <c r="M4155" s="736">
        <v>16937.719999999998</v>
      </c>
      <c r="N4155" s="753">
        <v>4</v>
      </c>
      <c r="O4155" s="760">
        <v>6</v>
      </c>
      <c r="P4155" s="736">
        <v>48897.68</v>
      </c>
      <c r="Q4155" s="214"/>
    </row>
    <row r="4156" spans="1:17" ht="12" customHeight="1" x14ac:dyDescent="0.2">
      <c r="A4156" s="646" t="s">
        <v>10266</v>
      </c>
      <c r="B4156" s="735" t="s">
        <v>2170</v>
      </c>
      <c r="C4156" s="646" t="s">
        <v>451</v>
      </c>
      <c r="D4156" s="636" t="s">
        <v>10688</v>
      </c>
      <c r="E4156" s="759">
        <v>10000</v>
      </c>
      <c r="F4156" s="638" t="s">
        <v>10689</v>
      </c>
      <c r="G4156" s="644" t="s">
        <v>10690</v>
      </c>
      <c r="H4156" s="636" t="s">
        <v>10691</v>
      </c>
      <c r="I4156" s="636" t="s">
        <v>2180</v>
      </c>
      <c r="J4156" s="635" t="s">
        <v>2180</v>
      </c>
      <c r="K4156" s="760">
        <v>1</v>
      </c>
      <c r="L4156" s="760">
        <v>3</v>
      </c>
      <c r="M4156" s="736">
        <v>26106.87</v>
      </c>
      <c r="N4156" s="753">
        <v>3</v>
      </c>
      <c r="O4156" s="760">
        <v>6</v>
      </c>
      <c r="P4156" s="736">
        <v>61040.73</v>
      </c>
      <c r="Q4156" s="214"/>
    </row>
    <row r="4157" spans="1:17" ht="12" customHeight="1" x14ac:dyDescent="0.2">
      <c r="A4157" s="646" t="s">
        <v>10266</v>
      </c>
      <c r="B4157" s="735" t="s">
        <v>2170</v>
      </c>
      <c r="C4157" s="646" t="s">
        <v>451</v>
      </c>
      <c r="D4157" s="636" t="s">
        <v>10300</v>
      </c>
      <c r="E4157" s="759">
        <v>11000</v>
      </c>
      <c r="F4157" s="638" t="s">
        <v>10692</v>
      </c>
      <c r="G4157" s="644" t="s">
        <v>10693</v>
      </c>
      <c r="H4157" s="636" t="s">
        <v>10694</v>
      </c>
      <c r="I4157" s="636" t="s">
        <v>2180</v>
      </c>
      <c r="J4157" s="635" t="s">
        <v>2180</v>
      </c>
      <c r="K4157" s="760">
        <v>0</v>
      </c>
      <c r="L4157" s="760">
        <v>0</v>
      </c>
      <c r="M4157" s="736">
        <v>0</v>
      </c>
      <c r="N4157" s="753">
        <v>1</v>
      </c>
      <c r="O4157" s="760">
        <v>6</v>
      </c>
      <c r="P4157" s="736">
        <v>50004.08</v>
      </c>
      <c r="Q4157" s="214"/>
    </row>
    <row r="4158" spans="1:17" ht="12" customHeight="1" x14ac:dyDescent="0.2">
      <c r="A4158" s="646" t="s">
        <v>10266</v>
      </c>
      <c r="B4158" s="735" t="s">
        <v>2170</v>
      </c>
      <c r="C4158" s="646" t="s">
        <v>451</v>
      </c>
      <c r="D4158" s="636" t="s">
        <v>10416</v>
      </c>
      <c r="E4158" s="759">
        <v>3500</v>
      </c>
      <c r="F4158" s="638" t="s">
        <v>10695</v>
      </c>
      <c r="G4158" s="644" t="s">
        <v>10696</v>
      </c>
      <c r="H4158" s="636" t="s">
        <v>2179</v>
      </c>
      <c r="I4158" s="636" t="s">
        <v>2180</v>
      </c>
      <c r="J4158" s="635" t="s">
        <v>2180</v>
      </c>
      <c r="K4158" s="760">
        <v>1</v>
      </c>
      <c r="L4158" s="760">
        <v>3</v>
      </c>
      <c r="M4158" s="736">
        <v>11004.230000000001</v>
      </c>
      <c r="N4158" s="753">
        <v>3</v>
      </c>
      <c r="O4158" s="760">
        <v>6</v>
      </c>
      <c r="P4158" s="736">
        <v>21847.53</v>
      </c>
      <c r="Q4158" s="214"/>
    </row>
    <row r="4159" spans="1:17" ht="12" customHeight="1" x14ac:dyDescent="0.2">
      <c r="A4159" s="646" t="s">
        <v>10266</v>
      </c>
      <c r="B4159" s="735" t="s">
        <v>2170</v>
      </c>
      <c r="C4159" s="646" t="s">
        <v>451</v>
      </c>
      <c r="D4159" s="636" t="s">
        <v>10697</v>
      </c>
      <c r="E4159" s="759">
        <v>15000</v>
      </c>
      <c r="F4159" s="638" t="s">
        <v>10698</v>
      </c>
      <c r="G4159" s="644" t="s">
        <v>10699</v>
      </c>
      <c r="H4159" s="636" t="s">
        <v>8462</v>
      </c>
      <c r="I4159" s="636" t="s">
        <v>2180</v>
      </c>
      <c r="J4159" s="635" t="s">
        <v>2180</v>
      </c>
      <c r="K4159" s="760">
        <v>0</v>
      </c>
      <c r="L4159" s="760">
        <v>0</v>
      </c>
      <c r="M4159" s="736">
        <v>0</v>
      </c>
      <c r="N4159" s="753">
        <v>1</v>
      </c>
      <c r="O4159" s="760">
        <v>6</v>
      </c>
      <c r="P4159" s="736">
        <v>90544.9</v>
      </c>
      <c r="Q4159" s="214"/>
    </row>
    <row r="4160" spans="1:17" ht="12" customHeight="1" x14ac:dyDescent="0.2">
      <c r="A4160" s="646" t="s">
        <v>10266</v>
      </c>
      <c r="B4160" s="735" t="s">
        <v>2170</v>
      </c>
      <c r="C4160" s="646" t="s">
        <v>451</v>
      </c>
      <c r="D4160" s="636" t="s">
        <v>4428</v>
      </c>
      <c r="E4160" s="759">
        <v>5000</v>
      </c>
      <c r="F4160" s="638" t="s">
        <v>10700</v>
      </c>
      <c r="G4160" s="644" t="s">
        <v>10701</v>
      </c>
      <c r="H4160" s="636" t="s">
        <v>10702</v>
      </c>
      <c r="I4160" s="636" t="s">
        <v>2766</v>
      </c>
      <c r="J4160" s="635" t="s">
        <v>2766</v>
      </c>
      <c r="K4160" s="760">
        <v>1</v>
      </c>
      <c r="L4160" s="760">
        <v>1</v>
      </c>
      <c r="M4160" s="736">
        <v>750.37</v>
      </c>
      <c r="N4160" s="753">
        <v>3</v>
      </c>
      <c r="O4160" s="760">
        <v>6</v>
      </c>
      <c r="P4160" s="736">
        <v>30967.120000000003</v>
      </c>
      <c r="Q4160" s="214"/>
    </row>
    <row r="4161" spans="1:17" ht="12" customHeight="1" x14ac:dyDescent="0.2">
      <c r="A4161" s="646" t="s">
        <v>10266</v>
      </c>
      <c r="B4161" s="735" t="s">
        <v>2170</v>
      </c>
      <c r="C4161" s="646" t="s">
        <v>451</v>
      </c>
      <c r="D4161" s="636" t="s">
        <v>10329</v>
      </c>
      <c r="E4161" s="759">
        <v>10000</v>
      </c>
      <c r="F4161" s="638" t="s">
        <v>10703</v>
      </c>
      <c r="G4161" s="644" t="s">
        <v>10704</v>
      </c>
      <c r="H4161" s="636" t="s">
        <v>2179</v>
      </c>
      <c r="I4161" s="636" t="s">
        <v>2180</v>
      </c>
      <c r="J4161" s="635" t="s">
        <v>2180</v>
      </c>
      <c r="K4161" s="760">
        <v>1</v>
      </c>
      <c r="L4161" s="760">
        <v>2</v>
      </c>
      <c r="M4161" s="736">
        <v>10754.57</v>
      </c>
      <c r="N4161" s="753">
        <v>1</v>
      </c>
      <c r="O4161" s="760">
        <v>0</v>
      </c>
      <c r="P4161" s="736">
        <v>0</v>
      </c>
      <c r="Q4161" s="214"/>
    </row>
    <row r="4162" spans="1:17" ht="12" customHeight="1" x14ac:dyDescent="0.2">
      <c r="A4162" s="646" t="s">
        <v>10266</v>
      </c>
      <c r="B4162" s="735" t="s">
        <v>2170</v>
      </c>
      <c r="C4162" s="646" t="s">
        <v>451</v>
      </c>
      <c r="D4162" s="636" t="s">
        <v>10705</v>
      </c>
      <c r="E4162" s="759">
        <v>10000</v>
      </c>
      <c r="F4162" s="638" t="s">
        <v>10706</v>
      </c>
      <c r="G4162" s="644" t="s">
        <v>10707</v>
      </c>
      <c r="H4162" s="636" t="s">
        <v>2179</v>
      </c>
      <c r="I4162" s="636" t="s">
        <v>2180</v>
      </c>
      <c r="J4162" s="635" t="s">
        <v>2180</v>
      </c>
      <c r="K4162" s="760">
        <v>12</v>
      </c>
      <c r="L4162" s="760">
        <v>12</v>
      </c>
      <c r="M4162" s="736">
        <v>119942.26999999999</v>
      </c>
      <c r="N4162" s="753">
        <v>16</v>
      </c>
      <c r="O4162" s="760">
        <v>6</v>
      </c>
      <c r="P4162" s="736">
        <v>61044.9</v>
      </c>
      <c r="Q4162" s="214"/>
    </row>
    <row r="4163" spans="1:17" ht="12" customHeight="1" x14ac:dyDescent="0.2">
      <c r="A4163" s="646" t="s">
        <v>10266</v>
      </c>
      <c r="B4163" s="735" t="s">
        <v>2170</v>
      </c>
      <c r="C4163" s="646" t="s">
        <v>451</v>
      </c>
      <c r="D4163" s="636" t="s">
        <v>10708</v>
      </c>
      <c r="E4163" s="759">
        <v>10000</v>
      </c>
      <c r="F4163" s="638" t="s">
        <v>10709</v>
      </c>
      <c r="G4163" s="644" t="s">
        <v>10710</v>
      </c>
      <c r="H4163" s="636" t="s">
        <v>2174</v>
      </c>
      <c r="I4163" s="636" t="s">
        <v>2180</v>
      </c>
      <c r="J4163" s="635" t="s">
        <v>2180</v>
      </c>
      <c r="K4163" s="760">
        <v>3</v>
      </c>
      <c r="L4163" s="760">
        <v>3</v>
      </c>
      <c r="M4163" s="736">
        <v>33590.25</v>
      </c>
      <c r="N4163" s="753">
        <v>0</v>
      </c>
      <c r="O4163" s="760">
        <v>0</v>
      </c>
      <c r="P4163" s="736">
        <v>0</v>
      </c>
      <c r="Q4163" s="214"/>
    </row>
    <row r="4164" spans="1:17" ht="12" customHeight="1" x14ac:dyDescent="0.2">
      <c r="A4164" s="646" t="s">
        <v>10266</v>
      </c>
      <c r="B4164" s="735" t="s">
        <v>2170</v>
      </c>
      <c r="C4164" s="646" t="s">
        <v>451</v>
      </c>
      <c r="D4164" s="636" t="s">
        <v>10278</v>
      </c>
      <c r="E4164" s="759">
        <v>12000</v>
      </c>
      <c r="F4164" s="638" t="s">
        <v>10711</v>
      </c>
      <c r="G4164" s="644" t="s">
        <v>10712</v>
      </c>
      <c r="H4164" s="636" t="s">
        <v>10713</v>
      </c>
      <c r="I4164" s="636" t="s">
        <v>2180</v>
      </c>
      <c r="J4164" s="635" t="s">
        <v>2180</v>
      </c>
      <c r="K4164" s="760">
        <v>1</v>
      </c>
      <c r="L4164" s="760">
        <v>10</v>
      </c>
      <c r="M4164" s="736">
        <v>105320.6</v>
      </c>
      <c r="N4164" s="753">
        <v>1</v>
      </c>
      <c r="O4164" s="760">
        <v>6</v>
      </c>
      <c r="P4164" s="736">
        <v>72644.899999999994</v>
      </c>
      <c r="Q4164" s="214"/>
    </row>
    <row r="4165" spans="1:17" ht="12" customHeight="1" x14ac:dyDescent="0.2">
      <c r="A4165" s="646" t="s">
        <v>10266</v>
      </c>
      <c r="B4165" s="735" t="s">
        <v>2170</v>
      </c>
      <c r="C4165" s="646" t="s">
        <v>451</v>
      </c>
      <c r="D4165" s="636" t="s">
        <v>10297</v>
      </c>
      <c r="E4165" s="759">
        <v>9000</v>
      </c>
      <c r="F4165" s="638" t="s">
        <v>10714</v>
      </c>
      <c r="G4165" s="644" t="s">
        <v>10715</v>
      </c>
      <c r="H4165" s="636" t="s">
        <v>7245</v>
      </c>
      <c r="I4165" s="636" t="s">
        <v>2180</v>
      </c>
      <c r="J4165" s="635" t="s">
        <v>2180</v>
      </c>
      <c r="K4165" s="760">
        <v>2</v>
      </c>
      <c r="L4165" s="760">
        <v>6</v>
      </c>
      <c r="M4165" s="736">
        <v>61730.400000000001</v>
      </c>
      <c r="N4165" s="753">
        <v>0</v>
      </c>
      <c r="O4165" s="760">
        <v>0</v>
      </c>
      <c r="P4165" s="736">
        <v>0</v>
      </c>
      <c r="Q4165" s="214"/>
    </row>
    <row r="4166" spans="1:17" ht="12" customHeight="1" x14ac:dyDescent="0.2">
      <c r="A4166" s="646" t="s">
        <v>10266</v>
      </c>
      <c r="B4166" s="735" t="s">
        <v>2170</v>
      </c>
      <c r="C4166" s="646" t="s">
        <v>451</v>
      </c>
      <c r="D4166" s="636" t="s">
        <v>2261</v>
      </c>
      <c r="E4166" s="759">
        <v>4500</v>
      </c>
      <c r="F4166" s="638" t="s">
        <v>10716</v>
      </c>
      <c r="G4166" s="644" t="s">
        <v>10717</v>
      </c>
      <c r="H4166" s="636" t="s">
        <v>10718</v>
      </c>
      <c r="I4166" s="636" t="s">
        <v>2180</v>
      </c>
      <c r="J4166" s="635" t="s">
        <v>2180</v>
      </c>
      <c r="K4166" s="760">
        <v>1</v>
      </c>
      <c r="L4166" s="760">
        <v>1</v>
      </c>
      <c r="M4166" s="736">
        <v>3113.4</v>
      </c>
      <c r="N4166" s="753">
        <v>3</v>
      </c>
      <c r="O4166" s="760">
        <v>6</v>
      </c>
      <c r="P4166" s="736">
        <v>28044.9</v>
      </c>
      <c r="Q4166" s="214"/>
    </row>
    <row r="4167" spans="1:17" ht="12" customHeight="1" x14ac:dyDescent="0.2">
      <c r="A4167" s="646" t="s">
        <v>10266</v>
      </c>
      <c r="B4167" s="735" t="s">
        <v>2170</v>
      </c>
      <c r="C4167" s="646" t="s">
        <v>451</v>
      </c>
      <c r="D4167" s="636" t="s">
        <v>10719</v>
      </c>
      <c r="E4167" s="759">
        <v>8000</v>
      </c>
      <c r="F4167" s="638" t="s">
        <v>10720</v>
      </c>
      <c r="G4167" s="644" t="s">
        <v>10721</v>
      </c>
      <c r="H4167" s="636" t="s">
        <v>6874</v>
      </c>
      <c r="I4167" s="636" t="s">
        <v>2180</v>
      </c>
      <c r="J4167" s="635" t="s">
        <v>2180</v>
      </c>
      <c r="K4167" s="760">
        <v>2</v>
      </c>
      <c r="L4167" s="760">
        <v>4</v>
      </c>
      <c r="M4167" s="736">
        <v>32386.93</v>
      </c>
      <c r="N4167" s="753">
        <v>4</v>
      </c>
      <c r="O4167" s="760">
        <v>6</v>
      </c>
      <c r="P4167" s="736">
        <v>49044.9</v>
      </c>
      <c r="Q4167" s="214"/>
    </row>
    <row r="4168" spans="1:17" ht="12" customHeight="1" x14ac:dyDescent="0.2">
      <c r="A4168" s="646" t="s">
        <v>10266</v>
      </c>
      <c r="B4168" s="735" t="s">
        <v>2170</v>
      </c>
      <c r="C4168" s="646" t="s">
        <v>451</v>
      </c>
      <c r="D4168" s="636" t="s">
        <v>10722</v>
      </c>
      <c r="E4168" s="759">
        <v>12500</v>
      </c>
      <c r="F4168" s="638" t="s">
        <v>10723</v>
      </c>
      <c r="G4168" s="644" t="s">
        <v>10724</v>
      </c>
      <c r="H4168" s="636" t="s">
        <v>2179</v>
      </c>
      <c r="I4168" s="636" t="s">
        <v>2180</v>
      </c>
      <c r="J4168" s="635" t="s">
        <v>2180</v>
      </c>
      <c r="K4168" s="760">
        <v>1</v>
      </c>
      <c r="L4168" s="760">
        <v>2</v>
      </c>
      <c r="M4168" s="736">
        <v>20643.469999999998</v>
      </c>
      <c r="N4168" s="753">
        <v>3</v>
      </c>
      <c r="O4168" s="760">
        <v>6</v>
      </c>
      <c r="P4168" s="736">
        <v>76044.899999999994</v>
      </c>
      <c r="Q4168" s="214"/>
    </row>
    <row r="4169" spans="1:17" ht="12" customHeight="1" x14ac:dyDescent="0.2">
      <c r="A4169" s="646" t="s">
        <v>10266</v>
      </c>
      <c r="B4169" s="735" t="s">
        <v>2170</v>
      </c>
      <c r="C4169" s="646" t="s">
        <v>451</v>
      </c>
      <c r="D4169" s="636" t="s">
        <v>10725</v>
      </c>
      <c r="E4169" s="759">
        <v>10000</v>
      </c>
      <c r="F4169" s="638" t="s">
        <v>10726</v>
      </c>
      <c r="G4169" s="644" t="s">
        <v>10727</v>
      </c>
      <c r="H4169" s="636" t="s">
        <v>2179</v>
      </c>
      <c r="I4169" s="636" t="s">
        <v>2180</v>
      </c>
      <c r="J4169" s="635" t="s">
        <v>2180</v>
      </c>
      <c r="K4169" s="760">
        <v>0</v>
      </c>
      <c r="L4169" s="760">
        <v>0</v>
      </c>
      <c r="M4169" s="736">
        <v>0</v>
      </c>
      <c r="N4169" s="753">
        <v>1</v>
      </c>
      <c r="O4169" s="760">
        <v>6</v>
      </c>
      <c r="P4169" s="736">
        <v>45537.420000000006</v>
      </c>
      <c r="Q4169" s="214"/>
    </row>
    <row r="4170" spans="1:17" ht="12" customHeight="1" x14ac:dyDescent="0.2">
      <c r="A4170" s="646" t="s">
        <v>10266</v>
      </c>
      <c r="B4170" s="735" t="s">
        <v>2170</v>
      </c>
      <c r="C4170" s="646" t="s">
        <v>451</v>
      </c>
      <c r="D4170" s="636" t="s">
        <v>10323</v>
      </c>
      <c r="E4170" s="759">
        <v>5500</v>
      </c>
      <c r="F4170" s="638" t="s">
        <v>10728</v>
      </c>
      <c r="G4170" s="644" t="s">
        <v>10729</v>
      </c>
      <c r="H4170" s="636" t="s">
        <v>2253</v>
      </c>
      <c r="I4170" s="636" t="s">
        <v>2253</v>
      </c>
      <c r="J4170" s="635" t="s">
        <v>2253</v>
      </c>
      <c r="K4170" s="760">
        <v>2</v>
      </c>
      <c r="L4170" s="760">
        <v>5</v>
      </c>
      <c r="M4170" s="736">
        <v>28367</v>
      </c>
      <c r="N4170" s="753">
        <v>5</v>
      </c>
      <c r="O4170" s="760">
        <v>6</v>
      </c>
      <c r="P4170" s="736">
        <v>34044.9</v>
      </c>
      <c r="Q4170" s="214"/>
    </row>
    <row r="4171" spans="1:17" ht="12" customHeight="1" x14ac:dyDescent="0.2">
      <c r="A4171" s="646" t="s">
        <v>10266</v>
      </c>
      <c r="B4171" s="735" t="s">
        <v>2170</v>
      </c>
      <c r="C4171" s="646" t="s">
        <v>451</v>
      </c>
      <c r="D4171" s="636" t="s">
        <v>10329</v>
      </c>
      <c r="E4171" s="759">
        <v>10000</v>
      </c>
      <c r="F4171" s="638" t="s">
        <v>10730</v>
      </c>
      <c r="G4171" s="644" t="s">
        <v>10731</v>
      </c>
      <c r="H4171" s="636" t="s">
        <v>2236</v>
      </c>
      <c r="I4171" s="636" t="s">
        <v>2180</v>
      </c>
      <c r="J4171" s="635" t="s">
        <v>2180</v>
      </c>
      <c r="K4171" s="760">
        <v>1</v>
      </c>
      <c r="L4171" s="760">
        <v>2</v>
      </c>
      <c r="M4171" s="736">
        <v>103180.73</v>
      </c>
      <c r="N4171" s="753">
        <v>0</v>
      </c>
      <c r="O4171" s="760">
        <v>0</v>
      </c>
      <c r="P4171" s="736">
        <v>0</v>
      </c>
      <c r="Q4171" s="214"/>
    </row>
    <row r="4172" spans="1:17" ht="12" customHeight="1" x14ac:dyDescent="0.2">
      <c r="A4172" s="646" t="s">
        <v>10266</v>
      </c>
      <c r="B4172" s="735" t="s">
        <v>2170</v>
      </c>
      <c r="C4172" s="646" t="s">
        <v>451</v>
      </c>
      <c r="D4172" s="636" t="s">
        <v>10297</v>
      </c>
      <c r="E4172" s="759">
        <v>10000</v>
      </c>
      <c r="F4172" s="638" t="s">
        <v>10730</v>
      </c>
      <c r="G4172" s="644" t="s">
        <v>10731</v>
      </c>
      <c r="H4172" s="636" t="s">
        <v>2236</v>
      </c>
      <c r="I4172" s="636" t="s">
        <v>2180</v>
      </c>
      <c r="J4172" s="635" t="s">
        <v>2180</v>
      </c>
      <c r="K4172" s="760">
        <v>1</v>
      </c>
      <c r="L4172" s="760">
        <v>11</v>
      </c>
      <c r="M4172" s="736">
        <v>20617.98</v>
      </c>
      <c r="N4172" s="753">
        <v>2</v>
      </c>
      <c r="O4172" s="760">
        <v>6</v>
      </c>
      <c r="P4172" s="736">
        <v>61044.9</v>
      </c>
      <c r="Q4172" s="214"/>
    </row>
    <row r="4173" spans="1:17" ht="12" customHeight="1" x14ac:dyDescent="0.2">
      <c r="A4173" s="646" t="s">
        <v>10266</v>
      </c>
      <c r="B4173" s="735" t="s">
        <v>2170</v>
      </c>
      <c r="C4173" s="646" t="s">
        <v>451</v>
      </c>
      <c r="D4173" s="636" t="s">
        <v>10732</v>
      </c>
      <c r="E4173" s="759">
        <v>10000</v>
      </c>
      <c r="F4173" s="638" t="s">
        <v>10733</v>
      </c>
      <c r="G4173" s="644" t="s">
        <v>10734</v>
      </c>
      <c r="H4173" s="636" t="s">
        <v>6707</v>
      </c>
      <c r="I4173" s="636" t="s">
        <v>2180</v>
      </c>
      <c r="J4173" s="635" t="s">
        <v>2180</v>
      </c>
      <c r="K4173" s="760">
        <v>7</v>
      </c>
      <c r="L4173" s="760">
        <v>3</v>
      </c>
      <c r="M4173" s="736">
        <v>45453.380000000005</v>
      </c>
      <c r="N4173" s="753">
        <v>0</v>
      </c>
      <c r="O4173" s="760">
        <v>0</v>
      </c>
      <c r="P4173" s="736">
        <v>0</v>
      </c>
      <c r="Q4173" s="214"/>
    </row>
    <row r="4174" spans="1:17" ht="12" customHeight="1" x14ac:dyDescent="0.2">
      <c r="A4174" s="646" t="s">
        <v>10266</v>
      </c>
      <c r="B4174" s="735" t="s">
        <v>2170</v>
      </c>
      <c r="C4174" s="646" t="s">
        <v>451</v>
      </c>
      <c r="D4174" s="636" t="s">
        <v>10735</v>
      </c>
      <c r="E4174" s="759">
        <v>8000</v>
      </c>
      <c r="F4174" s="638" t="s">
        <v>10736</v>
      </c>
      <c r="G4174" s="644" t="s">
        <v>10737</v>
      </c>
      <c r="H4174" s="636" t="s">
        <v>10738</v>
      </c>
      <c r="I4174" s="636" t="s">
        <v>2180</v>
      </c>
      <c r="J4174" s="635" t="s">
        <v>2180</v>
      </c>
      <c r="K4174" s="760">
        <v>1</v>
      </c>
      <c r="L4174" s="760">
        <v>3</v>
      </c>
      <c r="M4174" s="736">
        <v>18806.87</v>
      </c>
      <c r="N4174" s="753">
        <v>3</v>
      </c>
      <c r="O4174" s="760">
        <v>6</v>
      </c>
      <c r="P4174" s="736">
        <v>48897.67</v>
      </c>
      <c r="Q4174" s="214"/>
    </row>
    <row r="4175" spans="1:17" ht="12" customHeight="1" x14ac:dyDescent="0.2">
      <c r="A4175" s="646" t="s">
        <v>10266</v>
      </c>
      <c r="B4175" s="735" t="s">
        <v>2170</v>
      </c>
      <c r="C4175" s="646" t="s">
        <v>451</v>
      </c>
      <c r="D4175" s="636" t="s">
        <v>10510</v>
      </c>
      <c r="E4175" s="759">
        <v>8000</v>
      </c>
      <c r="F4175" s="638" t="s">
        <v>10739</v>
      </c>
      <c r="G4175" s="644" t="s">
        <v>10740</v>
      </c>
      <c r="H4175" s="636" t="s">
        <v>2179</v>
      </c>
      <c r="I4175" s="636" t="s">
        <v>2180</v>
      </c>
      <c r="J4175" s="635" t="s">
        <v>2180</v>
      </c>
      <c r="K4175" s="760">
        <v>3</v>
      </c>
      <c r="L4175" s="760">
        <v>1</v>
      </c>
      <c r="M4175" s="736">
        <v>10033.56</v>
      </c>
      <c r="N4175" s="753">
        <v>0</v>
      </c>
      <c r="O4175" s="760">
        <v>0</v>
      </c>
      <c r="P4175" s="736">
        <v>0</v>
      </c>
      <c r="Q4175" s="214"/>
    </row>
    <row r="4176" spans="1:17" ht="12" customHeight="1" x14ac:dyDescent="0.2">
      <c r="A4176" s="646" t="s">
        <v>10266</v>
      </c>
      <c r="B4176" s="735" t="s">
        <v>2170</v>
      </c>
      <c r="C4176" s="646" t="s">
        <v>451</v>
      </c>
      <c r="D4176" s="636" t="s">
        <v>10329</v>
      </c>
      <c r="E4176" s="759">
        <v>11000</v>
      </c>
      <c r="F4176" s="638" t="s">
        <v>10741</v>
      </c>
      <c r="G4176" s="644" t="s">
        <v>10742</v>
      </c>
      <c r="H4176" s="636" t="s">
        <v>2179</v>
      </c>
      <c r="I4176" s="636" t="s">
        <v>2180</v>
      </c>
      <c r="J4176" s="635" t="s">
        <v>2180</v>
      </c>
      <c r="K4176" s="760">
        <v>1</v>
      </c>
      <c r="L4176" s="760">
        <v>5</v>
      </c>
      <c r="M4176" s="736">
        <v>60450.35</v>
      </c>
      <c r="N4176" s="753">
        <v>1</v>
      </c>
      <c r="O4176" s="760">
        <v>0</v>
      </c>
      <c r="P4176" s="736">
        <v>0</v>
      </c>
      <c r="Q4176" s="214"/>
    </row>
    <row r="4177" spans="1:17" ht="12" customHeight="1" x14ac:dyDescent="0.2">
      <c r="A4177" s="646" t="s">
        <v>10266</v>
      </c>
      <c r="B4177" s="735" t="s">
        <v>2170</v>
      </c>
      <c r="C4177" s="646" t="s">
        <v>451</v>
      </c>
      <c r="D4177" s="636" t="s">
        <v>10275</v>
      </c>
      <c r="E4177" s="759">
        <v>10000</v>
      </c>
      <c r="F4177" s="638" t="s">
        <v>10743</v>
      </c>
      <c r="G4177" s="644" t="s">
        <v>10744</v>
      </c>
      <c r="H4177" s="636" t="s">
        <v>2174</v>
      </c>
      <c r="I4177" s="636" t="s">
        <v>2180</v>
      </c>
      <c r="J4177" s="635" t="s">
        <v>2180</v>
      </c>
      <c r="K4177" s="760">
        <v>1</v>
      </c>
      <c r="L4177" s="760">
        <v>3</v>
      </c>
      <c r="M4177" s="736">
        <v>32534.670000000002</v>
      </c>
      <c r="N4177" s="753">
        <v>1</v>
      </c>
      <c r="O4177" s="760">
        <v>0</v>
      </c>
      <c r="P4177" s="736">
        <v>0</v>
      </c>
      <c r="Q4177" s="214"/>
    </row>
    <row r="4178" spans="1:17" ht="12" customHeight="1" x14ac:dyDescent="0.2">
      <c r="A4178" s="646" t="s">
        <v>10266</v>
      </c>
      <c r="B4178" s="735" t="s">
        <v>2170</v>
      </c>
      <c r="C4178" s="646" t="s">
        <v>451</v>
      </c>
      <c r="D4178" s="636" t="s">
        <v>10278</v>
      </c>
      <c r="E4178" s="759">
        <v>14000</v>
      </c>
      <c r="F4178" s="638" t="s">
        <v>10745</v>
      </c>
      <c r="G4178" s="644" t="s">
        <v>10746</v>
      </c>
      <c r="H4178" s="636" t="s">
        <v>3070</v>
      </c>
      <c r="I4178" s="636" t="s">
        <v>2180</v>
      </c>
      <c r="J4178" s="635" t="s">
        <v>2180</v>
      </c>
      <c r="K4178" s="760">
        <v>1</v>
      </c>
      <c r="L4178" s="760">
        <v>11</v>
      </c>
      <c r="M4178" s="736">
        <v>146980.72999999998</v>
      </c>
      <c r="N4178" s="753">
        <v>1</v>
      </c>
      <c r="O4178" s="760">
        <v>6</v>
      </c>
      <c r="P4178" s="736">
        <v>85044.9</v>
      </c>
      <c r="Q4178" s="214"/>
    </row>
    <row r="4179" spans="1:17" ht="12" customHeight="1" x14ac:dyDescent="0.2">
      <c r="A4179" s="646" t="s">
        <v>10266</v>
      </c>
      <c r="B4179" s="735" t="s">
        <v>2170</v>
      </c>
      <c r="C4179" s="646" t="s">
        <v>451</v>
      </c>
      <c r="D4179" s="636" t="s">
        <v>10552</v>
      </c>
      <c r="E4179" s="759">
        <v>10000</v>
      </c>
      <c r="F4179" s="638" t="s">
        <v>10747</v>
      </c>
      <c r="G4179" s="644" t="s">
        <v>10748</v>
      </c>
      <c r="H4179" s="636" t="s">
        <v>10749</v>
      </c>
      <c r="I4179" s="636" t="s">
        <v>2180</v>
      </c>
      <c r="J4179" s="635" t="s">
        <v>2180</v>
      </c>
      <c r="K4179" s="760">
        <v>6</v>
      </c>
      <c r="L4179" s="760">
        <v>1</v>
      </c>
      <c r="M4179" s="736">
        <v>12697.64</v>
      </c>
      <c r="N4179" s="753">
        <v>0</v>
      </c>
      <c r="O4179" s="760">
        <v>0</v>
      </c>
      <c r="P4179" s="736">
        <v>0</v>
      </c>
      <c r="Q4179" s="214"/>
    </row>
    <row r="4180" spans="1:17" ht="12" customHeight="1" x14ac:dyDescent="0.2">
      <c r="A4180" s="646" t="s">
        <v>10266</v>
      </c>
      <c r="B4180" s="735" t="s">
        <v>2170</v>
      </c>
      <c r="C4180" s="646" t="s">
        <v>451</v>
      </c>
      <c r="D4180" s="636" t="s">
        <v>10278</v>
      </c>
      <c r="E4180" s="759">
        <v>14000</v>
      </c>
      <c r="F4180" s="638" t="s">
        <v>10750</v>
      </c>
      <c r="G4180" s="644" t="s">
        <v>10751</v>
      </c>
      <c r="H4180" s="636" t="s">
        <v>2317</v>
      </c>
      <c r="I4180" s="636" t="s">
        <v>2180</v>
      </c>
      <c r="J4180" s="635" t="s">
        <v>2180</v>
      </c>
      <c r="K4180" s="760">
        <v>1</v>
      </c>
      <c r="L4180" s="760">
        <v>12</v>
      </c>
      <c r="M4180" s="736">
        <v>169960.8</v>
      </c>
      <c r="N4180" s="753">
        <v>1</v>
      </c>
      <c r="O4180" s="760">
        <v>6</v>
      </c>
      <c r="P4180" s="736">
        <v>85044.9</v>
      </c>
      <c r="Q4180" s="214"/>
    </row>
    <row r="4181" spans="1:17" ht="12" customHeight="1" x14ac:dyDescent="0.2">
      <c r="A4181" s="646" t="s">
        <v>10266</v>
      </c>
      <c r="B4181" s="735" t="s">
        <v>2170</v>
      </c>
      <c r="C4181" s="646" t="s">
        <v>451</v>
      </c>
      <c r="D4181" s="636" t="s">
        <v>10332</v>
      </c>
      <c r="E4181" s="759">
        <v>7000</v>
      </c>
      <c r="F4181" s="638" t="s">
        <v>10752</v>
      </c>
      <c r="G4181" s="644" t="s">
        <v>10753</v>
      </c>
      <c r="H4181" s="636" t="s">
        <v>2253</v>
      </c>
      <c r="I4181" s="636" t="s">
        <v>2253</v>
      </c>
      <c r="J4181" s="635" t="s">
        <v>2253</v>
      </c>
      <c r="K4181" s="760">
        <v>2</v>
      </c>
      <c r="L4181" s="760">
        <v>5</v>
      </c>
      <c r="M4181" s="736">
        <v>35867</v>
      </c>
      <c r="N4181" s="753">
        <v>5</v>
      </c>
      <c r="O4181" s="760">
        <v>6</v>
      </c>
      <c r="P4181" s="736">
        <v>43044.9</v>
      </c>
      <c r="Q4181" s="214"/>
    </row>
    <row r="4182" spans="1:17" ht="12" customHeight="1" x14ac:dyDescent="0.2">
      <c r="A4182" s="646" t="s">
        <v>10266</v>
      </c>
      <c r="B4182" s="735" t="s">
        <v>2170</v>
      </c>
      <c r="C4182" s="646" t="s">
        <v>451</v>
      </c>
      <c r="D4182" s="636" t="s">
        <v>10754</v>
      </c>
      <c r="E4182" s="759">
        <v>10000</v>
      </c>
      <c r="F4182" s="638" t="s">
        <v>10755</v>
      </c>
      <c r="G4182" s="644" t="s">
        <v>10756</v>
      </c>
      <c r="H4182" s="636" t="s">
        <v>3070</v>
      </c>
      <c r="I4182" s="636" t="s">
        <v>2180</v>
      </c>
      <c r="J4182" s="635" t="s">
        <v>2180</v>
      </c>
      <c r="K4182" s="760">
        <v>20</v>
      </c>
      <c r="L4182" s="760">
        <v>12</v>
      </c>
      <c r="M4182" s="736">
        <v>121824</v>
      </c>
      <c r="N4182" s="753">
        <v>24</v>
      </c>
      <c r="O4182" s="760">
        <v>6</v>
      </c>
      <c r="P4182" s="736">
        <v>61044.9</v>
      </c>
      <c r="Q4182" s="214"/>
    </row>
    <row r="4183" spans="1:17" ht="12" customHeight="1" x14ac:dyDescent="0.2">
      <c r="A4183" s="646" t="s">
        <v>10266</v>
      </c>
      <c r="B4183" s="735" t="s">
        <v>2170</v>
      </c>
      <c r="C4183" s="646" t="s">
        <v>451</v>
      </c>
      <c r="D4183" s="636" t="s">
        <v>10757</v>
      </c>
      <c r="E4183" s="759">
        <v>10000</v>
      </c>
      <c r="F4183" s="638" t="s">
        <v>10758</v>
      </c>
      <c r="G4183" s="644" t="s">
        <v>10759</v>
      </c>
      <c r="H4183" s="636" t="s">
        <v>2179</v>
      </c>
      <c r="I4183" s="636" t="s">
        <v>2180</v>
      </c>
      <c r="J4183" s="635" t="s">
        <v>2180</v>
      </c>
      <c r="K4183" s="760">
        <v>0</v>
      </c>
      <c r="L4183" s="760">
        <v>0</v>
      </c>
      <c r="M4183" s="736">
        <v>35320.269999999997</v>
      </c>
      <c r="N4183" s="753">
        <v>1</v>
      </c>
      <c r="O4183" s="760">
        <v>2</v>
      </c>
      <c r="P4183" s="736">
        <v>20383.12</v>
      </c>
      <c r="Q4183" s="214"/>
    </row>
    <row r="4184" spans="1:17" ht="12" customHeight="1" x14ac:dyDescent="0.2">
      <c r="A4184" s="646" t="s">
        <v>10266</v>
      </c>
      <c r="B4184" s="735" t="s">
        <v>2170</v>
      </c>
      <c r="C4184" s="646" t="s">
        <v>451</v>
      </c>
      <c r="D4184" s="636" t="s">
        <v>10290</v>
      </c>
      <c r="E4184" s="759">
        <v>12500</v>
      </c>
      <c r="F4184" s="638" t="s">
        <v>10758</v>
      </c>
      <c r="G4184" s="644" t="s">
        <v>10760</v>
      </c>
      <c r="H4184" s="636" t="s">
        <v>2179</v>
      </c>
      <c r="I4184" s="636" t="s">
        <v>2180</v>
      </c>
      <c r="J4184" s="635" t="s">
        <v>2180</v>
      </c>
      <c r="K4184" s="760">
        <v>0</v>
      </c>
      <c r="L4184" s="760">
        <v>0</v>
      </c>
      <c r="M4184" s="736">
        <v>0</v>
      </c>
      <c r="N4184" s="753">
        <v>1</v>
      </c>
      <c r="O4184" s="760">
        <v>5</v>
      </c>
      <c r="P4184" s="736">
        <v>56287.42</v>
      </c>
      <c r="Q4184" s="214"/>
    </row>
    <row r="4185" spans="1:17" ht="12" customHeight="1" x14ac:dyDescent="0.2">
      <c r="A4185" s="646" t="s">
        <v>10266</v>
      </c>
      <c r="B4185" s="735" t="s">
        <v>2170</v>
      </c>
      <c r="C4185" s="646" t="s">
        <v>451</v>
      </c>
      <c r="D4185" s="636" t="s">
        <v>10552</v>
      </c>
      <c r="E4185" s="759">
        <v>10000</v>
      </c>
      <c r="F4185" s="638" t="s">
        <v>10761</v>
      </c>
      <c r="G4185" s="644" t="s">
        <v>10762</v>
      </c>
      <c r="H4185" s="636" t="s">
        <v>10763</v>
      </c>
      <c r="I4185" s="636" t="s">
        <v>2180</v>
      </c>
      <c r="J4185" s="635" t="s">
        <v>2180</v>
      </c>
      <c r="K4185" s="760">
        <v>10</v>
      </c>
      <c r="L4185" s="760">
        <v>10</v>
      </c>
      <c r="M4185" s="736">
        <v>101202.76</v>
      </c>
      <c r="N4185" s="753">
        <v>2</v>
      </c>
      <c r="O4185" s="760">
        <v>4</v>
      </c>
      <c r="P4185" s="736">
        <v>0</v>
      </c>
      <c r="Q4185" s="214"/>
    </row>
    <row r="4186" spans="1:17" ht="12" customHeight="1" x14ac:dyDescent="0.2">
      <c r="A4186" s="646" t="s">
        <v>10266</v>
      </c>
      <c r="B4186" s="735" t="s">
        <v>2170</v>
      </c>
      <c r="C4186" s="646" t="s">
        <v>451</v>
      </c>
      <c r="D4186" s="636" t="s">
        <v>10332</v>
      </c>
      <c r="E4186" s="759">
        <v>7000</v>
      </c>
      <c r="F4186" s="638" t="s">
        <v>10764</v>
      </c>
      <c r="G4186" s="644" t="s">
        <v>10765</v>
      </c>
      <c r="H4186" s="636" t="s">
        <v>2253</v>
      </c>
      <c r="I4186" s="636" t="s">
        <v>2253</v>
      </c>
      <c r="J4186" s="635" t="s">
        <v>2253</v>
      </c>
      <c r="K4186" s="760">
        <v>6</v>
      </c>
      <c r="L4186" s="760">
        <v>12</v>
      </c>
      <c r="M4186" s="736">
        <v>85960.8</v>
      </c>
      <c r="N4186" s="753">
        <v>10</v>
      </c>
      <c r="O4186" s="760">
        <v>6</v>
      </c>
      <c r="P4186" s="736">
        <v>43044.9</v>
      </c>
      <c r="Q4186" s="214"/>
    </row>
    <row r="4187" spans="1:17" ht="12" customHeight="1" x14ac:dyDescent="0.2">
      <c r="A4187" s="646" t="s">
        <v>10266</v>
      </c>
      <c r="B4187" s="735" t="s">
        <v>2170</v>
      </c>
      <c r="C4187" s="646" t="s">
        <v>451</v>
      </c>
      <c r="D4187" s="636" t="s">
        <v>10510</v>
      </c>
      <c r="E4187" s="759">
        <v>8000</v>
      </c>
      <c r="F4187" s="638" t="s">
        <v>10766</v>
      </c>
      <c r="G4187" s="644" t="s">
        <v>10767</v>
      </c>
      <c r="H4187" s="636" t="s">
        <v>2174</v>
      </c>
      <c r="I4187" s="636" t="s">
        <v>2180</v>
      </c>
      <c r="J4187" s="635" t="s">
        <v>2180</v>
      </c>
      <c r="K4187" s="760">
        <v>10</v>
      </c>
      <c r="L4187" s="760">
        <v>12</v>
      </c>
      <c r="M4187" s="736">
        <v>97823.560000000012</v>
      </c>
      <c r="N4187" s="753">
        <v>14</v>
      </c>
      <c r="O4187" s="760">
        <v>6</v>
      </c>
      <c r="P4187" s="736">
        <v>48911.57</v>
      </c>
      <c r="Q4187" s="214"/>
    </row>
    <row r="4188" spans="1:17" ht="12" customHeight="1" x14ac:dyDescent="0.2">
      <c r="A4188" s="646" t="s">
        <v>10266</v>
      </c>
      <c r="B4188" s="735" t="s">
        <v>2170</v>
      </c>
      <c r="C4188" s="646" t="s">
        <v>451</v>
      </c>
      <c r="D4188" s="636" t="s">
        <v>2225</v>
      </c>
      <c r="E4188" s="759">
        <v>10000</v>
      </c>
      <c r="F4188" s="638" t="s">
        <v>10768</v>
      </c>
      <c r="G4188" s="644" t="s">
        <v>10769</v>
      </c>
      <c r="H4188" s="636" t="s">
        <v>2179</v>
      </c>
      <c r="I4188" s="636" t="s">
        <v>2180</v>
      </c>
      <c r="J4188" s="635" t="s">
        <v>2180</v>
      </c>
      <c r="K4188" s="760">
        <v>4</v>
      </c>
      <c r="L4188" s="760">
        <v>12</v>
      </c>
      <c r="M4188" s="736">
        <v>121583.71</v>
      </c>
      <c r="N4188" s="753">
        <v>8</v>
      </c>
      <c r="O4188" s="760">
        <v>6</v>
      </c>
      <c r="P4188" s="736">
        <v>60930.320000000007</v>
      </c>
      <c r="Q4188" s="214"/>
    </row>
    <row r="4189" spans="1:17" ht="12" customHeight="1" x14ac:dyDescent="0.2">
      <c r="A4189" s="646" t="s">
        <v>10266</v>
      </c>
      <c r="B4189" s="735" t="s">
        <v>2170</v>
      </c>
      <c r="C4189" s="646" t="s">
        <v>451</v>
      </c>
      <c r="D4189" s="636" t="s">
        <v>10335</v>
      </c>
      <c r="E4189" s="759">
        <v>5500</v>
      </c>
      <c r="F4189" s="638" t="s">
        <v>10770</v>
      </c>
      <c r="G4189" s="644" t="s">
        <v>10771</v>
      </c>
      <c r="H4189" s="636" t="s">
        <v>2253</v>
      </c>
      <c r="I4189" s="636" t="s">
        <v>2253</v>
      </c>
      <c r="J4189" s="635" t="s">
        <v>2253</v>
      </c>
      <c r="K4189" s="760">
        <v>1</v>
      </c>
      <c r="L4189" s="760">
        <v>2</v>
      </c>
      <c r="M4189" s="736">
        <v>11065.25</v>
      </c>
      <c r="N4189" s="753">
        <v>0</v>
      </c>
      <c r="O4189" s="760">
        <v>0</v>
      </c>
      <c r="P4189" s="736">
        <v>0</v>
      </c>
      <c r="Q4189" s="214"/>
    </row>
    <row r="4190" spans="1:17" ht="12" customHeight="1" x14ac:dyDescent="0.2">
      <c r="A4190" s="646" t="s">
        <v>10266</v>
      </c>
      <c r="B4190" s="735" t="s">
        <v>2170</v>
      </c>
      <c r="C4190" s="646" t="s">
        <v>451</v>
      </c>
      <c r="D4190" s="636" t="s">
        <v>10772</v>
      </c>
      <c r="E4190" s="759">
        <v>10000</v>
      </c>
      <c r="F4190" s="638" t="s">
        <v>10773</v>
      </c>
      <c r="G4190" s="644" t="s">
        <v>10774</v>
      </c>
      <c r="H4190" s="636" t="s">
        <v>2179</v>
      </c>
      <c r="I4190" s="636" t="s">
        <v>2180</v>
      </c>
      <c r="J4190" s="635" t="s">
        <v>2180</v>
      </c>
      <c r="K4190" s="760">
        <v>17</v>
      </c>
      <c r="L4190" s="760">
        <v>12</v>
      </c>
      <c r="M4190" s="736">
        <v>121843.44</v>
      </c>
      <c r="N4190" s="753">
        <v>21</v>
      </c>
      <c r="O4190" s="760">
        <v>6</v>
      </c>
      <c r="P4190" s="736">
        <v>61037.960000000006</v>
      </c>
      <c r="Q4190" s="214"/>
    </row>
    <row r="4191" spans="1:17" ht="12" customHeight="1" x14ac:dyDescent="0.2">
      <c r="A4191" s="646" t="s">
        <v>10266</v>
      </c>
      <c r="B4191" s="735" t="s">
        <v>2170</v>
      </c>
      <c r="C4191" s="646" t="s">
        <v>451</v>
      </c>
      <c r="D4191" s="636" t="s">
        <v>10323</v>
      </c>
      <c r="E4191" s="759">
        <v>5500</v>
      </c>
      <c r="F4191" s="638" t="s">
        <v>5460</v>
      </c>
      <c r="G4191" s="644" t="s">
        <v>5461</v>
      </c>
      <c r="H4191" s="636" t="s">
        <v>2253</v>
      </c>
      <c r="I4191" s="636" t="s">
        <v>2253</v>
      </c>
      <c r="J4191" s="635" t="s">
        <v>2253</v>
      </c>
      <c r="K4191" s="760">
        <v>2</v>
      </c>
      <c r="L4191" s="760">
        <v>5</v>
      </c>
      <c r="M4191" s="736">
        <v>27633.67</v>
      </c>
      <c r="N4191" s="753">
        <v>4</v>
      </c>
      <c r="O4191" s="760">
        <v>2</v>
      </c>
      <c r="P4191" s="736">
        <v>11348.3</v>
      </c>
      <c r="Q4191" s="214"/>
    </row>
    <row r="4192" spans="1:17" ht="12" customHeight="1" x14ac:dyDescent="0.2">
      <c r="A4192" s="646" t="s">
        <v>10266</v>
      </c>
      <c r="B4192" s="735" t="s">
        <v>2170</v>
      </c>
      <c r="C4192" s="646" t="s">
        <v>451</v>
      </c>
      <c r="D4192" s="636" t="s">
        <v>10323</v>
      </c>
      <c r="E4192" s="759">
        <v>5500</v>
      </c>
      <c r="F4192" s="638" t="s">
        <v>10775</v>
      </c>
      <c r="G4192" s="644" t="s">
        <v>10776</v>
      </c>
      <c r="H4192" s="636" t="s">
        <v>2253</v>
      </c>
      <c r="I4192" s="636" t="s">
        <v>2253</v>
      </c>
      <c r="J4192" s="635" t="s">
        <v>2253</v>
      </c>
      <c r="K4192" s="760">
        <v>6</v>
      </c>
      <c r="L4192" s="760">
        <v>12</v>
      </c>
      <c r="M4192" s="736">
        <v>67960.800000000003</v>
      </c>
      <c r="N4192" s="753">
        <v>10</v>
      </c>
      <c r="O4192" s="760">
        <v>6</v>
      </c>
      <c r="P4192" s="736">
        <v>34044.9</v>
      </c>
      <c r="Q4192" s="214"/>
    </row>
    <row r="4193" spans="1:17" ht="12" customHeight="1" x14ac:dyDescent="0.2">
      <c r="A4193" s="646" t="s">
        <v>10266</v>
      </c>
      <c r="B4193" s="735" t="s">
        <v>2170</v>
      </c>
      <c r="C4193" s="646" t="s">
        <v>451</v>
      </c>
      <c r="D4193" s="636" t="s">
        <v>10335</v>
      </c>
      <c r="E4193" s="759">
        <v>5500</v>
      </c>
      <c r="F4193" s="638" t="s">
        <v>10777</v>
      </c>
      <c r="G4193" s="644" t="s">
        <v>10778</v>
      </c>
      <c r="H4193" s="636" t="s">
        <v>2253</v>
      </c>
      <c r="I4193" s="636" t="s">
        <v>2253</v>
      </c>
      <c r="J4193" s="635" t="s">
        <v>2253</v>
      </c>
      <c r="K4193" s="760">
        <v>2</v>
      </c>
      <c r="L4193" s="760">
        <v>5</v>
      </c>
      <c r="M4193" s="736">
        <v>29488.719999999998</v>
      </c>
      <c r="N4193" s="753">
        <v>0</v>
      </c>
      <c r="O4193" s="760">
        <v>0</v>
      </c>
      <c r="P4193" s="736">
        <v>0</v>
      </c>
      <c r="Q4193" s="214"/>
    </row>
    <row r="4194" spans="1:17" ht="12" customHeight="1" x14ac:dyDescent="0.2">
      <c r="A4194" s="646" t="s">
        <v>10266</v>
      </c>
      <c r="B4194" s="735" t="s">
        <v>2170</v>
      </c>
      <c r="C4194" s="646" t="s">
        <v>451</v>
      </c>
      <c r="D4194" s="636" t="s">
        <v>10779</v>
      </c>
      <c r="E4194" s="759">
        <v>10000</v>
      </c>
      <c r="F4194" s="638">
        <v>21451812</v>
      </c>
      <c r="G4194" s="644" t="s">
        <v>10780</v>
      </c>
      <c r="H4194" s="636" t="s">
        <v>2317</v>
      </c>
      <c r="I4194" s="636" t="s">
        <v>2180</v>
      </c>
      <c r="J4194" s="635" t="s">
        <v>2180</v>
      </c>
      <c r="K4194" s="760">
        <v>0</v>
      </c>
      <c r="L4194" s="760">
        <v>0</v>
      </c>
      <c r="M4194" s="736">
        <v>0</v>
      </c>
      <c r="N4194" s="753">
        <v>1</v>
      </c>
      <c r="O4194" s="760">
        <v>6</v>
      </c>
      <c r="P4194" s="736">
        <v>29633.579999999998</v>
      </c>
      <c r="Q4194" s="214"/>
    </row>
    <row r="4195" spans="1:17" ht="12" customHeight="1" x14ac:dyDescent="0.2">
      <c r="A4195" s="646" t="s">
        <v>10266</v>
      </c>
      <c r="B4195" s="735" t="s">
        <v>2170</v>
      </c>
      <c r="C4195" s="646" t="s">
        <v>451</v>
      </c>
      <c r="D4195" s="636" t="s">
        <v>10282</v>
      </c>
      <c r="E4195" s="759">
        <v>10000</v>
      </c>
      <c r="F4195" s="638" t="s">
        <v>10781</v>
      </c>
      <c r="G4195" s="644" t="s">
        <v>10782</v>
      </c>
      <c r="H4195" s="636" t="s">
        <v>2189</v>
      </c>
      <c r="I4195" s="636" t="s">
        <v>2180</v>
      </c>
      <c r="J4195" s="635" t="s">
        <v>2180</v>
      </c>
      <c r="K4195" s="760">
        <v>11</v>
      </c>
      <c r="L4195" s="760">
        <v>12</v>
      </c>
      <c r="M4195" s="736">
        <v>121710.79000000001</v>
      </c>
      <c r="N4195" s="753">
        <v>15</v>
      </c>
      <c r="O4195" s="760">
        <v>6</v>
      </c>
      <c r="P4195" s="736">
        <v>60968.51</v>
      </c>
      <c r="Q4195" s="214"/>
    </row>
    <row r="4196" spans="1:17" ht="12" customHeight="1" x14ac:dyDescent="0.2">
      <c r="A4196" s="646" t="s">
        <v>10266</v>
      </c>
      <c r="B4196" s="735" t="s">
        <v>2170</v>
      </c>
      <c r="C4196" s="646" t="s">
        <v>451</v>
      </c>
      <c r="D4196" s="636" t="s">
        <v>10783</v>
      </c>
      <c r="E4196" s="759">
        <v>10000</v>
      </c>
      <c r="F4196" s="638" t="s">
        <v>10784</v>
      </c>
      <c r="G4196" s="644" t="s">
        <v>10785</v>
      </c>
      <c r="H4196" s="636" t="s">
        <v>2208</v>
      </c>
      <c r="I4196" s="636" t="s">
        <v>2180</v>
      </c>
      <c r="J4196" s="635" t="s">
        <v>2180</v>
      </c>
      <c r="K4196" s="760">
        <v>2</v>
      </c>
      <c r="L4196" s="760">
        <v>3</v>
      </c>
      <c r="M4196" s="736">
        <v>30540.2</v>
      </c>
      <c r="N4196" s="753">
        <v>4</v>
      </c>
      <c r="O4196" s="760">
        <v>6</v>
      </c>
      <c r="P4196" s="736">
        <v>61044.9</v>
      </c>
      <c r="Q4196" s="214"/>
    </row>
    <row r="4197" spans="1:17" ht="12" customHeight="1" x14ac:dyDescent="0.2">
      <c r="A4197" s="646" t="s">
        <v>10266</v>
      </c>
      <c r="B4197" s="735" t="s">
        <v>2170</v>
      </c>
      <c r="C4197" s="646" t="s">
        <v>451</v>
      </c>
      <c r="D4197" s="636" t="s">
        <v>6668</v>
      </c>
      <c r="E4197" s="759">
        <v>7500</v>
      </c>
      <c r="F4197" s="638" t="s">
        <v>10786</v>
      </c>
      <c r="G4197" s="644" t="s">
        <v>10787</v>
      </c>
      <c r="H4197" s="636" t="s">
        <v>2174</v>
      </c>
      <c r="I4197" s="636" t="s">
        <v>2180</v>
      </c>
      <c r="J4197" s="635" t="s">
        <v>2180</v>
      </c>
      <c r="K4197" s="760">
        <v>6</v>
      </c>
      <c r="L4197" s="760">
        <v>12</v>
      </c>
      <c r="M4197" s="736">
        <v>91960.8</v>
      </c>
      <c r="N4197" s="753">
        <v>10</v>
      </c>
      <c r="O4197" s="760">
        <v>6</v>
      </c>
      <c r="P4197" s="736">
        <v>46044.9</v>
      </c>
      <c r="Q4197" s="214"/>
    </row>
    <row r="4198" spans="1:17" ht="12" customHeight="1" x14ac:dyDescent="0.2">
      <c r="A4198" s="646" t="s">
        <v>10266</v>
      </c>
      <c r="B4198" s="735" t="s">
        <v>2170</v>
      </c>
      <c r="C4198" s="646" t="s">
        <v>451</v>
      </c>
      <c r="D4198" s="636" t="s">
        <v>10754</v>
      </c>
      <c r="E4198" s="759">
        <v>10000</v>
      </c>
      <c r="F4198" s="638" t="s">
        <v>10788</v>
      </c>
      <c r="G4198" s="644" t="s">
        <v>10789</v>
      </c>
      <c r="H4198" s="636" t="s">
        <v>3070</v>
      </c>
      <c r="I4198" s="636" t="s">
        <v>2180</v>
      </c>
      <c r="J4198" s="635" t="s">
        <v>2180</v>
      </c>
      <c r="K4198" s="760">
        <v>18</v>
      </c>
      <c r="L4198" s="760">
        <v>12</v>
      </c>
      <c r="M4198" s="736">
        <v>121835.8</v>
      </c>
      <c r="N4198" s="753">
        <v>22</v>
      </c>
      <c r="O4198" s="760">
        <v>6</v>
      </c>
      <c r="P4198" s="736">
        <v>61044.9</v>
      </c>
      <c r="Q4198" s="214"/>
    </row>
    <row r="4199" spans="1:17" ht="12" customHeight="1" x14ac:dyDescent="0.2">
      <c r="A4199" s="646" t="s">
        <v>10266</v>
      </c>
      <c r="B4199" s="735" t="s">
        <v>2170</v>
      </c>
      <c r="C4199" s="646" t="s">
        <v>451</v>
      </c>
      <c r="D4199" s="636" t="s">
        <v>10335</v>
      </c>
      <c r="E4199" s="759">
        <v>5500</v>
      </c>
      <c r="F4199" s="638" t="s">
        <v>10790</v>
      </c>
      <c r="G4199" s="644" t="s">
        <v>10791</v>
      </c>
      <c r="H4199" s="636" t="s">
        <v>2253</v>
      </c>
      <c r="I4199" s="636" t="s">
        <v>2253</v>
      </c>
      <c r="J4199" s="635" t="s">
        <v>2253</v>
      </c>
      <c r="K4199" s="760">
        <v>5</v>
      </c>
      <c r="L4199" s="760">
        <v>12</v>
      </c>
      <c r="M4199" s="736">
        <v>73008.98</v>
      </c>
      <c r="N4199" s="753">
        <v>0</v>
      </c>
      <c r="O4199" s="760">
        <v>0</v>
      </c>
      <c r="P4199" s="736">
        <v>0</v>
      </c>
      <c r="Q4199" s="214"/>
    </row>
    <row r="4200" spans="1:17" ht="12" customHeight="1" x14ac:dyDescent="0.2">
      <c r="A4200" s="646" t="s">
        <v>10266</v>
      </c>
      <c r="B4200" s="735" t="s">
        <v>2170</v>
      </c>
      <c r="C4200" s="646" t="s">
        <v>451</v>
      </c>
      <c r="D4200" s="636" t="s">
        <v>10300</v>
      </c>
      <c r="E4200" s="759">
        <v>10000</v>
      </c>
      <c r="F4200" s="638" t="s">
        <v>10792</v>
      </c>
      <c r="G4200" s="644" t="s">
        <v>10793</v>
      </c>
      <c r="H4200" s="636" t="s">
        <v>10794</v>
      </c>
      <c r="I4200" s="636" t="s">
        <v>2180</v>
      </c>
      <c r="J4200" s="635" t="s">
        <v>2180</v>
      </c>
      <c r="K4200" s="760">
        <v>1</v>
      </c>
      <c r="L4200" s="760">
        <v>8</v>
      </c>
      <c r="M4200" s="736">
        <v>80973.87</v>
      </c>
      <c r="N4200" s="753">
        <v>1</v>
      </c>
      <c r="O4200" s="760">
        <v>6</v>
      </c>
      <c r="P4200" s="736">
        <v>61044.9</v>
      </c>
      <c r="Q4200" s="214"/>
    </row>
    <row r="4201" spans="1:17" ht="12" customHeight="1" x14ac:dyDescent="0.2">
      <c r="A4201" s="646" t="s">
        <v>10266</v>
      </c>
      <c r="B4201" s="735" t="s">
        <v>2170</v>
      </c>
      <c r="C4201" s="646" t="s">
        <v>451</v>
      </c>
      <c r="D4201" s="636" t="s">
        <v>10601</v>
      </c>
      <c r="E4201" s="759">
        <v>10000</v>
      </c>
      <c r="F4201" s="638" t="s">
        <v>10795</v>
      </c>
      <c r="G4201" s="644" t="s">
        <v>10796</v>
      </c>
      <c r="H4201" s="636" t="s">
        <v>10749</v>
      </c>
      <c r="I4201" s="636" t="s">
        <v>2180</v>
      </c>
      <c r="J4201" s="635" t="s">
        <v>2180</v>
      </c>
      <c r="K4201" s="760">
        <v>11</v>
      </c>
      <c r="L4201" s="760">
        <v>12</v>
      </c>
      <c r="M4201" s="736">
        <v>121960.8</v>
      </c>
      <c r="N4201" s="753">
        <v>15</v>
      </c>
      <c r="O4201" s="760">
        <v>6</v>
      </c>
      <c r="P4201" s="736">
        <v>61044.9</v>
      </c>
      <c r="Q4201" s="214"/>
    </row>
    <row r="4202" spans="1:17" ht="12" customHeight="1" x14ac:dyDescent="0.2">
      <c r="A4202" s="646" t="s">
        <v>10266</v>
      </c>
      <c r="B4202" s="735" t="s">
        <v>2170</v>
      </c>
      <c r="C4202" s="646" t="s">
        <v>451</v>
      </c>
      <c r="D4202" s="636" t="s">
        <v>10300</v>
      </c>
      <c r="E4202" s="759">
        <v>9000</v>
      </c>
      <c r="F4202" s="638" t="s">
        <v>10797</v>
      </c>
      <c r="G4202" s="644" t="s">
        <v>10798</v>
      </c>
      <c r="H4202" s="636" t="s">
        <v>10799</v>
      </c>
      <c r="I4202" s="636" t="s">
        <v>2180</v>
      </c>
      <c r="J4202" s="635" t="s">
        <v>2180</v>
      </c>
      <c r="K4202" s="760">
        <v>1</v>
      </c>
      <c r="L4202" s="760">
        <v>8</v>
      </c>
      <c r="M4202" s="736">
        <v>132086.70000000001</v>
      </c>
      <c r="N4202" s="753">
        <v>1</v>
      </c>
      <c r="O4202" s="760">
        <v>6</v>
      </c>
      <c r="P4202" s="736">
        <v>55044.9</v>
      </c>
      <c r="Q4202" s="214"/>
    </row>
    <row r="4203" spans="1:17" ht="12" customHeight="1" x14ac:dyDescent="0.2">
      <c r="A4203" s="646" t="s">
        <v>10266</v>
      </c>
      <c r="B4203" s="735" t="s">
        <v>2170</v>
      </c>
      <c r="C4203" s="646" t="s">
        <v>451</v>
      </c>
      <c r="D4203" s="636" t="s">
        <v>2369</v>
      </c>
      <c r="E4203" s="759">
        <v>4500</v>
      </c>
      <c r="F4203" s="638" t="s">
        <v>10800</v>
      </c>
      <c r="G4203" s="644" t="s">
        <v>10801</v>
      </c>
      <c r="H4203" s="636" t="s">
        <v>10802</v>
      </c>
      <c r="I4203" s="636" t="s">
        <v>2766</v>
      </c>
      <c r="J4203" s="635" t="s">
        <v>2766</v>
      </c>
      <c r="K4203" s="760">
        <v>2</v>
      </c>
      <c r="L4203" s="760">
        <v>1</v>
      </c>
      <c r="M4203" s="736">
        <v>5576.8</v>
      </c>
      <c r="N4203" s="753">
        <v>0</v>
      </c>
      <c r="O4203" s="760">
        <v>0</v>
      </c>
      <c r="P4203" s="736">
        <v>0</v>
      </c>
      <c r="Q4203" s="214"/>
    </row>
    <row r="4204" spans="1:17" ht="12" customHeight="1" x14ac:dyDescent="0.2">
      <c r="A4204" s="646" t="s">
        <v>10266</v>
      </c>
      <c r="B4204" s="735" t="s">
        <v>2170</v>
      </c>
      <c r="C4204" s="646" t="s">
        <v>451</v>
      </c>
      <c r="D4204" s="636" t="s">
        <v>2225</v>
      </c>
      <c r="E4204" s="759">
        <v>10000</v>
      </c>
      <c r="F4204" s="638" t="s">
        <v>10803</v>
      </c>
      <c r="G4204" s="644" t="s">
        <v>10804</v>
      </c>
      <c r="H4204" s="636" t="s">
        <v>2179</v>
      </c>
      <c r="I4204" s="636" t="s">
        <v>2180</v>
      </c>
      <c r="J4204" s="635" t="s">
        <v>2180</v>
      </c>
      <c r="K4204" s="760">
        <v>2</v>
      </c>
      <c r="L4204" s="760">
        <v>1</v>
      </c>
      <c r="M4204" s="736">
        <v>4113.3999999999996</v>
      </c>
      <c r="N4204" s="753">
        <v>4</v>
      </c>
      <c r="O4204" s="760">
        <v>6</v>
      </c>
      <c r="P4204" s="736">
        <v>61044.9</v>
      </c>
      <c r="Q4204" s="214"/>
    </row>
    <row r="4205" spans="1:17" ht="12" customHeight="1" x14ac:dyDescent="0.2">
      <c r="A4205" s="646" t="s">
        <v>10266</v>
      </c>
      <c r="B4205" s="735" t="s">
        <v>2170</v>
      </c>
      <c r="C4205" s="646" t="s">
        <v>451</v>
      </c>
      <c r="D4205" s="636" t="s">
        <v>10329</v>
      </c>
      <c r="E4205" s="759">
        <v>11000</v>
      </c>
      <c r="F4205" s="638" t="s">
        <v>10805</v>
      </c>
      <c r="G4205" s="644" t="s">
        <v>10806</v>
      </c>
      <c r="H4205" s="636" t="s">
        <v>2179</v>
      </c>
      <c r="I4205" s="636" t="s">
        <v>2180</v>
      </c>
      <c r="J4205" s="635" t="s">
        <v>2180</v>
      </c>
      <c r="K4205" s="760">
        <v>1</v>
      </c>
      <c r="L4205" s="760">
        <v>12</v>
      </c>
      <c r="M4205" s="736">
        <v>133960.79999999999</v>
      </c>
      <c r="N4205" s="753">
        <v>1</v>
      </c>
      <c r="O4205" s="760">
        <v>6</v>
      </c>
      <c r="P4205" s="736">
        <v>67044.899999999994</v>
      </c>
      <c r="Q4205" s="214"/>
    </row>
    <row r="4206" spans="1:17" ht="12" customHeight="1" x14ac:dyDescent="0.2">
      <c r="A4206" s="646" t="s">
        <v>10266</v>
      </c>
      <c r="B4206" s="735" t="s">
        <v>2170</v>
      </c>
      <c r="C4206" s="646" t="s">
        <v>451</v>
      </c>
      <c r="D4206" s="636" t="s">
        <v>10807</v>
      </c>
      <c r="E4206" s="759">
        <v>12000</v>
      </c>
      <c r="F4206" s="638" t="s">
        <v>10808</v>
      </c>
      <c r="G4206" s="644" t="s">
        <v>10809</v>
      </c>
      <c r="H4206" s="636" t="s">
        <v>10810</v>
      </c>
      <c r="I4206" s="636" t="s">
        <v>2180</v>
      </c>
      <c r="J4206" s="635" t="s">
        <v>2180</v>
      </c>
      <c r="K4206" s="760">
        <v>2</v>
      </c>
      <c r="L4206" s="760">
        <v>1</v>
      </c>
      <c r="M4206" s="736">
        <v>4913.3999999999996</v>
      </c>
      <c r="N4206" s="753">
        <v>4</v>
      </c>
      <c r="O4206" s="760">
        <v>6</v>
      </c>
      <c r="P4206" s="736">
        <v>72972.400000000009</v>
      </c>
      <c r="Q4206" s="214"/>
    </row>
    <row r="4207" spans="1:17" ht="12" customHeight="1" x14ac:dyDescent="0.2">
      <c r="A4207" s="646" t="s">
        <v>10266</v>
      </c>
      <c r="B4207" s="735" t="s">
        <v>2170</v>
      </c>
      <c r="C4207" s="646" t="s">
        <v>451</v>
      </c>
      <c r="D4207" s="636" t="s">
        <v>7281</v>
      </c>
      <c r="E4207" s="759">
        <v>15000</v>
      </c>
      <c r="F4207" s="638" t="s">
        <v>10811</v>
      </c>
      <c r="G4207" s="644" t="s">
        <v>10812</v>
      </c>
      <c r="H4207" s="636" t="s">
        <v>10691</v>
      </c>
      <c r="I4207" s="636" t="s">
        <v>2180</v>
      </c>
      <c r="J4207" s="635" t="s">
        <v>2180</v>
      </c>
      <c r="K4207" s="760">
        <v>1</v>
      </c>
      <c r="L4207" s="760">
        <v>1</v>
      </c>
      <c r="M4207" s="736">
        <v>14613.4</v>
      </c>
      <c r="N4207" s="753">
        <v>0</v>
      </c>
      <c r="O4207" s="760">
        <v>0</v>
      </c>
      <c r="P4207" s="736">
        <v>0</v>
      </c>
      <c r="Q4207" s="214"/>
    </row>
    <row r="4208" spans="1:17" ht="12" customHeight="1" x14ac:dyDescent="0.2">
      <c r="A4208" s="646" t="s">
        <v>10266</v>
      </c>
      <c r="B4208" s="735" t="s">
        <v>2170</v>
      </c>
      <c r="C4208" s="646" t="s">
        <v>451</v>
      </c>
      <c r="D4208" s="636" t="s">
        <v>10332</v>
      </c>
      <c r="E4208" s="759">
        <v>7000</v>
      </c>
      <c r="F4208" s="638" t="s">
        <v>10813</v>
      </c>
      <c r="G4208" s="644" t="s">
        <v>10814</v>
      </c>
      <c r="H4208" s="636" t="s">
        <v>2253</v>
      </c>
      <c r="I4208" s="636" t="s">
        <v>2253</v>
      </c>
      <c r="J4208" s="635" t="s">
        <v>2253</v>
      </c>
      <c r="K4208" s="760">
        <v>4</v>
      </c>
      <c r="L4208" s="760">
        <v>12</v>
      </c>
      <c r="M4208" s="736">
        <v>85960.8</v>
      </c>
      <c r="N4208" s="753">
        <v>3</v>
      </c>
      <c r="O4208" s="638">
        <v>6</v>
      </c>
      <c r="P4208" s="736">
        <v>51304.490000000005</v>
      </c>
      <c r="Q4208" s="214"/>
    </row>
    <row r="4209" spans="1:17" ht="12" customHeight="1" x14ac:dyDescent="0.2">
      <c r="A4209" s="646" t="s">
        <v>10266</v>
      </c>
      <c r="B4209" s="735" t="s">
        <v>2170</v>
      </c>
      <c r="C4209" s="646" t="s">
        <v>451</v>
      </c>
      <c r="D4209" s="636" t="s">
        <v>10323</v>
      </c>
      <c r="E4209" s="759">
        <v>5500</v>
      </c>
      <c r="F4209" s="638" t="s">
        <v>10815</v>
      </c>
      <c r="G4209" s="644" t="s">
        <v>10816</v>
      </c>
      <c r="H4209" s="636" t="s">
        <v>2253</v>
      </c>
      <c r="I4209" s="636" t="s">
        <v>2253</v>
      </c>
      <c r="J4209" s="635" t="s">
        <v>2253</v>
      </c>
      <c r="K4209" s="760">
        <v>2</v>
      </c>
      <c r="L4209" s="760">
        <v>5</v>
      </c>
      <c r="M4209" s="736">
        <v>27633.67</v>
      </c>
      <c r="N4209" s="753">
        <v>5</v>
      </c>
      <c r="O4209" s="760">
        <v>6</v>
      </c>
      <c r="P4209" s="736">
        <v>34044.9</v>
      </c>
      <c r="Q4209" s="214"/>
    </row>
    <row r="4210" spans="1:17" ht="12" customHeight="1" x14ac:dyDescent="0.2">
      <c r="A4210" s="646" t="s">
        <v>10266</v>
      </c>
      <c r="B4210" s="735" t="s">
        <v>2170</v>
      </c>
      <c r="C4210" s="646" t="s">
        <v>451</v>
      </c>
      <c r="D4210" s="636" t="s">
        <v>10275</v>
      </c>
      <c r="E4210" s="759">
        <v>9000</v>
      </c>
      <c r="F4210" s="638" t="s">
        <v>10817</v>
      </c>
      <c r="G4210" s="644" t="s">
        <v>10818</v>
      </c>
      <c r="H4210" s="636" t="s">
        <v>3070</v>
      </c>
      <c r="I4210" s="636" t="s">
        <v>2180</v>
      </c>
      <c r="J4210" s="635" t="s">
        <v>2180</v>
      </c>
      <c r="K4210" s="760">
        <v>1</v>
      </c>
      <c r="L4210" s="760">
        <v>12</v>
      </c>
      <c r="M4210" s="736">
        <v>109960.8</v>
      </c>
      <c r="N4210" s="753">
        <v>1</v>
      </c>
      <c r="O4210" s="760">
        <v>6</v>
      </c>
      <c r="P4210" s="736">
        <v>55044.9</v>
      </c>
      <c r="Q4210" s="214"/>
    </row>
    <row r="4211" spans="1:17" ht="12" customHeight="1" x14ac:dyDescent="0.2">
      <c r="A4211" s="646" t="s">
        <v>10266</v>
      </c>
      <c r="B4211" s="735" t="s">
        <v>2170</v>
      </c>
      <c r="C4211" s="646" t="s">
        <v>451</v>
      </c>
      <c r="D4211" s="636" t="s">
        <v>10278</v>
      </c>
      <c r="E4211" s="759">
        <v>14000</v>
      </c>
      <c r="F4211" s="638" t="s">
        <v>10819</v>
      </c>
      <c r="G4211" s="644" t="s">
        <v>10820</v>
      </c>
      <c r="H4211" s="636" t="s">
        <v>10555</v>
      </c>
      <c r="I4211" s="636" t="s">
        <v>2180</v>
      </c>
      <c r="J4211" s="635" t="s">
        <v>2180</v>
      </c>
      <c r="K4211" s="760">
        <v>1</v>
      </c>
      <c r="L4211" s="760">
        <v>12</v>
      </c>
      <c r="M4211" s="736">
        <v>169960.8</v>
      </c>
      <c r="N4211" s="753">
        <v>1</v>
      </c>
      <c r="O4211" s="760">
        <v>6</v>
      </c>
      <c r="P4211" s="736">
        <v>85044.9</v>
      </c>
      <c r="Q4211" s="214"/>
    </row>
    <row r="4212" spans="1:17" ht="12" customHeight="1" x14ac:dyDescent="0.2">
      <c r="A4212" s="646" t="s">
        <v>10266</v>
      </c>
      <c r="B4212" s="735" t="s">
        <v>2170</v>
      </c>
      <c r="C4212" s="646" t="s">
        <v>451</v>
      </c>
      <c r="D4212" s="636" t="s">
        <v>10329</v>
      </c>
      <c r="E4212" s="759">
        <v>9000</v>
      </c>
      <c r="F4212" s="638" t="s">
        <v>10821</v>
      </c>
      <c r="G4212" s="644" t="s">
        <v>10822</v>
      </c>
      <c r="H4212" s="636" t="s">
        <v>2179</v>
      </c>
      <c r="I4212" s="636" t="s">
        <v>2180</v>
      </c>
      <c r="J4212" s="635" t="s">
        <v>2180</v>
      </c>
      <c r="K4212" s="760">
        <v>1</v>
      </c>
      <c r="L4212" s="760">
        <v>10</v>
      </c>
      <c r="M4212" s="736">
        <v>83820.600000000006</v>
      </c>
      <c r="N4212" s="753">
        <v>1</v>
      </c>
      <c r="O4212" s="760">
        <v>2</v>
      </c>
      <c r="P4212" s="736">
        <v>22322.45</v>
      </c>
      <c r="Q4212" s="214"/>
    </row>
    <row r="4213" spans="1:17" ht="12" customHeight="1" x14ac:dyDescent="0.2">
      <c r="A4213" s="646" t="s">
        <v>10266</v>
      </c>
      <c r="B4213" s="735" t="s">
        <v>2170</v>
      </c>
      <c r="C4213" s="646" t="s">
        <v>451</v>
      </c>
      <c r="D4213" s="636" t="s">
        <v>10329</v>
      </c>
      <c r="E4213" s="759">
        <v>10000</v>
      </c>
      <c r="F4213" s="638" t="s">
        <v>10821</v>
      </c>
      <c r="G4213" s="644" t="s">
        <v>10823</v>
      </c>
      <c r="H4213" s="636" t="s">
        <v>2179</v>
      </c>
      <c r="I4213" s="636" t="s">
        <v>2180</v>
      </c>
      <c r="J4213" s="635" t="s">
        <v>2180</v>
      </c>
      <c r="K4213" s="760">
        <v>0</v>
      </c>
      <c r="L4213" s="760">
        <v>0</v>
      </c>
      <c r="M4213" s="736">
        <v>0</v>
      </c>
      <c r="N4213" s="753">
        <v>1</v>
      </c>
      <c r="O4213" s="760">
        <v>5</v>
      </c>
      <c r="P4213" s="736">
        <v>45537.42</v>
      </c>
      <c r="Q4213" s="214"/>
    </row>
    <row r="4214" spans="1:17" ht="12" customHeight="1" x14ac:dyDescent="0.2">
      <c r="A4214" s="646" t="s">
        <v>10266</v>
      </c>
      <c r="B4214" s="735" t="s">
        <v>2170</v>
      </c>
      <c r="C4214" s="646" t="s">
        <v>451</v>
      </c>
      <c r="D4214" s="636" t="s">
        <v>2369</v>
      </c>
      <c r="E4214" s="759">
        <v>3500</v>
      </c>
      <c r="F4214" s="638" t="s">
        <v>6603</v>
      </c>
      <c r="G4214" s="644" t="s">
        <v>6604</v>
      </c>
      <c r="H4214" s="636" t="s">
        <v>2602</v>
      </c>
      <c r="I4214" s="636" t="s">
        <v>643</v>
      </c>
      <c r="J4214" s="635" t="s">
        <v>643</v>
      </c>
      <c r="K4214" s="760">
        <v>1</v>
      </c>
      <c r="L4214" s="760">
        <v>1</v>
      </c>
      <c r="M4214" s="736">
        <v>4757.3500000000004</v>
      </c>
      <c r="N4214" s="753">
        <v>0</v>
      </c>
      <c r="O4214" s="760">
        <v>0</v>
      </c>
      <c r="P4214" s="736">
        <v>0</v>
      </c>
      <c r="Q4214" s="214"/>
    </row>
    <row r="4215" spans="1:17" ht="12" customHeight="1" x14ac:dyDescent="0.2">
      <c r="A4215" s="646" t="s">
        <v>10266</v>
      </c>
      <c r="B4215" s="735" t="s">
        <v>2170</v>
      </c>
      <c r="C4215" s="646" t="s">
        <v>451</v>
      </c>
      <c r="D4215" s="636" t="s">
        <v>10300</v>
      </c>
      <c r="E4215" s="759">
        <v>11000</v>
      </c>
      <c r="F4215" s="638" t="s">
        <v>10824</v>
      </c>
      <c r="G4215" s="644" t="s">
        <v>10825</v>
      </c>
      <c r="H4215" s="636" t="s">
        <v>10794</v>
      </c>
      <c r="I4215" s="636" t="s">
        <v>2180</v>
      </c>
      <c r="J4215" s="635" t="s">
        <v>2180</v>
      </c>
      <c r="K4215" s="760">
        <v>1</v>
      </c>
      <c r="L4215" s="760">
        <v>8</v>
      </c>
      <c r="M4215" s="736">
        <v>88940.53</v>
      </c>
      <c r="N4215" s="753">
        <v>1</v>
      </c>
      <c r="O4215" s="760">
        <v>6</v>
      </c>
      <c r="P4215" s="736">
        <v>67044.899999999994</v>
      </c>
      <c r="Q4215" s="214"/>
    </row>
    <row r="4216" spans="1:17" ht="12" customHeight="1" x14ac:dyDescent="0.2">
      <c r="A4216" s="646" t="s">
        <v>10266</v>
      </c>
      <c r="B4216" s="735" t="s">
        <v>2170</v>
      </c>
      <c r="C4216" s="646" t="s">
        <v>451</v>
      </c>
      <c r="D4216" s="636" t="s">
        <v>2369</v>
      </c>
      <c r="E4216" s="759">
        <v>3500</v>
      </c>
      <c r="F4216" s="638" t="s">
        <v>10826</v>
      </c>
      <c r="G4216" s="644" t="s">
        <v>10827</v>
      </c>
      <c r="H4216" s="636" t="s">
        <v>10828</v>
      </c>
      <c r="I4216" s="636" t="s">
        <v>2180</v>
      </c>
      <c r="J4216" s="635" t="s">
        <v>2180</v>
      </c>
      <c r="K4216" s="760">
        <v>4</v>
      </c>
      <c r="L4216" s="760">
        <v>12</v>
      </c>
      <c r="M4216" s="736">
        <v>43938.44</v>
      </c>
      <c r="N4216" s="753">
        <v>8</v>
      </c>
      <c r="O4216" s="760">
        <v>6</v>
      </c>
      <c r="P4216" s="736">
        <v>22023.02</v>
      </c>
      <c r="Q4216" s="214"/>
    </row>
    <row r="4217" spans="1:17" ht="12" customHeight="1" x14ac:dyDescent="0.2">
      <c r="A4217" s="646" t="s">
        <v>10266</v>
      </c>
      <c r="B4217" s="735" t="s">
        <v>2170</v>
      </c>
      <c r="C4217" s="646" t="s">
        <v>451</v>
      </c>
      <c r="D4217" s="636" t="s">
        <v>2369</v>
      </c>
      <c r="E4217" s="759">
        <v>3500</v>
      </c>
      <c r="F4217" s="638" t="s">
        <v>10829</v>
      </c>
      <c r="G4217" s="644" t="s">
        <v>10830</v>
      </c>
      <c r="H4217" s="636" t="s">
        <v>2602</v>
      </c>
      <c r="I4217" s="636" t="s">
        <v>643</v>
      </c>
      <c r="J4217" s="635" t="s">
        <v>643</v>
      </c>
      <c r="K4217" s="760">
        <v>2</v>
      </c>
      <c r="L4217" s="760">
        <v>3</v>
      </c>
      <c r="M4217" s="736">
        <v>8471.2999999999993</v>
      </c>
      <c r="N4217" s="753">
        <v>4</v>
      </c>
      <c r="O4217" s="760">
        <v>6</v>
      </c>
      <c r="P4217" s="736">
        <v>22039.800000000003</v>
      </c>
      <c r="Q4217" s="214"/>
    </row>
    <row r="4218" spans="1:17" ht="12" customHeight="1" x14ac:dyDescent="0.2">
      <c r="A4218" s="646" t="s">
        <v>10266</v>
      </c>
      <c r="B4218" s="735" t="s">
        <v>2170</v>
      </c>
      <c r="C4218" s="646" t="s">
        <v>451</v>
      </c>
      <c r="D4218" s="636" t="s">
        <v>10492</v>
      </c>
      <c r="E4218" s="759">
        <v>2000</v>
      </c>
      <c r="F4218" s="638" t="s">
        <v>10831</v>
      </c>
      <c r="G4218" s="644" t="s">
        <v>10832</v>
      </c>
      <c r="H4218" s="636" t="s">
        <v>2189</v>
      </c>
      <c r="I4218" s="636" t="s">
        <v>2180</v>
      </c>
      <c r="J4218" s="635" t="s">
        <v>2180</v>
      </c>
      <c r="K4218" s="760">
        <v>1</v>
      </c>
      <c r="L4218" s="760">
        <v>2</v>
      </c>
      <c r="M4218" s="736">
        <v>4025.13</v>
      </c>
      <c r="N4218" s="753">
        <v>3</v>
      </c>
      <c r="O4218" s="760">
        <v>6</v>
      </c>
      <c r="P4218" s="736">
        <v>12990.869999999999</v>
      </c>
      <c r="Q4218" s="214"/>
    </row>
    <row r="4219" spans="1:17" ht="12" customHeight="1" x14ac:dyDescent="0.2">
      <c r="A4219" s="646" t="s">
        <v>10266</v>
      </c>
      <c r="B4219" s="735" t="s">
        <v>2170</v>
      </c>
      <c r="C4219" s="646" t="s">
        <v>451</v>
      </c>
      <c r="D4219" s="636" t="s">
        <v>10335</v>
      </c>
      <c r="E4219" s="759">
        <v>5500</v>
      </c>
      <c r="F4219" s="638" t="s">
        <v>10833</v>
      </c>
      <c r="G4219" s="644" t="s">
        <v>10834</v>
      </c>
      <c r="H4219" s="636" t="s">
        <v>2253</v>
      </c>
      <c r="I4219" s="636" t="s">
        <v>2253</v>
      </c>
      <c r="J4219" s="635" t="s">
        <v>2253</v>
      </c>
      <c r="K4219" s="760">
        <v>5</v>
      </c>
      <c r="L4219" s="760">
        <v>12</v>
      </c>
      <c r="M4219" s="736">
        <v>71725.649999999994</v>
      </c>
      <c r="N4219" s="753">
        <v>0</v>
      </c>
      <c r="O4219" s="760">
        <v>0</v>
      </c>
      <c r="P4219" s="736">
        <v>0</v>
      </c>
      <c r="Q4219" s="214"/>
    </row>
    <row r="4220" spans="1:17" ht="12" customHeight="1" x14ac:dyDescent="0.2">
      <c r="A4220" s="646" t="s">
        <v>10266</v>
      </c>
      <c r="B4220" s="735" t="s">
        <v>2170</v>
      </c>
      <c r="C4220" s="646" t="s">
        <v>451</v>
      </c>
      <c r="D4220" s="636" t="s">
        <v>10835</v>
      </c>
      <c r="E4220" s="759">
        <v>10000</v>
      </c>
      <c r="F4220" s="638" t="s">
        <v>10836</v>
      </c>
      <c r="G4220" s="644" t="s">
        <v>10837</v>
      </c>
      <c r="H4220" s="636" t="s">
        <v>3247</v>
      </c>
      <c r="I4220" s="636" t="s">
        <v>2180</v>
      </c>
      <c r="J4220" s="635" t="s">
        <v>2180</v>
      </c>
      <c r="K4220" s="760">
        <v>20</v>
      </c>
      <c r="L4220" s="760">
        <v>12</v>
      </c>
      <c r="M4220" s="736">
        <v>121956.63</v>
      </c>
      <c r="N4220" s="753">
        <v>24</v>
      </c>
      <c r="O4220" s="760">
        <v>6</v>
      </c>
      <c r="P4220" s="736">
        <v>61044.900000000009</v>
      </c>
      <c r="Q4220" s="214"/>
    </row>
    <row r="4221" spans="1:17" ht="12" customHeight="1" x14ac:dyDescent="0.2">
      <c r="A4221" s="646" t="s">
        <v>10266</v>
      </c>
      <c r="B4221" s="735" t="s">
        <v>2170</v>
      </c>
      <c r="C4221" s="646" t="s">
        <v>451</v>
      </c>
      <c r="D4221" s="636" t="s">
        <v>2906</v>
      </c>
      <c r="E4221" s="759">
        <v>3500</v>
      </c>
      <c r="F4221" s="638" t="s">
        <v>10838</v>
      </c>
      <c r="G4221" s="644" t="s">
        <v>10839</v>
      </c>
      <c r="H4221" s="636" t="s">
        <v>7917</v>
      </c>
      <c r="I4221" s="636" t="s">
        <v>643</v>
      </c>
      <c r="J4221" s="635" t="s">
        <v>643</v>
      </c>
      <c r="K4221" s="760">
        <v>1</v>
      </c>
      <c r="L4221" s="760">
        <v>1</v>
      </c>
      <c r="M4221" s="736">
        <v>900.37</v>
      </c>
      <c r="N4221" s="753">
        <v>2</v>
      </c>
      <c r="O4221" s="760">
        <v>1</v>
      </c>
      <c r="P4221" s="736">
        <v>4033.86</v>
      </c>
      <c r="Q4221" s="214"/>
    </row>
    <row r="4222" spans="1:17" ht="12" customHeight="1" x14ac:dyDescent="0.2">
      <c r="A4222" s="646" t="s">
        <v>10266</v>
      </c>
      <c r="B4222" s="735" t="s">
        <v>2170</v>
      </c>
      <c r="C4222" s="646" t="s">
        <v>451</v>
      </c>
      <c r="D4222" s="636" t="s">
        <v>10278</v>
      </c>
      <c r="E4222" s="759">
        <v>10000</v>
      </c>
      <c r="F4222" s="638" t="s">
        <v>10840</v>
      </c>
      <c r="G4222" s="644" t="s">
        <v>10841</v>
      </c>
      <c r="H4222" s="636" t="s">
        <v>2543</v>
      </c>
      <c r="I4222" s="636" t="s">
        <v>2180</v>
      </c>
      <c r="J4222" s="635" t="s">
        <v>2180</v>
      </c>
      <c r="K4222" s="760">
        <v>1</v>
      </c>
      <c r="L4222" s="760">
        <v>9</v>
      </c>
      <c r="M4222" s="736">
        <v>90961.74</v>
      </c>
      <c r="N4222" s="753">
        <v>0</v>
      </c>
      <c r="O4222" s="760">
        <v>0</v>
      </c>
      <c r="P4222" s="736">
        <v>0</v>
      </c>
      <c r="Q4222" s="214"/>
    </row>
    <row r="4223" spans="1:17" ht="12" customHeight="1" x14ac:dyDescent="0.2">
      <c r="A4223" s="646" t="s">
        <v>10266</v>
      </c>
      <c r="B4223" s="735" t="s">
        <v>2170</v>
      </c>
      <c r="C4223" s="646" t="s">
        <v>451</v>
      </c>
      <c r="D4223" s="636" t="s">
        <v>10278</v>
      </c>
      <c r="E4223" s="759">
        <v>13000</v>
      </c>
      <c r="F4223" s="638" t="s">
        <v>10840</v>
      </c>
      <c r="G4223" s="644" t="s">
        <v>10841</v>
      </c>
      <c r="H4223" s="636" t="s">
        <v>2543</v>
      </c>
      <c r="I4223" s="636" t="s">
        <v>2180</v>
      </c>
      <c r="J4223" s="635" t="s">
        <v>2180</v>
      </c>
      <c r="K4223" s="760">
        <v>1</v>
      </c>
      <c r="L4223" s="760">
        <v>4</v>
      </c>
      <c r="M4223" s="761">
        <v>52220.27</v>
      </c>
      <c r="N4223" s="753">
        <v>2</v>
      </c>
      <c r="O4223" s="760">
        <v>6</v>
      </c>
      <c r="P4223" s="736">
        <v>79044.899999999994</v>
      </c>
      <c r="Q4223" s="214"/>
    </row>
    <row r="4224" spans="1:17" ht="12" customHeight="1" x14ac:dyDescent="0.2">
      <c r="A4224" s="646" t="s">
        <v>10266</v>
      </c>
      <c r="B4224" s="735" t="s">
        <v>2170</v>
      </c>
      <c r="C4224" s="646" t="s">
        <v>451</v>
      </c>
      <c r="D4224" s="636" t="s">
        <v>10335</v>
      </c>
      <c r="E4224" s="759">
        <v>5500</v>
      </c>
      <c r="F4224" s="638" t="s">
        <v>10842</v>
      </c>
      <c r="G4224" s="644" t="s">
        <v>10843</v>
      </c>
      <c r="H4224" s="636" t="s">
        <v>2253</v>
      </c>
      <c r="I4224" s="636" t="s">
        <v>2253</v>
      </c>
      <c r="J4224" s="635" t="s">
        <v>2253</v>
      </c>
      <c r="K4224" s="760">
        <v>2</v>
      </c>
      <c r="L4224" s="760">
        <v>5</v>
      </c>
      <c r="M4224" s="736">
        <v>30772.05</v>
      </c>
      <c r="N4224" s="753">
        <v>6</v>
      </c>
      <c r="O4224" s="760">
        <v>6</v>
      </c>
      <c r="P4224" s="736">
        <v>34044.9</v>
      </c>
      <c r="Q4224" s="214"/>
    </row>
    <row r="4225" spans="1:17" ht="12" customHeight="1" x14ac:dyDescent="0.2">
      <c r="A4225" s="646" t="s">
        <v>10266</v>
      </c>
      <c r="B4225" s="735" t="s">
        <v>2170</v>
      </c>
      <c r="C4225" s="646" t="s">
        <v>451</v>
      </c>
      <c r="D4225" s="636" t="s">
        <v>10844</v>
      </c>
      <c r="E4225" s="759">
        <v>12500</v>
      </c>
      <c r="F4225" s="638" t="s">
        <v>10845</v>
      </c>
      <c r="G4225" s="644" t="s">
        <v>10846</v>
      </c>
      <c r="H4225" s="636" t="s">
        <v>10847</v>
      </c>
      <c r="I4225" s="636" t="s">
        <v>2180</v>
      </c>
      <c r="J4225" s="635" t="s">
        <v>2180</v>
      </c>
      <c r="K4225" s="760">
        <v>2</v>
      </c>
      <c r="L4225" s="760">
        <v>3</v>
      </c>
      <c r="M4225" s="736">
        <v>38040.199999999997</v>
      </c>
      <c r="N4225" s="753">
        <v>5</v>
      </c>
      <c r="O4225" s="760">
        <v>6</v>
      </c>
      <c r="P4225" s="736">
        <v>75628.23</v>
      </c>
      <c r="Q4225" s="214"/>
    </row>
    <row r="4226" spans="1:17" ht="12" customHeight="1" x14ac:dyDescent="0.2">
      <c r="A4226" s="646" t="s">
        <v>10266</v>
      </c>
      <c r="B4226" s="735" t="s">
        <v>2170</v>
      </c>
      <c r="C4226" s="646" t="s">
        <v>451</v>
      </c>
      <c r="D4226" s="636" t="s">
        <v>10848</v>
      </c>
      <c r="E4226" s="759">
        <v>10000</v>
      </c>
      <c r="F4226" s="638" t="s">
        <v>10849</v>
      </c>
      <c r="G4226" s="644" t="s">
        <v>10850</v>
      </c>
      <c r="H4226" s="636" t="s">
        <v>10851</v>
      </c>
      <c r="I4226" s="636" t="s">
        <v>2180</v>
      </c>
      <c r="J4226" s="635" t="s">
        <v>2180</v>
      </c>
      <c r="K4226" s="760">
        <v>1</v>
      </c>
      <c r="L4226" s="760">
        <v>1</v>
      </c>
      <c r="M4226" s="761">
        <v>6780.07</v>
      </c>
      <c r="N4226" s="753">
        <v>1</v>
      </c>
      <c r="O4226" s="760">
        <v>2</v>
      </c>
      <c r="P4226" s="736">
        <v>17689.12</v>
      </c>
      <c r="Q4226" s="214"/>
    </row>
    <row r="4227" spans="1:17" ht="12" customHeight="1" x14ac:dyDescent="0.2">
      <c r="A4227" s="646" t="s">
        <v>10266</v>
      </c>
      <c r="B4227" s="735" t="s">
        <v>2170</v>
      </c>
      <c r="C4227" s="646" t="s">
        <v>451</v>
      </c>
      <c r="D4227" s="636" t="s">
        <v>10278</v>
      </c>
      <c r="E4227" s="759">
        <v>12000</v>
      </c>
      <c r="F4227" s="638" t="s">
        <v>10849</v>
      </c>
      <c r="G4227" s="644" t="s">
        <v>10852</v>
      </c>
      <c r="H4227" s="636" t="s">
        <v>10851</v>
      </c>
      <c r="I4227" s="636" t="s">
        <v>2180</v>
      </c>
      <c r="J4227" s="635" t="s">
        <v>2180</v>
      </c>
      <c r="K4227" s="760">
        <v>0</v>
      </c>
      <c r="L4227" s="760">
        <v>0</v>
      </c>
      <c r="M4227" s="736">
        <v>0</v>
      </c>
      <c r="N4227" s="753">
        <v>1</v>
      </c>
      <c r="O4227" s="760">
        <v>5</v>
      </c>
      <c r="P4227" s="736">
        <v>54470.75</v>
      </c>
      <c r="Q4227" s="214"/>
    </row>
    <row r="4228" spans="1:17" ht="12" customHeight="1" x14ac:dyDescent="0.2">
      <c r="A4228" s="646" t="s">
        <v>10266</v>
      </c>
      <c r="B4228" s="735" t="s">
        <v>2170</v>
      </c>
      <c r="C4228" s="646" t="s">
        <v>451</v>
      </c>
      <c r="D4228" s="636" t="s">
        <v>10358</v>
      </c>
      <c r="E4228" s="759">
        <v>10000</v>
      </c>
      <c r="F4228" s="638" t="s">
        <v>10853</v>
      </c>
      <c r="G4228" s="644" t="s">
        <v>10854</v>
      </c>
      <c r="H4228" s="636" t="s">
        <v>10855</v>
      </c>
      <c r="I4228" s="636" t="s">
        <v>2180</v>
      </c>
      <c r="J4228" s="635" t="s">
        <v>2180</v>
      </c>
      <c r="K4228" s="760">
        <v>10</v>
      </c>
      <c r="L4228" s="760">
        <v>12</v>
      </c>
      <c r="M4228" s="736">
        <v>121520.53</v>
      </c>
      <c r="N4228" s="753">
        <v>14</v>
      </c>
      <c r="O4228" s="760">
        <v>6</v>
      </c>
      <c r="P4228" s="736">
        <v>60963.65</v>
      </c>
      <c r="Q4228" s="214"/>
    </row>
    <row r="4229" spans="1:17" ht="12" customHeight="1" x14ac:dyDescent="0.2">
      <c r="A4229" s="646" t="s">
        <v>10266</v>
      </c>
      <c r="B4229" s="735" t="s">
        <v>2170</v>
      </c>
      <c r="C4229" s="646" t="s">
        <v>451</v>
      </c>
      <c r="D4229" s="636" t="s">
        <v>10275</v>
      </c>
      <c r="E4229" s="759">
        <v>11000</v>
      </c>
      <c r="F4229" s="638" t="s">
        <v>10856</v>
      </c>
      <c r="G4229" s="644" t="s">
        <v>10857</v>
      </c>
      <c r="H4229" s="636" t="s">
        <v>2174</v>
      </c>
      <c r="I4229" s="636" t="s">
        <v>2180</v>
      </c>
      <c r="J4229" s="635" t="s">
        <v>2180</v>
      </c>
      <c r="K4229" s="760">
        <v>1</v>
      </c>
      <c r="L4229" s="760">
        <v>12</v>
      </c>
      <c r="M4229" s="736">
        <v>133960.79999999999</v>
      </c>
      <c r="N4229" s="753">
        <v>1</v>
      </c>
      <c r="O4229" s="760">
        <v>6</v>
      </c>
      <c r="P4229" s="736">
        <v>67044.899999999994</v>
      </c>
      <c r="Q4229" s="214"/>
    </row>
    <row r="4230" spans="1:17" ht="12" customHeight="1" x14ac:dyDescent="0.2">
      <c r="A4230" s="646" t="s">
        <v>10266</v>
      </c>
      <c r="B4230" s="735" t="s">
        <v>2170</v>
      </c>
      <c r="C4230" s="646" t="s">
        <v>451</v>
      </c>
      <c r="D4230" s="636" t="s">
        <v>10332</v>
      </c>
      <c r="E4230" s="759">
        <v>7000</v>
      </c>
      <c r="F4230" s="638" t="s">
        <v>10858</v>
      </c>
      <c r="G4230" s="644" t="s">
        <v>10859</v>
      </c>
      <c r="H4230" s="636" t="s">
        <v>2253</v>
      </c>
      <c r="I4230" s="636" t="s">
        <v>2253</v>
      </c>
      <c r="J4230" s="635" t="s">
        <v>2253</v>
      </c>
      <c r="K4230" s="760">
        <v>2</v>
      </c>
      <c r="L4230" s="760">
        <v>5</v>
      </c>
      <c r="M4230" s="736">
        <v>32367</v>
      </c>
      <c r="N4230" s="753">
        <v>5</v>
      </c>
      <c r="O4230" s="760">
        <v>6</v>
      </c>
      <c r="P4230" s="736">
        <v>43044.9</v>
      </c>
      <c r="Q4230" s="214"/>
    </row>
    <row r="4231" spans="1:17" ht="12" customHeight="1" x14ac:dyDescent="0.2">
      <c r="A4231" s="646" t="s">
        <v>10266</v>
      </c>
      <c r="B4231" s="735" t="s">
        <v>2170</v>
      </c>
      <c r="C4231" s="646" t="s">
        <v>451</v>
      </c>
      <c r="D4231" s="636" t="s">
        <v>10860</v>
      </c>
      <c r="E4231" s="759">
        <v>8000</v>
      </c>
      <c r="F4231" s="638" t="s">
        <v>10861</v>
      </c>
      <c r="G4231" s="644" t="s">
        <v>10862</v>
      </c>
      <c r="H4231" s="636" t="s">
        <v>10467</v>
      </c>
      <c r="I4231" s="636" t="s">
        <v>2180</v>
      </c>
      <c r="J4231" s="635" t="s">
        <v>2180</v>
      </c>
      <c r="K4231" s="760">
        <v>2</v>
      </c>
      <c r="L4231" s="760">
        <v>2</v>
      </c>
      <c r="M4231" s="736">
        <v>20544.09</v>
      </c>
      <c r="N4231" s="753">
        <v>0</v>
      </c>
      <c r="O4231" s="760">
        <v>0</v>
      </c>
      <c r="P4231" s="736">
        <v>0</v>
      </c>
      <c r="Q4231" s="214"/>
    </row>
    <row r="4232" spans="1:17" ht="12" customHeight="1" x14ac:dyDescent="0.2">
      <c r="A4232" s="646" t="s">
        <v>10266</v>
      </c>
      <c r="B4232" s="735" t="s">
        <v>2170</v>
      </c>
      <c r="C4232" s="646" t="s">
        <v>451</v>
      </c>
      <c r="D4232" s="636" t="s">
        <v>5624</v>
      </c>
      <c r="E4232" s="759">
        <v>8000</v>
      </c>
      <c r="F4232" s="638" t="s">
        <v>10863</v>
      </c>
      <c r="G4232" s="644" t="s">
        <v>10864</v>
      </c>
      <c r="H4232" s="636" t="s">
        <v>2189</v>
      </c>
      <c r="I4232" s="636" t="s">
        <v>2180</v>
      </c>
      <c r="J4232" s="635" t="s">
        <v>2180</v>
      </c>
      <c r="K4232" s="760">
        <v>2</v>
      </c>
      <c r="L4232" s="760">
        <v>3</v>
      </c>
      <c r="M4232" s="736">
        <v>26429.089999999997</v>
      </c>
      <c r="N4232" s="753">
        <v>0</v>
      </c>
      <c r="O4232" s="760">
        <v>0</v>
      </c>
      <c r="P4232" s="736">
        <v>0</v>
      </c>
      <c r="Q4232" s="214"/>
    </row>
    <row r="4233" spans="1:17" ht="12" customHeight="1" x14ac:dyDescent="0.2">
      <c r="A4233" s="646" t="s">
        <v>10266</v>
      </c>
      <c r="B4233" s="735" t="s">
        <v>2170</v>
      </c>
      <c r="C4233" s="646" t="s">
        <v>451</v>
      </c>
      <c r="D4233" s="636" t="s">
        <v>2265</v>
      </c>
      <c r="E4233" s="759">
        <v>8000</v>
      </c>
      <c r="F4233" s="638" t="s">
        <v>10865</v>
      </c>
      <c r="G4233" s="644" t="s">
        <v>10866</v>
      </c>
      <c r="H4233" s="636" t="s">
        <v>10867</v>
      </c>
      <c r="I4233" s="636" t="s">
        <v>2180</v>
      </c>
      <c r="J4233" s="635" t="s">
        <v>2180</v>
      </c>
      <c r="K4233" s="760">
        <v>2</v>
      </c>
      <c r="L4233" s="760">
        <v>8</v>
      </c>
      <c r="M4233" s="736">
        <v>65040.53</v>
      </c>
      <c r="N4233" s="753">
        <v>5</v>
      </c>
      <c r="O4233" s="760">
        <v>6</v>
      </c>
      <c r="P4233" s="736">
        <v>49044.9</v>
      </c>
      <c r="Q4233" s="214"/>
    </row>
    <row r="4234" spans="1:17" ht="12" customHeight="1" x14ac:dyDescent="0.2">
      <c r="A4234" s="646" t="s">
        <v>10266</v>
      </c>
      <c r="B4234" s="735" t="s">
        <v>2170</v>
      </c>
      <c r="C4234" s="646" t="s">
        <v>451</v>
      </c>
      <c r="D4234" s="636" t="s">
        <v>10323</v>
      </c>
      <c r="E4234" s="759">
        <v>5500</v>
      </c>
      <c r="F4234" s="638" t="s">
        <v>10868</v>
      </c>
      <c r="G4234" s="644" t="s">
        <v>10869</v>
      </c>
      <c r="H4234" s="636" t="s">
        <v>2253</v>
      </c>
      <c r="I4234" s="636" t="s">
        <v>2253</v>
      </c>
      <c r="J4234" s="635" t="s">
        <v>2253</v>
      </c>
      <c r="K4234" s="760">
        <v>2</v>
      </c>
      <c r="L4234" s="760">
        <v>5</v>
      </c>
      <c r="M4234" s="736">
        <v>28367</v>
      </c>
      <c r="N4234" s="753">
        <v>5</v>
      </c>
      <c r="O4234" s="760">
        <v>6</v>
      </c>
      <c r="P4234" s="736">
        <v>34044.9</v>
      </c>
      <c r="Q4234" s="214"/>
    </row>
    <row r="4235" spans="1:17" ht="12" customHeight="1" x14ac:dyDescent="0.2">
      <c r="A4235" s="646" t="s">
        <v>10266</v>
      </c>
      <c r="B4235" s="735" t="s">
        <v>2170</v>
      </c>
      <c r="C4235" s="646" t="s">
        <v>451</v>
      </c>
      <c r="D4235" s="636" t="s">
        <v>2225</v>
      </c>
      <c r="E4235" s="759">
        <v>10000</v>
      </c>
      <c r="F4235" s="638" t="s">
        <v>10870</v>
      </c>
      <c r="G4235" s="644" t="s">
        <v>10871</v>
      </c>
      <c r="H4235" s="636" t="s">
        <v>2236</v>
      </c>
      <c r="I4235" s="636" t="s">
        <v>2180</v>
      </c>
      <c r="J4235" s="635" t="s">
        <v>2180</v>
      </c>
      <c r="K4235" s="760">
        <v>2</v>
      </c>
      <c r="L4235" s="760">
        <v>4</v>
      </c>
      <c r="M4235" s="736">
        <v>34609.15</v>
      </c>
      <c r="N4235" s="753">
        <v>4</v>
      </c>
      <c r="O4235" s="760">
        <v>6</v>
      </c>
      <c r="P4235" s="736">
        <v>60772.68</v>
      </c>
      <c r="Q4235" s="214"/>
    </row>
    <row r="4236" spans="1:17" ht="12" customHeight="1" x14ac:dyDescent="0.2">
      <c r="A4236" s="646" t="s">
        <v>10266</v>
      </c>
      <c r="B4236" s="735" t="s">
        <v>2170</v>
      </c>
      <c r="C4236" s="646" t="s">
        <v>451</v>
      </c>
      <c r="D4236" s="636" t="s">
        <v>10872</v>
      </c>
      <c r="E4236" s="759">
        <v>10000</v>
      </c>
      <c r="F4236" s="638" t="s">
        <v>10873</v>
      </c>
      <c r="G4236" s="644" t="s">
        <v>10874</v>
      </c>
      <c r="H4236" s="636" t="s">
        <v>10855</v>
      </c>
      <c r="I4236" s="636" t="s">
        <v>2180</v>
      </c>
      <c r="J4236" s="635" t="s">
        <v>2180</v>
      </c>
      <c r="K4236" s="760">
        <v>9</v>
      </c>
      <c r="L4236" s="760">
        <v>12</v>
      </c>
      <c r="M4236" s="736">
        <v>121958.03</v>
      </c>
      <c r="N4236" s="753">
        <v>13</v>
      </c>
      <c r="O4236" s="760">
        <v>6</v>
      </c>
      <c r="P4236" s="736">
        <v>61044.9</v>
      </c>
      <c r="Q4236" s="214"/>
    </row>
    <row r="4237" spans="1:17" ht="12" customHeight="1" x14ac:dyDescent="0.2">
      <c r="A4237" s="646" t="s">
        <v>10266</v>
      </c>
      <c r="B4237" s="735" t="s">
        <v>2170</v>
      </c>
      <c r="C4237" s="646" t="s">
        <v>451</v>
      </c>
      <c r="D4237" s="636" t="s">
        <v>10311</v>
      </c>
      <c r="E4237" s="759">
        <v>14000</v>
      </c>
      <c r="F4237" s="638" t="s">
        <v>10875</v>
      </c>
      <c r="G4237" s="644" t="s">
        <v>10876</v>
      </c>
      <c r="H4237" s="636" t="s">
        <v>10555</v>
      </c>
      <c r="I4237" s="636" t="s">
        <v>2180</v>
      </c>
      <c r="J4237" s="635" t="s">
        <v>2180</v>
      </c>
      <c r="K4237" s="760">
        <v>11</v>
      </c>
      <c r="L4237" s="760">
        <v>12</v>
      </c>
      <c r="M4237" s="736">
        <v>169960.8</v>
      </c>
      <c r="N4237" s="753">
        <v>15</v>
      </c>
      <c r="O4237" s="760">
        <v>6</v>
      </c>
      <c r="P4237" s="736">
        <v>84578.23</v>
      </c>
      <c r="Q4237" s="214"/>
    </row>
    <row r="4238" spans="1:17" ht="12" customHeight="1" x14ac:dyDescent="0.2">
      <c r="A4238" s="646" t="s">
        <v>10266</v>
      </c>
      <c r="B4238" s="735" t="s">
        <v>2170</v>
      </c>
      <c r="C4238" s="646" t="s">
        <v>451</v>
      </c>
      <c r="D4238" s="636" t="s">
        <v>10877</v>
      </c>
      <c r="E4238" s="759">
        <v>8000</v>
      </c>
      <c r="F4238" s="638" t="s">
        <v>10878</v>
      </c>
      <c r="G4238" s="644" t="s">
        <v>10879</v>
      </c>
      <c r="H4238" s="636" t="s">
        <v>2179</v>
      </c>
      <c r="I4238" s="636" t="s">
        <v>2180</v>
      </c>
      <c r="J4238" s="635" t="s">
        <v>2180</v>
      </c>
      <c r="K4238" s="760">
        <v>2</v>
      </c>
      <c r="L4238" s="760">
        <v>4</v>
      </c>
      <c r="M4238" s="736">
        <v>32386.93</v>
      </c>
      <c r="N4238" s="753">
        <v>4</v>
      </c>
      <c r="O4238" s="760">
        <v>6</v>
      </c>
      <c r="P4238" s="736">
        <v>49044.9</v>
      </c>
      <c r="Q4238" s="214"/>
    </row>
    <row r="4239" spans="1:17" ht="12" customHeight="1" x14ac:dyDescent="0.2">
      <c r="A4239" s="646" t="s">
        <v>10266</v>
      </c>
      <c r="B4239" s="735" t="s">
        <v>2170</v>
      </c>
      <c r="C4239" s="646" t="s">
        <v>451</v>
      </c>
      <c r="D4239" s="636" t="s">
        <v>10278</v>
      </c>
      <c r="E4239" s="759">
        <v>13000</v>
      </c>
      <c r="F4239" s="638" t="s">
        <v>10880</v>
      </c>
      <c r="G4239" s="644" t="s">
        <v>10881</v>
      </c>
      <c r="H4239" s="636" t="s">
        <v>2806</v>
      </c>
      <c r="I4239" s="636" t="s">
        <v>2180</v>
      </c>
      <c r="J4239" s="635" t="s">
        <v>2180</v>
      </c>
      <c r="K4239" s="760">
        <v>1</v>
      </c>
      <c r="L4239" s="760">
        <v>11</v>
      </c>
      <c r="M4239" s="736">
        <v>133580.72999999998</v>
      </c>
      <c r="N4239" s="753">
        <v>1</v>
      </c>
      <c r="O4239" s="760">
        <v>6</v>
      </c>
      <c r="P4239" s="736">
        <v>79044.899999999994</v>
      </c>
      <c r="Q4239" s="214"/>
    </row>
    <row r="4240" spans="1:17" ht="12" customHeight="1" x14ac:dyDescent="0.2">
      <c r="A4240" s="646" t="s">
        <v>10266</v>
      </c>
      <c r="B4240" s="735" t="s">
        <v>2170</v>
      </c>
      <c r="C4240" s="646" t="s">
        <v>451</v>
      </c>
      <c r="D4240" s="636" t="s">
        <v>10332</v>
      </c>
      <c r="E4240" s="759">
        <v>7000</v>
      </c>
      <c r="F4240" s="638" t="s">
        <v>10882</v>
      </c>
      <c r="G4240" s="644" t="s">
        <v>10883</v>
      </c>
      <c r="H4240" s="636" t="s">
        <v>2253</v>
      </c>
      <c r="I4240" s="636" t="s">
        <v>2253</v>
      </c>
      <c r="J4240" s="635" t="s">
        <v>2253</v>
      </c>
      <c r="K4240" s="760">
        <v>6</v>
      </c>
      <c r="L4240" s="760">
        <v>12</v>
      </c>
      <c r="M4240" s="736">
        <v>85960.8</v>
      </c>
      <c r="N4240" s="753">
        <v>10</v>
      </c>
      <c r="O4240" s="760">
        <v>6</v>
      </c>
      <c r="P4240" s="736">
        <v>43044.9</v>
      </c>
      <c r="Q4240" s="214"/>
    </row>
    <row r="4241" spans="1:17" ht="12" customHeight="1" x14ac:dyDescent="0.2">
      <c r="A4241" s="646" t="s">
        <v>10266</v>
      </c>
      <c r="B4241" s="735" t="s">
        <v>2170</v>
      </c>
      <c r="C4241" s="646" t="s">
        <v>451</v>
      </c>
      <c r="D4241" s="636" t="s">
        <v>10884</v>
      </c>
      <c r="E4241" s="759">
        <v>12500</v>
      </c>
      <c r="F4241" s="638" t="s">
        <v>10885</v>
      </c>
      <c r="G4241" s="644" t="s">
        <v>10886</v>
      </c>
      <c r="H4241" s="636" t="s">
        <v>2174</v>
      </c>
      <c r="I4241" s="636" t="s">
        <v>2180</v>
      </c>
      <c r="J4241" s="635" t="s">
        <v>2180</v>
      </c>
      <c r="K4241" s="760">
        <v>9</v>
      </c>
      <c r="L4241" s="760">
        <v>12</v>
      </c>
      <c r="M4241" s="736">
        <v>151112.71000000002</v>
      </c>
      <c r="N4241" s="753">
        <v>13</v>
      </c>
      <c r="O4241" s="760">
        <v>6</v>
      </c>
      <c r="P4241" s="736">
        <v>75803.579999999987</v>
      </c>
      <c r="Q4241" s="214"/>
    </row>
    <row r="4242" spans="1:17" ht="12" customHeight="1" x14ac:dyDescent="0.2">
      <c r="A4242" s="646" t="s">
        <v>10266</v>
      </c>
      <c r="B4242" s="735" t="s">
        <v>2170</v>
      </c>
      <c r="C4242" s="646" t="s">
        <v>451</v>
      </c>
      <c r="D4242" s="636" t="s">
        <v>10510</v>
      </c>
      <c r="E4242" s="759">
        <v>9000</v>
      </c>
      <c r="F4242" s="638" t="s">
        <v>10887</v>
      </c>
      <c r="G4242" s="644" t="s">
        <v>10888</v>
      </c>
      <c r="H4242" s="636" t="s">
        <v>2174</v>
      </c>
      <c r="I4242" s="636" t="s">
        <v>2180</v>
      </c>
      <c r="J4242" s="635" t="s">
        <v>2180</v>
      </c>
      <c r="K4242" s="760">
        <v>3</v>
      </c>
      <c r="L4242" s="760">
        <v>5</v>
      </c>
      <c r="M4242" s="736">
        <v>40096</v>
      </c>
      <c r="N4242" s="753">
        <v>0</v>
      </c>
      <c r="O4242" s="760">
        <v>0</v>
      </c>
      <c r="P4242" s="736">
        <v>0</v>
      </c>
      <c r="Q4242" s="214"/>
    </row>
    <row r="4243" spans="1:17" ht="12" customHeight="1" x14ac:dyDescent="0.2">
      <c r="A4243" s="646" t="s">
        <v>10266</v>
      </c>
      <c r="B4243" s="735" t="s">
        <v>2170</v>
      </c>
      <c r="C4243" s="646" t="s">
        <v>451</v>
      </c>
      <c r="D4243" s="636" t="s">
        <v>10297</v>
      </c>
      <c r="E4243" s="759">
        <v>10000</v>
      </c>
      <c r="F4243" s="638" t="s">
        <v>10889</v>
      </c>
      <c r="G4243" s="644" t="s">
        <v>10890</v>
      </c>
      <c r="H4243" s="636" t="s">
        <v>10891</v>
      </c>
      <c r="I4243" s="636" t="s">
        <v>2180</v>
      </c>
      <c r="J4243" s="635" t="s">
        <v>2180</v>
      </c>
      <c r="K4243" s="760">
        <v>1</v>
      </c>
      <c r="L4243" s="760">
        <v>12</v>
      </c>
      <c r="M4243" s="736">
        <v>121960.8</v>
      </c>
      <c r="N4243" s="753">
        <v>2</v>
      </c>
      <c r="O4243" s="760">
        <v>6</v>
      </c>
      <c r="P4243" s="736">
        <v>61044.9</v>
      </c>
      <c r="Q4243" s="214"/>
    </row>
    <row r="4244" spans="1:17" ht="12" customHeight="1" x14ac:dyDescent="0.2">
      <c r="A4244" s="646" t="s">
        <v>10266</v>
      </c>
      <c r="B4244" s="735" t="s">
        <v>2170</v>
      </c>
      <c r="C4244" s="646" t="s">
        <v>451</v>
      </c>
      <c r="D4244" s="636" t="s">
        <v>10297</v>
      </c>
      <c r="E4244" s="759">
        <v>11000</v>
      </c>
      <c r="F4244" s="638" t="s">
        <v>10892</v>
      </c>
      <c r="G4244" s="644" t="s">
        <v>10893</v>
      </c>
      <c r="H4244" s="636" t="s">
        <v>10894</v>
      </c>
      <c r="I4244" s="636" t="s">
        <v>2180</v>
      </c>
      <c r="J4244" s="635" t="s">
        <v>2180</v>
      </c>
      <c r="K4244" s="760">
        <v>0</v>
      </c>
      <c r="L4244" s="760">
        <v>1</v>
      </c>
      <c r="M4244" s="736">
        <v>1580.0700000000002</v>
      </c>
      <c r="N4244" s="753">
        <v>0</v>
      </c>
      <c r="O4244" s="760">
        <v>0</v>
      </c>
      <c r="P4244" s="736">
        <v>0</v>
      </c>
      <c r="Q4244" s="214"/>
    </row>
    <row r="4245" spans="1:17" ht="12" customHeight="1" x14ac:dyDescent="0.2">
      <c r="A4245" s="646" t="s">
        <v>10266</v>
      </c>
      <c r="B4245" s="735" t="s">
        <v>2170</v>
      </c>
      <c r="C4245" s="646" t="s">
        <v>451</v>
      </c>
      <c r="D4245" s="636" t="s">
        <v>10323</v>
      </c>
      <c r="E4245" s="759">
        <v>5500</v>
      </c>
      <c r="F4245" s="638" t="s">
        <v>10895</v>
      </c>
      <c r="G4245" s="644" t="s">
        <v>10896</v>
      </c>
      <c r="H4245" s="636" t="s">
        <v>2253</v>
      </c>
      <c r="I4245" s="636" t="s">
        <v>2253</v>
      </c>
      <c r="J4245" s="635" t="s">
        <v>2253</v>
      </c>
      <c r="K4245" s="760">
        <v>5</v>
      </c>
      <c r="L4245" s="760">
        <v>12</v>
      </c>
      <c r="M4245" s="736">
        <v>67960.800000000003</v>
      </c>
      <c r="N4245" s="753">
        <v>2</v>
      </c>
      <c r="O4245" s="760">
        <v>2</v>
      </c>
      <c r="P4245" s="736">
        <v>40198.76</v>
      </c>
      <c r="Q4245" s="214"/>
    </row>
    <row r="4246" spans="1:17" ht="12" customHeight="1" x14ac:dyDescent="0.2">
      <c r="A4246" s="646" t="s">
        <v>10266</v>
      </c>
      <c r="B4246" s="735" t="s">
        <v>2170</v>
      </c>
      <c r="C4246" s="646" t="s">
        <v>451</v>
      </c>
      <c r="D4246" s="636" t="s">
        <v>10275</v>
      </c>
      <c r="E4246" s="759">
        <v>8000</v>
      </c>
      <c r="F4246" s="638" t="s">
        <v>10897</v>
      </c>
      <c r="G4246" s="644" t="s">
        <v>10898</v>
      </c>
      <c r="H4246" s="636" t="s">
        <v>2189</v>
      </c>
      <c r="I4246" s="636" t="s">
        <v>2180</v>
      </c>
      <c r="J4246" s="635" t="s">
        <v>2180</v>
      </c>
      <c r="K4246" s="760">
        <v>0</v>
      </c>
      <c r="L4246" s="760">
        <v>0</v>
      </c>
      <c r="M4246" s="736">
        <v>0</v>
      </c>
      <c r="N4246" s="753">
        <v>1</v>
      </c>
      <c r="O4246" s="760"/>
      <c r="P4246" s="736">
        <v>36604.080000000002</v>
      </c>
      <c r="Q4246" s="214"/>
    </row>
    <row r="4247" spans="1:17" ht="12" customHeight="1" x14ac:dyDescent="0.2">
      <c r="A4247" s="646" t="s">
        <v>10266</v>
      </c>
      <c r="B4247" s="735" t="s">
        <v>2170</v>
      </c>
      <c r="C4247" s="646" t="s">
        <v>451</v>
      </c>
      <c r="D4247" s="636" t="s">
        <v>10899</v>
      </c>
      <c r="E4247" s="759">
        <v>10000</v>
      </c>
      <c r="F4247" s="638" t="s">
        <v>10900</v>
      </c>
      <c r="G4247" s="644" t="s">
        <v>10901</v>
      </c>
      <c r="H4247" s="636" t="s">
        <v>2189</v>
      </c>
      <c r="I4247" s="636" t="s">
        <v>2180</v>
      </c>
      <c r="J4247" s="635" t="s">
        <v>2180</v>
      </c>
      <c r="K4247" s="760">
        <v>8</v>
      </c>
      <c r="L4247" s="760">
        <v>5</v>
      </c>
      <c r="M4247" s="736">
        <v>62721.36</v>
      </c>
      <c r="N4247" s="753">
        <v>0</v>
      </c>
      <c r="O4247" s="760">
        <v>0</v>
      </c>
      <c r="P4247" s="736">
        <v>0</v>
      </c>
      <c r="Q4247" s="214"/>
    </row>
    <row r="4248" spans="1:17" ht="12" customHeight="1" x14ac:dyDescent="0.2">
      <c r="A4248" s="646" t="s">
        <v>10266</v>
      </c>
      <c r="B4248" s="735" t="s">
        <v>2170</v>
      </c>
      <c r="C4248" s="646" t="s">
        <v>451</v>
      </c>
      <c r="D4248" s="636" t="s">
        <v>10297</v>
      </c>
      <c r="E4248" s="759">
        <v>11000</v>
      </c>
      <c r="F4248" s="638" t="s">
        <v>10902</v>
      </c>
      <c r="G4248" s="644" t="s">
        <v>10903</v>
      </c>
      <c r="H4248" s="636" t="s">
        <v>2189</v>
      </c>
      <c r="I4248" s="636" t="s">
        <v>2180</v>
      </c>
      <c r="J4248" s="635" t="s">
        <v>2180</v>
      </c>
      <c r="K4248" s="760">
        <v>1</v>
      </c>
      <c r="L4248" s="760">
        <v>12</v>
      </c>
      <c r="M4248" s="736">
        <v>133960.79999999999</v>
      </c>
      <c r="N4248" s="753">
        <v>2</v>
      </c>
      <c r="O4248" s="760">
        <v>6</v>
      </c>
      <c r="P4248" s="736">
        <v>67044.899999999994</v>
      </c>
      <c r="Q4248" s="214"/>
    </row>
    <row r="4249" spans="1:17" ht="12" customHeight="1" x14ac:dyDescent="0.2">
      <c r="A4249" s="646" t="s">
        <v>10266</v>
      </c>
      <c r="B4249" s="735" t="s">
        <v>2170</v>
      </c>
      <c r="C4249" s="646" t="s">
        <v>451</v>
      </c>
      <c r="D4249" s="636" t="s">
        <v>2261</v>
      </c>
      <c r="E4249" s="759">
        <v>4500</v>
      </c>
      <c r="F4249" s="638" t="s">
        <v>10904</v>
      </c>
      <c r="G4249" s="644" t="s">
        <v>10905</v>
      </c>
      <c r="H4249" s="636" t="s">
        <v>2602</v>
      </c>
      <c r="I4249" s="636" t="s">
        <v>643</v>
      </c>
      <c r="J4249" s="635" t="s">
        <v>643</v>
      </c>
      <c r="K4249" s="760">
        <v>13</v>
      </c>
      <c r="L4249" s="760">
        <v>1</v>
      </c>
      <c r="M4249" s="736">
        <v>20800.82</v>
      </c>
      <c r="N4249" s="753">
        <v>0</v>
      </c>
      <c r="O4249" s="760">
        <v>0</v>
      </c>
      <c r="P4249" s="736">
        <v>0</v>
      </c>
      <c r="Q4249" s="214"/>
    </row>
    <row r="4250" spans="1:17" ht="12" customHeight="1" x14ac:dyDescent="0.2">
      <c r="A4250" s="646" t="s">
        <v>10266</v>
      </c>
      <c r="B4250" s="735" t="s">
        <v>2170</v>
      </c>
      <c r="C4250" s="646" t="s">
        <v>451</v>
      </c>
      <c r="D4250" s="636" t="s">
        <v>10332</v>
      </c>
      <c r="E4250" s="759">
        <v>7000</v>
      </c>
      <c r="F4250" s="638" t="s">
        <v>10906</v>
      </c>
      <c r="G4250" s="644" t="s">
        <v>10907</v>
      </c>
      <c r="H4250" s="636" t="s">
        <v>2253</v>
      </c>
      <c r="I4250" s="636" t="s">
        <v>2253</v>
      </c>
      <c r="J4250" s="635" t="s">
        <v>2253</v>
      </c>
      <c r="K4250" s="760">
        <v>6</v>
      </c>
      <c r="L4250" s="760">
        <v>12</v>
      </c>
      <c r="M4250" s="736">
        <v>85955.94</v>
      </c>
      <c r="N4250" s="753">
        <v>10</v>
      </c>
      <c r="O4250" s="760">
        <v>6</v>
      </c>
      <c r="P4250" s="736">
        <v>43044.9</v>
      </c>
      <c r="Q4250" s="214"/>
    </row>
    <row r="4251" spans="1:17" ht="12" customHeight="1" x14ac:dyDescent="0.2">
      <c r="A4251" s="646" t="s">
        <v>10266</v>
      </c>
      <c r="B4251" s="735" t="s">
        <v>2170</v>
      </c>
      <c r="C4251" s="646" t="s">
        <v>451</v>
      </c>
      <c r="D4251" s="636" t="s">
        <v>10323</v>
      </c>
      <c r="E4251" s="759">
        <v>5500</v>
      </c>
      <c r="F4251" s="638" t="s">
        <v>10908</v>
      </c>
      <c r="G4251" s="644" t="s">
        <v>10909</v>
      </c>
      <c r="H4251" s="636" t="s">
        <v>2253</v>
      </c>
      <c r="I4251" s="636" t="s">
        <v>2253</v>
      </c>
      <c r="J4251" s="635" t="s">
        <v>2253</v>
      </c>
      <c r="K4251" s="760">
        <v>2</v>
      </c>
      <c r="L4251" s="760">
        <v>5</v>
      </c>
      <c r="M4251" s="736">
        <v>28367</v>
      </c>
      <c r="N4251" s="753">
        <v>4</v>
      </c>
      <c r="O4251" s="760">
        <v>6</v>
      </c>
      <c r="P4251" s="736">
        <v>34044.9</v>
      </c>
      <c r="Q4251" s="214"/>
    </row>
    <row r="4252" spans="1:17" ht="12" customHeight="1" x14ac:dyDescent="0.2">
      <c r="A4252" s="646" t="s">
        <v>10266</v>
      </c>
      <c r="B4252" s="735" t="s">
        <v>2170</v>
      </c>
      <c r="C4252" s="646" t="s">
        <v>451</v>
      </c>
      <c r="D4252" s="636" t="s">
        <v>10300</v>
      </c>
      <c r="E4252" s="759">
        <v>10000</v>
      </c>
      <c r="F4252" s="638" t="s">
        <v>10910</v>
      </c>
      <c r="G4252" s="644" t="s">
        <v>10911</v>
      </c>
      <c r="H4252" s="636" t="s">
        <v>2197</v>
      </c>
      <c r="I4252" s="636" t="s">
        <v>2180</v>
      </c>
      <c r="J4252" s="635" t="s">
        <v>2180</v>
      </c>
      <c r="K4252" s="760">
        <v>1</v>
      </c>
      <c r="L4252" s="760">
        <v>12</v>
      </c>
      <c r="M4252" s="736">
        <v>121960.8</v>
      </c>
      <c r="N4252" s="753">
        <v>1</v>
      </c>
      <c r="O4252" s="760">
        <v>6</v>
      </c>
      <c r="P4252" s="736">
        <v>61044.9</v>
      </c>
      <c r="Q4252" s="214"/>
    </row>
    <row r="4253" spans="1:17" ht="12" customHeight="1" x14ac:dyDescent="0.2">
      <c r="A4253" s="646" t="s">
        <v>10266</v>
      </c>
      <c r="B4253" s="735" t="s">
        <v>2170</v>
      </c>
      <c r="C4253" s="646" t="s">
        <v>451</v>
      </c>
      <c r="D4253" s="636" t="s">
        <v>10725</v>
      </c>
      <c r="E4253" s="759">
        <v>8000</v>
      </c>
      <c r="F4253" s="638" t="s">
        <v>10912</v>
      </c>
      <c r="G4253" s="644" t="s">
        <v>10913</v>
      </c>
      <c r="H4253" s="636" t="s">
        <v>2179</v>
      </c>
      <c r="I4253" s="636" t="s">
        <v>2180</v>
      </c>
      <c r="J4253" s="635" t="s">
        <v>2180</v>
      </c>
      <c r="K4253" s="760">
        <v>1</v>
      </c>
      <c r="L4253" s="760">
        <v>11</v>
      </c>
      <c r="M4253" s="736">
        <v>15760.13</v>
      </c>
      <c r="N4253" s="753">
        <v>0</v>
      </c>
      <c r="O4253" s="760">
        <v>0</v>
      </c>
      <c r="P4253" s="736">
        <v>0</v>
      </c>
      <c r="Q4253" s="214"/>
    </row>
    <row r="4254" spans="1:17" ht="12" customHeight="1" x14ac:dyDescent="0.2">
      <c r="A4254" s="646" t="s">
        <v>10266</v>
      </c>
      <c r="B4254" s="735" t="s">
        <v>2170</v>
      </c>
      <c r="C4254" s="646" t="s">
        <v>451</v>
      </c>
      <c r="D4254" s="636" t="s">
        <v>10725</v>
      </c>
      <c r="E4254" s="759">
        <v>8000</v>
      </c>
      <c r="F4254" s="638" t="s">
        <v>10912</v>
      </c>
      <c r="G4254" s="644" t="s">
        <v>10913</v>
      </c>
      <c r="H4254" s="636" t="s">
        <v>2179</v>
      </c>
      <c r="I4254" s="636" t="s">
        <v>2180</v>
      </c>
      <c r="J4254" s="635" t="s">
        <v>2180</v>
      </c>
      <c r="K4254" s="760">
        <v>1</v>
      </c>
      <c r="L4254" s="760">
        <v>2</v>
      </c>
      <c r="M4254" s="736">
        <v>90464.06</v>
      </c>
      <c r="N4254" s="753">
        <v>1</v>
      </c>
      <c r="O4254" s="760">
        <v>2</v>
      </c>
      <c r="P4254" s="736">
        <v>14453.550000000001</v>
      </c>
      <c r="Q4254" s="214"/>
    </row>
    <row r="4255" spans="1:17" ht="12" customHeight="1" x14ac:dyDescent="0.2">
      <c r="A4255" s="646" t="s">
        <v>10266</v>
      </c>
      <c r="B4255" s="735" t="s">
        <v>2170</v>
      </c>
      <c r="C4255" s="646" t="s">
        <v>451</v>
      </c>
      <c r="D4255" s="636" t="s">
        <v>10278</v>
      </c>
      <c r="E4255" s="759">
        <v>10000</v>
      </c>
      <c r="F4255" s="638" t="s">
        <v>10914</v>
      </c>
      <c r="G4255" s="644" t="s">
        <v>10915</v>
      </c>
      <c r="H4255" s="636" t="s">
        <v>2174</v>
      </c>
      <c r="I4255" s="636" t="s">
        <v>2180</v>
      </c>
      <c r="J4255" s="635" t="s">
        <v>2180</v>
      </c>
      <c r="K4255" s="760">
        <v>1</v>
      </c>
      <c r="L4255" s="760">
        <v>6</v>
      </c>
      <c r="M4255" s="736">
        <v>63565.990000000005</v>
      </c>
      <c r="N4255" s="753">
        <v>1</v>
      </c>
      <c r="O4255" s="760">
        <v>0</v>
      </c>
      <c r="P4255" s="736">
        <v>0</v>
      </c>
      <c r="Q4255" s="214"/>
    </row>
    <row r="4256" spans="1:17" ht="12" customHeight="1" x14ac:dyDescent="0.2">
      <c r="A4256" s="646" t="s">
        <v>10266</v>
      </c>
      <c r="B4256" s="735" t="s">
        <v>2170</v>
      </c>
      <c r="C4256" s="646" t="s">
        <v>451</v>
      </c>
      <c r="D4256" s="636" t="s">
        <v>10916</v>
      </c>
      <c r="E4256" s="759">
        <v>6000</v>
      </c>
      <c r="F4256" s="638" t="s">
        <v>10917</v>
      </c>
      <c r="G4256" s="644" t="s">
        <v>10918</v>
      </c>
      <c r="H4256" s="636" t="s">
        <v>10919</v>
      </c>
      <c r="I4256" s="636" t="s">
        <v>2766</v>
      </c>
      <c r="J4256" s="635" t="s">
        <v>2766</v>
      </c>
      <c r="K4256" s="760">
        <v>1</v>
      </c>
      <c r="L4256" s="760">
        <v>1</v>
      </c>
      <c r="M4256" s="736">
        <v>1713.4</v>
      </c>
      <c r="N4256" s="753">
        <v>0</v>
      </c>
      <c r="O4256" s="760">
        <v>0</v>
      </c>
      <c r="P4256" s="736">
        <v>0</v>
      </c>
      <c r="Q4256" s="214"/>
    </row>
    <row r="4257" spans="1:17" ht="12" customHeight="1" x14ac:dyDescent="0.2">
      <c r="A4257" s="646" t="s">
        <v>10266</v>
      </c>
      <c r="B4257" s="735" t="s">
        <v>2170</v>
      </c>
      <c r="C4257" s="646" t="s">
        <v>451</v>
      </c>
      <c r="D4257" s="636" t="s">
        <v>10278</v>
      </c>
      <c r="E4257" s="759">
        <v>10000</v>
      </c>
      <c r="F4257" s="638" t="s">
        <v>10920</v>
      </c>
      <c r="G4257" s="644" t="s">
        <v>10921</v>
      </c>
      <c r="H4257" s="636" t="s">
        <v>10922</v>
      </c>
      <c r="I4257" s="636" t="s">
        <v>2180</v>
      </c>
      <c r="J4257" s="635" t="s">
        <v>2180</v>
      </c>
      <c r="K4257" s="760">
        <v>1</v>
      </c>
      <c r="L4257" s="760">
        <v>12</v>
      </c>
      <c r="M4257" s="736">
        <v>117294.13</v>
      </c>
      <c r="N4257" s="753">
        <v>1</v>
      </c>
      <c r="O4257" s="760">
        <v>6</v>
      </c>
      <c r="P4257" s="736">
        <v>61044.9</v>
      </c>
      <c r="Q4257" s="214"/>
    </row>
    <row r="4258" spans="1:17" ht="12" customHeight="1" x14ac:dyDescent="0.2">
      <c r="A4258" s="646" t="s">
        <v>10266</v>
      </c>
      <c r="B4258" s="735" t="s">
        <v>2170</v>
      </c>
      <c r="C4258" s="646" t="s">
        <v>451</v>
      </c>
      <c r="D4258" s="636" t="s">
        <v>10329</v>
      </c>
      <c r="E4258" s="759">
        <v>11000</v>
      </c>
      <c r="F4258" s="638" t="s">
        <v>10923</v>
      </c>
      <c r="G4258" s="644" t="s">
        <v>10924</v>
      </c>
      <c r="H4258" s="636" t="s">
        <v>2179</v>
      </c>
      <c r="I4258" s="636" t="s">
        <v>2180</v>
      </c>
      <c r="J4258" s="635" t="s">
        <v>2180</v>
      </c>
      <c r="K4258" s="760">
        <v>1</v>
      </c>
      <c r="L4258" s="760">
        <v>12</v>
      </c>
      <c r="M4258" s="736">
        <v>133960.79999999999</v>
      </c>
      <c r="N4258" s="753">
        <v>1</v>
      </c>
      <c r="O4258" s="760">
        <v>6</v>
      </c>
      <c r="P4258" s="736">
        <v>66987.609999999986</v>
      </c>
      <c r="Q4258" s="214"/>
    </row>
    <row r="4259" spans="1:17" ht="12" customHeight="1" x14ac:dyDescent="0.2">
      <c r="A4259" s="646" t="s">
        <v>10266</v>
      </c>
      <c r="B4259" s="735" t="s">
        <v>2170</v>
      </c>
      <c r="C4259" s="646" t="s">
        <v>451</v>
      </c>
      <c r="D4259" s="636" t="s">
        <v>10332</v>
      </c>
      <c r="E4259" s="759">
        <v>7000</v>
      </c>
      <c r="F4259" s="638" t="s">
        <v>10925</v>
      </c>
      <c r="G4259" s="644" t="s">
        <v>10926</v>
      </c>
      <c r="H4259" s="636" t="s">
        <v>2253</v>
      </c>
      <c r="I4259" s="636" t="s">
        <v>2253</v>
      </c>
      <c r="J4259" s="635" t="s">
        <v>2253</v>
      </c>
      <c r="K4259" s="760">
        <v>5</v>
      </c>
      <c r="L4259" s="760">
        <v>12</v>
      </c>
      <c r="M4259" s="736">
        <v>88854.62</v>
      </c>
      <c r="N4259" s="753">
        <v>0</v>
      </c>
      <c r="O4259" s="760">
        <v>0</v>
      </c>
      <c r="P4259" s="736">
        <v>0</v>
      </c>
      <c r="Q4259" s="214"/>
    </row>
    <row r="4260" spans="1:17" ht="12" customHeight="1" x14ac:dyDescent="0.2">
      <c r="A4260" s="646" t="s">
        <v>10266</v>
      </c>
      <c r="B4260" s="735" t="s">
        <v>2170</v>
      </c>
      <c r="C4260" s="646" t="s">
        <v>451</v>
      </c>
      <c r="D4260" s="636" t="s">
        <v>10329</v>
      </c>
      <c r="E4260" s="759">
        <v>9000</v>
      </c>
      <c r="F4260" s="638" t="s">
        <v>10927</v>
      </c>
      <c r="G4260" s="644" t="s">
        <v>10928</v>
      </c>
      <c r="H4260" s="636" t="s">
        <v>2179</v>
      </c>
      <c r="I4260" s="636" t="s">
        <v>2180</v>
      </c>
      <c r="J4260" s="635" t="s">
        <v>2180</v>
      </c>
      <c r="K4260" s="760">
        <v>1</v>
      </c>
      <c r="L4260" s="760">
        <v>12</v>
      </c>
      <c r="M4260" s="736">
        <v>109960.8</v>
      </c>
      <c r="N4260" s="753">
        <v>1</v>
      </c>
      <c r="O4260" s="760">
        <v>6</v>
      </c>
      <c r="P4260" s="736">
        <v>55044.9</v>
      </c>
      <c r="Q4260" s="214"/>
    </row>
    <row r="4261" spans="1:17" ht="12" customHeight="1" x14ac:dyDescent="0.2">
      <c r="A4261" s="646" t="s">
        <v>10266</v>
      </c>
      <c r="B4261" s="735" t="s">
        <v>2170</v>
      </c>
      <c r="C4261" s="646" t="s">
        <v>451</v>
      </c>
      <c r="D4261" s="636" t="s">
        <v>10323</v>
      </c>
      <c r="E4261" s="759">
        <v>5500</v>
      </c>
      <c r="F4261" s="638" t="s">
        <v>10929</v>
      </c>
      <c r="G4261" s="644" t="s">
        <v>10930</v>
      </c>
      <c r="H4261" s="636" t="s">
        <v>2253</v>
      </c>
      <c r="I4261" s="636" t="s">
        <v>2253</v>
      </c>
      <c r="J4261" s="635" t="s">
        <v>2253</v>
      </c>
      <c r="K4261" s="760">
        <v>3</v>
      </c>
      <c r="L4261" s="760">
        <v>5</v>
      </c>
      <c r="M4261" s="736">
        <v>25617</v>
      </c>
      <c r="N4261" s="753">
        <v>7</v>
      </c>
      <c r="O4261" s="760">
        <v>6</v>
      </c>
      <c r="P4261" s="736">
        <v>34044.9</v>
      </c>
      <c r="Q4261" s="214"/>
    </row>
    <row r="4262" spans="1:17" ht="12" customHeight="1" x14ac:dyDescent="0.2">
      <c r="A4262" s="646" t="s">
        <v>10266</v>
      </c>
      <c r="B4262" s="735" t="s">
        <v>2170</v>
      </c>
      <c r="C4262" s="646" t="s">
        <v>451</v>
      </c>
      <c r="D4262" s="636" t="s">
        <v>10282</v>
      </c>
      <c r="E4262" s="759">
        <v>10000</v>
      </c>
      <c r="F4262" s="638" t="s">
        <v>10931</v>
      </c>
      <c r="G4262" s="644" t="s">
        <v>10932</v>
      </c>
      <c r="H4262" s="636" t="s">
        <v>10933</v>
      </c>
      <c r="I4262" s="636" t="s">
        <v>2180</v>
      </c>
      <c r="J4262" s="635" t="s">
        <v>2180</v>
      </c>
      <c r="K4262" s="760">
        <v>11</v>
      </c>
      <c r="L4262" s="760">
        <v>12</v>
      </c>
      <c r="M4262" s="736">
        <v>121745.51000000001</v>
      </c>
      <c r="N4262" s="753">
        <v>16</v>
      </c>
      <c r="O4262" s="760">
        <v>6</v>
      </c>
      <c r="P4262" s="736">
        <v>60990.73</v>
      </c>
      <c r="Q4262" s="214"/>
    </row>
    <row r="4263" spans="1:17" ht="12" customHeight="1" x14ac:dyDescent="0.2">
      <c r="A4263" s="646" t="s">
        <v>10266</v>
      </c>
      <c r="B4263" s="735" t="s">
        <v>2170</v>
      </c>
      <c r="C4263" s="646" t="s">
        <v>451</v>
      </c>
      <c r="D4263" s="636" t="s">
        <v>10934</v>
      </c>
      <c r="E4263" s="759">
        <v>8000</v>
      </c>
      <c r="F4263" s="638" t="s">
        <v>10935</v>
      </c>
      <c r="G4263" s="644" t="s">
        <v>10936</v>
      </c>
      <c r="H4263" s="636" t="s">
        <v>10738</v>
      </c>
      <c r="I4263" s="636" t="s">
        <v>2180</v>
      </c>
      <c r="J4263" s="635" t="s">
        <v>2180</v>
      </c>
      <c r="K4263" s="760">
        <v>1</v>
      </c>
      <c r="L4263" s="760">
        <v>3</v>
      </c>
      <c r="M4263" s="736">
        <v>19075.820000000003</v>
      </c>
      <c r="N4263" s="753">
        <v>3</v>
      </c>
      <c r="O4263" s="760">
        <v>6</v>
      </c>
      <c r="P4263" s="736">
        <v>48478.780000000006</v>
      </c>
      <c r="Q4263" s="214"/>
    </row>
    <row r="4264" spans="1:17" ht="12" customHeight="1" x14ac:dyDescent="0.2">
      <c r="A4264" s="646" t="s">
        <v>10266</v>
      </c>
      <c r="B4264" s="735" t="s">
        <v>2170</v>
      </c>
      <c r="C4264" s="646" t="s">
        <v>451</v>
      </c>
      <c r="D4264" s="636" t="s">
        <v>2602</v>
      </c>
      <c r="E4264" s="759">
        <v>4000</v>
      </c>
      <c r="F4264" s="638" t="s">
        <v>10937</v>
      </c>
      <c r="G4264" s="644" t="s">
        <v>10938</v>
      </c>
      <c r="H4264" s="636" t="s">
        <v>2346</v>
      </c>
      <c r="I4264" s="636" t="s">
        <v>643</v>
      </c>
      <c r="J4264" s="635" t="s">
        <v>643</v>
      </c>
      <c r="K4264" s="760">
        <v>9</v>
      </c>
      <c r="L4264" s="760">
        <v>12</v>
      </c>
      <c r="M4264" s="736">
        <v>46726.170000000006</v>
      </c>
      <c r="N4264" s="753">
        <v>13</v>
      </c>
      <c r="O4264" s="760">
        <v>6</v>
      </c>
      <c r="P4264" s="736">
        <v>24949.07</v>
      </c>
      <c r="Q4264" s="214"/>
    </row>
    <row r="4265" spans="1:17" ht="12" customHeight="1" x14ac:dyDescent="0.2">
      <c r="A4265" s="646" t="s">
        <v>10266</v>
      </c>
      <c r="B4265" s="735" t="s">
        <v>2170</v>
      </c>
      <c r="C4265" s="646" t="s">
        <v>451</v>
      </c>
      <c r="D4265" s="636" t="s">
        <v>10939</v>
      </c>
      <c r="E4265" s="759">
        <v>12500</v>
      </c>
      <c r="F4265" s="638" t="s">
        <v>10940</v>
      </c>
      <c r="G4265" s="644" t="s">
        <v>10941</v>
      </c>
      <c r="H4265" s="636" t="s">
        <v>2179</v>
      </c>
      <c r="I4265" s="636" t="s">
        <v>2180</v>
      </c>
      <c r="J4265" s="635" t="s">
        <v>2180</v>
      </c>
      <c r="K4265" s="760">
        <v>1</v>
      </c>
      <c r="L4265" s="760">
        <v>2</v>
      </c>
      <c r="M4265" s="736">
        <v>16476.8</v>
      </c>
      <c r="N4265" s="753">
        <v>3</v>
      </c>
      <c r="O4265" s="760">
        <v>6</v>
      </c>
      <c r="P4265" s="736">
        <v>75894.73</v>
      </c>
      <c r="Q4265" s="214"/>
    </row>
    <row r="4266" spans="1:17" ht="12" customHeight="1" x14ac:dyDescent="0.2">
      <c r="A4266" s="646" t="s">
        <v>10266</v>
      </c>
      <c r="B4266" s="735" t="s">
        <v>2170</v>
      </c>
      <c r="C4266" s="646" t="s">
        <v>451</v>
      </c>
      <c r="D4266" s="636" t="s">
        <v>6668</v>
      </c>
      <c r="E4266" s="759">
        <v>7500</v>
      </c>
      <c r="F4266" s="638" t="s">
        <v>10942</v>
      </c>
      <c r="G4266" s="644" t="s">
        <v>10943</v>
      </c>
      <c r="H4266" s="636" t="s">
        <v>2197</v>
      </c>
      <c r="I4266" s="636" t="s">
        <v>2180</v>
      </c>
      <c r="J4266" s="635" t="s">
        <v>2180</v>
      </c>
      <c r="K4266" s="760">
        <v>6</v>
      </c>
      <c r="L4266" s="760">
        <v>12</v>
      </c>
      <c r="M4266" s="736">
        <v>91960.8</v>
      </c>
      <c r="N4266" s="753">
        <v>10</v>
      </c>
      <c r="O4266" s="760">
        <v>6</v>
      </c>
      <c r="P4266" s="736">
        <v>46044.9</v>
      </c>
      <c r="Q4266" s="214"/>
    </row>
    <row r="4267" spans="1:17" ht="12" customHeight="1" x14ac:dyDescent="0.2">
      <c r="A4267" s="646" t="s">
        <v>10266</v>
      </c>
      <c r="B4267" s="735" t="s">
        <v>2170</v>
      </c>
      <c r="C4267" s="646" t="s">
        <v>451</v>
      </c>
      <c r="D4267" s="636" t="s">
        <v>10278</v>
      </c>
      <c r="E4267" s="759">
        <v>13000</v>
      </c>
      <c r="F4267" s="638" t="s">
        <v>10944</v>
      </c>
      <c r="G4267" s="644" t="s">
        <v>10945</v>
      </c>
      <c r="H4267" s="636" t="s">
        <v>2796</v>
      </c>
      <c r="I4267" s="636" t="s">
        <v>2180</v>
      </c>
      <c r="J4267" s="635" t="s">
        <v>2180</v>
      </c>
      <c r="K4267" s="760">
        <v>1</v>
      </c>
      <c r="L4267" s="760">
        <v>2</v>
      </c>
      <c r="M4267" s="736">
        <v>24926.799999999999</v>
      </c>
      <c r="N4267" s="753">
        <v>1</v>
      </c>
      <c r="O4267" s="760">
        <v>6</v>
      </c>
      <c r="P4267" s="736">
        <v>79044.899999999994</v>
      </c>
      <c r="Q4267" s="214"/>
    </row>
    <row r="4268" spans="1:17" ht="12" customHeight="1" x14ac:dyDescent="0.2">
      <c r="A4268" s="646" t="s">
        <v>10266</v>
      </c>
      <c r="B4268" s="735" t="s">
        <v>2170</v>
      </c>
      <c r="C4268" s="646" t="s">
        <v>451</v>
      </c>
      <c r="D4268" s="636" t="s">
        <v>10552</v>
      </c>
      <c r="E4268" s="759">
        <v>10000</v>
      </c>
      <c r="F4268" s="638" t="s">
        <v>10946</v>
      </c>
      <c r="G4268" s="644" t="s">
        <v>10947</v>
      </c>
      <c r="H4268" s="636" t="s">
        <v>2712</v>
      </c>
      <c r="I4268" s="636" t="s">
        <v>2180</v>
      </c>
      <c r="J4268" s="635" t="s">
        <v>2180</v>
      </c>
      <c r="K4268" s="760">
        <v>10</v>
      </c>
      <c r="L4268" s="760">
        <v>12</v>
      </c>
      <c r="M4268" s="736">
        <v>134333.19999999998</v>
      </c>
      <c r="N4268" s="753">
        <v>0</v>
      </c>
      <c r="O4268" s="760">
        <v>0</v>
      </c>
      <c r="P4268" s="736">
        <v>0</v>
      </c>
      <c r="Q4268" s="214"/>
    </row>
    <row r="4269" spans="1:17" ht="12" customHeight="1" x14ac:dyDescent="0.2">
      <c r="A4269" s="646" t="s">
        <v>10266</v>
      </c>
      <c r="B4269" s="735" t="s">
        <v>2170</v>
      </c>
      <c r="C4269" s="646" t="s">
        <v>451</v>
      </c>
      <c r="D4269" s="636" t="s">
        <v>10278</v>
      </c>
      <c r="E4269" s="759">
        <v>13000</v>
      </c>
      <c r="F4269" s="638" t="s">
        <v>10948</v>
      </c>
      <c r="G4269" s="644" t="s">
        <v>10949</v>
      </c>
      <c r="H4269" s="636" t="s">
        <v>6699</v>
      </c>
      <c r="I4269" s="636" t="s">
        <v>2180</v>
      </c>
      <c r="J4269" s="635" t="s">
        <v>2180</v>
      </c>
      <c r="K4269" s="760">
        <v>1</v>
      </c>
      <c r="L4269" s="760">
        <v>4</v>
      </c>
      <c r="M4269" s="736">
        <v>52453.599999999999</v>
      </c>
      <c r="N4269" s="753">
        <v>1</v>
      </c>
      <c r="O4269" s="760">
        <v>0</v>
      </c>
      <c r="P4269" s="736">
        <v>0</v>
      </c>
      <c r="Q4269" s="214"/>
    </row>
    <row r="4270" spans="1:17" ht="12" customHeight="1" x14ac:dyDescent="0.2">
      <c r="A4270" s="646" t="s">
        <v>10266</v>
      </c>
      <c r="B4270" s="735" t="s">
        <v>2170</v>
      </c>
      <c r="C4270" s="646" t="s">
        <v>451</v>
      </c>
      <c r="D4270" s="636" t="s">
        <v>10950</v>
      </c>
      <c r="E4270" s="759">
        <v>15000</v>
      </c>
      <c r="F4270" s="638" t="s">
        <v>10951</v>
      </c>
      <c r="G4270" s="644" t="s">
        <v>10952</v>
      </c>
      <c r="H4270" s="636" t="s">
        <v>10389</v>
      </c>
      <c r="I4270" s="636" t="s">
        <v>2180</v>
      </c>
      <c r="J4270" s="635" t="s">
        <v>2180</v>
      </c>
      <c r="K4270" s="760">
        <v>1</v>
      </c>
      <c r="L4270" s="760">
        <v>12</v>
      </c>
      <c r="M4270" s="736">
        <v>181960.8</v>
      </c>
      <c r="N4270" s="753">
        <v>2</v>
      </c>
      <c r="O4270" s="760">
        <v>6</v>
      </c>
      <c r="P4270" s="736">
        <v>91044.9</v>
      </c>
      <c r="Q4270" s="214"/>
    </row>
    <row r="4271" spans="1:17" ht="12" customHeight="1" x14ac:dyDescent="0.2">
      <c r="A4271" s="646" t="s">
        <v>10266</v>
      </c>
      <c r="B4271" s="735" t="s">
        <v>2170</v>
      </c>
      <c r="C4271" s="646" t="s">
        <v>451</v>
      </c>
      <c r="D4271" s="636" t="s">
        <v>10332</v>
      </c>
      <c r="E4271" s="759">
        <v>7000</v>
      </c>
      <c r="F4271" s="638" t="s">
        <v>10953</v>
      </c>
      <c r="G4271" s="644" t="s">
        <v>10954</v>
      </c>
      <c r="H4271" s="636" t="s">
        <v>2253</v>
      </c>
      <c r="I4271" s="636" t="s">
        <v>2253</v>
      </c>
      <c r="J4271" s="635" t="s">
        <v>2253</v>
      </c>
      <c r="K4271" s="760">
        <v>2</v>
      </c>
      <c r="L4271" s="760">
        <v>3</v>
      </c>
      <c r="M4271" s="736">
        <v>24237.279999999999</v>
      </c>
      <c r="N4271" s="753">
        <v>0</v>
      </c>
      <c r="O4271" s="760">
        <v>0</v>
      </c>
      <c r="P4271" s="736">
        <v>0</v>
      </c>
      <c r="Q4271" s="214"/>
    </row>
    <row r="4272" spans="1:17" ht="12" customHeight="1" x14ac:dyDescent="0.2">
      <c r="A4272" s="646" t="s">
        <v>10266</v>
      </c>
      <c r="B4272" s="735" t="s">
        <v>2170</v>
      </c>
      <c r="C4272" s="646" t="s">
        <v>451</v>
      </c>
      <c r="D4272" s="636" t="s">
        <v>10326</v>
      </c>
      <c r="E4272" s="759">
        <v>15000</v>
      </c>
      <c r="F4272" s="638" t="s">
        <v>10955</v>
      </c>
      <c r="G4272" s="644" t="s">
        <v>10956</v>
      </c>
      <c r="H4272" s="636" t="s">
        <v>10957</v>
      </c>
      <c r="I4272" s="636" t="s">
        <v>2180</v>
      </c>
      <c r="J4272" s="635" t="s">
        <v>2180</v>
      </c>
      <c r="K4272" s="760">
        <v>1</v>
      </c>
      <c r="L4272" s="760">
        <v>8</v>
      </c>
      <c r="M4272" s="736">
        <v>113415.53</v>
      </c>
      <c r="N4272" s="753">
        <v>0</v>
      </c>
      <c r="O4272" s="760">
        <v>0</v>
      </c>
      <c r="P4272" s="736">
        <v>0</v>
      </c>
      <c r="Q4272" s="214"/>
    </row>
    <row r="4273" spans="1:17" ht="12" customHeight="1" x14ac:dyDescent="0.2">
      <c r="A4273" s="646" t="s">
        <v>10266</v>
      </c>
      <c r="B4273" s="735" t="s">
        <v>2170</v>
      </c>
      <c r="C4273" s="646" t="s">
        <v>451</v>
      </c>
      <c r="D4273" s="636" t="s">
        <v>10335</v>
      </c>
      <c r="E4273" s="759">
        <v>5500</v>
      </c>
      <c r="F4273" s="638" t="s">
        <v>10958</v>
      </c>
      <c r="G4273" s="644" t="s">
        <v>10959</v>
      </c>
      <c r="H4273" s="636" t="s">
        <v>2253</v>
      </c>
      <c r="I4273" s="636" t="s">
        <v>2253</v>
      </c>
      <c r="J4273" s="635" t="s">
        <v>2253</v>
      </c>
      <c r="K4273" s="760">
        <v>2</v>
      </c>
      <c r="L4273" s="760">
        <v>3</v>
      </c>
      <c r="M4273" s="736">
        <v>19116.64</v>
      </c>
      <c r="N4273" s="753">
        <v>0</v>
      </c>
      <c r="O4273" s="760">
        <v>0</v>
      </c>
      <c r="P4273" s="736">
        <v>0</v>
      </c>
      <c r="Q4273" s="214"/>
    </row>
    <row r="4274" spans="1:17" ht="12" customHeight="1" x14ac:dyDescent="0.2">
      <c r="A4274" s="646" t="s">
        <v>10266</v>
      </c>
      <c r="B4274" s="735" t="s">
        <v>2170</v>
      </c>
      <c r="C4274" s="646" t="s">
        <v>451</v>
      </c>
      <c r="D4274" s="636" t="s">
        <v>10323</v>
      </c>
      <c r="E4274" s="759">
        <v>5500</v>
      </c>
      <c r="F4274" s="638" t="s">
        <v>10960</v>
      </c>
      <c r="G4274" s="644" t="s">
        <v>10961</v>
      </c>
      <c r="H4274" s="636" t="s">
        <v>2253</v>
      </c>
      <c r="I4274" s="636" t="s">
        <v>2253</v>
      </c>
      <c r="J4274" s="635" t="s">
        <v>2253</v>
      </c>
      <c r="K4274" s="760">
        <v>2</v>
      </c>
      <c r="L4274" s="760">
        <v>5</v>
      </c>
      <c r="M4274" s="736">
        <v>28367</v>
      </c>
      <c r="N4274" s="753">
        <v>5</v>
      </c>
      <c r="O4274" s="760">
        <v>6</v>
      </c>
      <c r="P4274" s="736">
        <v>34044.9</v>
      </c>
      <c r="Q4274" s="214"/>
    </row>
    <row r="4275" spans="1:17" ht="12" customHeight="1" x14ac:dyDescent="0.2">
      <c r="A4275" s="646" t="s">
        <v>10266</v>
      </c>
      <c r="B4275" s="735" t="s">
        <v>2170</v>
      </c>
      <c r="C4275" s="646" t="s">
        <v>451</v>
      </c>
      <c r="D4275" s="636" t="s">
        <v>10278</v>
      </c>
      <c r="E4275" s="759">
        <v>13000</v>
      </c>
      <c r="F4275" s="638" t="s">
        <v>10962</v>
      </c>
      <c r="G4275" s="644" t="s">
        <v>10963</v>
      </c>
      <c r="H4275" s="636" t="s">
        <v>2179</v>
      </c>
      <c r="I4275" s="636" t="s">
        <v>2180</v>
      </c>
      <c r="J4275" s="635" t="s">
        <v>2180</v>
      </c>
      <c r="K4275" s="760">
        <v>1</v>
      </c>
      <c r="L4275" s="760">
        <v>4</v>
      </c>
      <c r="M4275" s="736">
        <v>83900.950000000012</v>
      </c>
      <c r="N4275" s="753">
        <v>1</v>
      </c>
      <c r="O4275" s="760">
        <v>6</v>
      </c>
      <c r="P4275" s="736">
        <v>79044.899999999994</v>
      </c>
      <c r="Q4275" s="214"/>
    </row>
    <row r="4276" spans="1:17" ht="12" customHeight="1" x14ac:dyDescent="0.2">
      <c r="A4276" s="646" t="s">
        <v>10266</v>
      </c>
      <c r="B4276" s="735" t="s">
        <v>2170</v>
      </c>
      <c r="C4276" s="646" t="s">
        <v>451</v>
      </c>
      <c r="D4276" s="636" t="s">
        <v>10697</v>
      </c>
      <c r="E4276" s="759">
        <v>15000</v>
      </c>
      <c r="F4276" s="638" t="s">
        <v>10964</v>
      </c>
      <c r="G4276" s="644" t="s">
        <v>10965</v>
      </c>
      <c r="H4276" s="636" t="s">
        <v>2317</v>
      </c>
      <c r="I4276" s="636" t="s">
        <v>2180</v>
      </c>
      <c r="J4276" s="635" t="s">
        <v>2180</v>
      </c>
      <c r="K4276" s="760">
        <v>1</v>
      </c>
      <c r="L4276" s="760">
        <v>3</v>
      </c>
      <c r="M4276" s="736">
        <v>42261.99</v>
      </c>
      <c r="N4276" s="753">
        <v>0</v>
      </c>
      <c r="O4276" s="760">
        <v>0</v>
      </c>
      <c r="P4276" s="736">
        <v>0</v>
      </c>
      <c r="Q4276" s="214"/>
    </row>
    <row r="4277" spans="1:17" ht="12" customHeight="1" x14ac:dyDescent="0.2">
      <c r="A4277" s="646" t="s">
        <v>10266</v>
      </c>
      <c r="B4277" s="735" t="s">
        <v>2170</v>
      </c>
      <c r="C4277" s="646" t="s">
        <v>451</v>
      </c>
      <c r="D4277" s="636" t="s">
        <v>10529</v>
      </c>
      <c r="E4277" s="759">
        <v>8000</v>
      </c>
      <c r="F4277" s="638" t="s">
        <v>10966</v>
      </c>
      <c r="G4277" s="644" t="s">
        <v>10967</v>
      </c>
      <c r="H4277" s="636" t="s">
        <v>10968</v>
      </c>
      <c r="I4277" s="636" t="s">
        <v>2180</v>
      </c>
      <c r="J4277" s="635" t="s">
        <v>2180</v>
      </c>
      <c r="K4277" s="760">
        <v>1</v>
      </c>
      <c r="L4277" s="760">
        <v>1</v>
      </c>
      <c r="M4277" s="736">
        <v>1162.67</v>
      </c>
      <c r="N4277" s="753">
        <v>3</v>
      </c>
      <c r="O4277" s="760">
        <v>6</v>
      </c>
      <c r="P4277" s="736">
        <v>49021.01</v>
      </c>
      <c r="Q4277" s="214"/>
    </row>
    <row r="4278" spans="1:17" ht="12" customHeight="1" x14ac:dyDescent="0.2">
      <c r="A4278" s="646" t="s">
        <v>10266</v>
      </c>
      <c r="B4278" s="735" t="s">
        <v>2170</v>
      </c>
      <c r="C4278" s="646" t="s">
        <v>451</v>
      </c>
      <c r="D4278" s="636" t="s">
        <v>10300</v>
      </c>
      <c r="E4278" s="759">
        <v>9000</v>
      </c>
      <c r="F4278" s="638" t="s">
        <v>10969</v>
      </c>
      <c r="G4278" s="644" t="s">
        <v>10970</v>
      </c>
      <c r="H4278" s="636" t="s">
        <v>6699</v>
      </c>
      <c r="I4278" s="636" t="s">
        <v>2180</v>
      </c>
      <c r="J4278" s="635" t="s">
        <v>2180</v>
      </c>
      <c r="K4278" s="760">
        <v>1</v>
      </c>
      <c r="L4278" s="760">
        <v>3</v>
      </c>
      <c r="M4278" s="736">
        <v>23140.2</v>
      </c>
      <c r="N4278" s="753">
        <v>1</v>
      </c>
      <c r="O4278" s="760">
        <v>0</v>
      </c>
      <c r="P4278" s="736">
        <v>0</v>
      </c>
      <c r="Q4278" s="214"/>
    </row>
    <row r="4279" spans="1:17" ht="12" customHeight="1" x14ac:dyDescent="0.2">
      <c r="A4279" s="646" t="s">
        <v>10266</v>
      </c>
      <c r="B4279" s="735" t="s">
        <v>2170</v>
      </c>
      <c r="C4279" s="646" t="s">
        <v>451</v>
      </c>
      <c r="D4279" s="636" t="s">
        <v>10323</v>
      </c>
      <c r="E4279" s="759">
        <v>5500</v>
      </c>
      <c r="F4279" s="638" t="s">
        <v>10971</v>
      </c>
      <c r="G4279" s="644" t="s">
        <v>10972</v>
      </c>
      <c r="H4279" s="636" t="s">
        <v>2253</v>
      </c>
      <c r="I4279" s="636" t="s">
        <v>2253</v>
      </c>
      <c r="J4279" s="635" t="s">
        <v>2253</v>
      </c>
      <c r="K4279" s="760">
        <v>6</v>
      </c>
      <c r="L4279" s="760">
        <v>12</v>
      </c>
      <c r="M4279" s="736">
        <v>67960.800000000003</v>
      </c>
      <c r="N4279" s="753">
        <v>10</v>
      </c>
      <c r="O4279" s="760">
        <v>6</v>
      </c>
      <c r="P4279" s="736">
        <v>34044.9</v>
      </c>
      <c r="Q4279" s="214"/>
    </row>
    <row r="4280" spans="1:17" ht="12" customHeight="1" x14ac:dyDescent="0.2">
      <c r="A4280" s="646" t="s">
        <v>10266</v>
      </c>
      <c r="B4280" s="735" t="s">
        <v>2170</v>
      </c>
      <c r="C4280" s="646" t="s">
        <v>451</v>
      </c>
      <c r="D4280" s="636" t="s">
        <v>10332</v>
      </c>
      <c r="E4280" s="759">
        <v>7000</v>
      </c>
      <c r="F4280" s="638" t="s">
        <v>10973</v>
      </c>
      <c r="G4280" s="644" t="s">
        <v>10974</v>
      </c>
      <c r="H4280" s="636" t="s">
        <v>2253</v>
      </c>
      <c r="I4280" s="636" t="s">
        <v>2253</v>
      </c>
      <c r="J4280" s="635" t="s">
        <v>2253</v>
      </c>
      <c r="K4280" s="760">
        <v>2</v>
      </c>
      <c r="L4280" s="760">
        <v>5</v>
      </c>
      <c r="M4280" s="736">
        <v>35867</v>
      </c>
      <c r="N4280" s="753">
        <v>5</v>
      </c>
      <c r="O4280" s="760">
        <v>6</v>
      </c>
      <c r="P4280" s="736">
        <v>43044.9</v>
      </c>
      <c r="Q4280" s="214"/>
    </row>
    <row r="4281" spans="1:17" ht="12" customHeight="1" x14ac:dyDescent="0.2">
      <c r="A4281" s="646" t="s">
        <v>10266</v>
      </c>
      <c r="B4281" s="735" t="s">
        <v>2170</v>
      </c>
      <c r="C4281" s="646" t="s">
        <v>451</v>
      </c>
      <c r="D4281" s="636" t="s">
        <v>10975</v>
      </c>
      <c r="E4281" s="759">
        <v>10000</v>
      </c>
      <c r="F4281" s="638" t="s">
        <v>10976</v>
      </c>
      <c r="G4281" s="644" t="s">
        <v>10977</v>
      </c>
      <c r="H4281" s="636" t="s">
        <v>2189</v>
      </c>
      <c r="I4281" s="636" t="s">
        <v>2180</v>
      </c>
      <c r="J4281" s="635" t="s">
        <v>2180</v>
      </c>
      <c r="K4281" s="760">
        <v>4</v>
      </c>
      <c r="L4281" s="760">
        <v>11</v>
      </c>
      <c r="M4281" s="736">
        <v>122911.22</v>
      </c>
      <c r="N4281" s="753">
        <v>0</v>
      </c>
      <c r="O4281" s="760">
        <v>0</v>
      </c>
      <c r="P4281" s="736">
        <v>0</v>
      </c>
      <c r="Q4281" s="214"/>
    </row>
    <row r="4282" spans="1:17" ht="12" customHeight="1" x14ac:dyDescent="0.2">
      <c r="A4282" s="646" t="s">
        <v>10266</v>
      </c>
      <c r="B4282" s="735" t="s">
        <v>2170</v>
      </c>
      <c r="C4282" s="646" t="s">
        <v>451</v>
      </c>
      <c r="D4282" s="636" t="s">
        <v>10978</v>
      </c>
      <c r="E4282" s="759">
        <v>12500</v>
      </c>
      <c r="F4282" s="638" t="s">
        <v>10976</v>
      </c>
      <c r="G4282" s="644" t="s">
        <v>10977</v>
      </c>
      <c r="H4282" s="636" t="s">
        <v>2189</v>
      </c>
      <c r="I4282" s="636" t="s">
        <v>2180</v>
      </c>
      <c r="J4282" s="635" t="s">
        <v>2180</v>
      </c>
      <c r="K4282" s="760">
        <v>1</v>
      </c>
      <c r="L4282" s="760">
        <v>2</v>
      </c>
      <c r="M4282" s="736">
        <v>19887.23</v>
      </c>
      <c r="N4282" s="753">
        <v>3</v>
      </c>
      <c r="O4282" s="760">
        <v>6</v>
      </c>
      <c r="P4282" s="736">
        <v>76064.51999999999</v>
      </c>
      <c r="Q4282" s="214"/>
    </row>
    <row r="4283" spans="1:17" ht="12" customHeight="1" x14ac:dyDescent="0.2">
      <c r="A4283" s="646" t="s">
        <v>10266</v>
      </c>
      <c r="B4283" s="735" t="s">
        <v>2170</v>
      </c>
      <c r="C4283" s="646" t="s">
        <v>451</v>
      </c>
      <c r="D4283" s="636" t="s">
        <v>10297</v>
      </c>
      <c r="E4283" s="759">
        <v>10000</v>
      </c>
      <c r="F4283" s="638" t="s">
        <v>10979</v>
      </c>
      <c r="G4283" s="644" t="s">
        <v>10980</v>
      </c>
      <c r="H4283" s="636" t="s">
        <v>2317</v>
      </c>
      <c r="I4283" s="636" t="s">
        <v>2180</v>
      </c>
      <c r="J4283" s="635" t="s">
        <v>2180</v>
      </c>
      <c r="K4283" s="760">
        <v>3</v>
      </c>
      <c r="L4283" s="760">
        <v>10</v>
      </c>
      <c r="M4283" s="736">
        <v>90750.590000000011</v>
      </c>
      <c r="N4283" s="753">
        <v>0</v>
      </c>
      <c r="O4283" s="760">
        <v>0</v>
      </c>
      <c r="P4283" s="736">
        <v>0</v>
      </c>
      <c r="Q4283" s="214"/>
    </row>
    <row r="4284" spans="1:17" ht="12" customHeight="1" x14ac:dyDescent="0.2">
      <c r="A4284" s="646" t="s">
        <v>10266</v>
      </c>
      <c r="B4284" s="735" t="s">
        <v>2170</v>
      </c>
      <c r="C4284" s="646" t="s">
        <v>451</v>
      </c>
      <c r="D4284" s="636" t="s">
        <v>10981</v>
      </c>
      <c r="E4284" s="759">
        <v>9000</v>
      </c>
      <c r="F4284" s="638">
        <v>7625457</v>
      </c>
      <c r="G4284" s="644" t="s">
        <v>10982</v>
      </c>
      <c r="H4284" s="636" t="s">
        <v>6668</v>
      </c>
      <c r="I4284" s="636" t="s">
        <v>2180</v>
      </c>
      <c r="J4284" s="635" t="s">
        <v>2180</v>
      </c>
      <c r="K4284" s="760">
        <v>0</v>
      </c>
      <c r="L4284" s="760">
        <v>0</v>
      </c>
      <c r="M4284" s="736">
        <v>0</v>
      </c>
      <c r="N4284" s="753">
        <v>1</v>
      </c>
      <c r="O4284" s="760">
        <v>6</v>
      </c>
      <c r="P4284" s="736">
        <v>63766.290000000008</v>
      </c>
      <c r="Q4284" s="214"/>
    </row>
    <row r="4285" spans="1:17" ht="12" customHeight="1" x14ac:dyDescent="0.2">
      <c r="A4285" s="646" t="s">
        <v>10266</v>
      </c>
      <c r="B4285" s="735" t="s">
        <v>2170</v>
      </c>
      <c r="C4285" s="646" t="s">
        <v>451</v>
      </c>
      <c r="D4285" s="636" t="s">
        <v>6668</v>
      </c>
      <c r="E4285" s="759">
        <v>7500</v>
      </c>
      <c r="F4285" s="638" t="s">
        <v>10983</v>
      </c>
      <c r="G4285" s="644" t="s">
        <v>10984</v>
      </c>
      <c r="H4285" s="636" t="s">
        <v>2317</v>
      </c>
      <c r="I4285" s="636" t="s">
        <v>2180</v>
      </c>
      <c r="J4285" s="635" t="s">
        <v>2180</v>
      </c>
      <c r="K4285" s="760">
        <v>6</v>
      </c>
      <c r="L4285" s="760">
        <v>12</v>
      </c>
      <c r="M4285" s="736">
        <v>91960.8</v>
      </c>
      <c r="N4285" s="753">
        <v>10</v>
      </c>
      <c r="O4285" s="760">
        <v>6</v>
      </c>
      <c r="P4285" s="736">
        <v>46044.9</v>
      </c>
      <c r="Q4285" s="214"/>
    </row>
    <row r="4286" spans="1:17" ht="12" customHeight="1" x14ac:dyDescent="0.2">
      <c r="A4286" s="646" t="s">
        <v>10266</v>
      </c>
      <c r="B4286" s="735" t="s">
        <v>2170</v>
      </c>
      <c r="C4286" s="646" t="s">
        <v>451</v>
      </c>
      <c r="D4286" s="636" t="s">
        <v>10985</v>
      </c>
      <c r="E4286" s="759">
        <v>9000</v>
      </c>
      <c r="F4286" s="638" t="s">
        <v>10986</v>
      </c>
      <c r="G4286" s="644" t="s">
        <v>10987</v>
      </c>
      <c r="H4286" s="636" t="s">
        <v>2174</v>
      </c>
      <c r="I4286" s="636" t="s">
        <v>2180</v>
      </c>
      <c r="J4286" s="635" t="s">
        <v>2180</v>
      </c>
      <c r="K4286" s="760">
        <v>5</v>
      </c>
      <c r="L4286" s="760">
        <v>11</v>
      </c>
      <c r="M4286" s="736">
        <v>99791.4</v>
      </c>
      <c r="N4286" s="753">
        <v>0</v>
      </c>
      <c r="O4286" s="760">
        <v>0</v>
      </c>
      <c r="P4286" s="736">
        <v>0</v>
      </c>
      <c r="Q4286" s="214"/>
    </row>
    <row r="4287" spans="1:17" ht="12" customHeight="1" x14ac:dyDescent="0.2">
      <c r="A4287" s="646" t="s">
        <v>10266</v>
      </c>
      <c r="B4287" s="735" t="s">
        <v>2170</v>
      </c>
      <c r="C4287" s="646" t="s">
        <v>451</v>
      </c>
      <c r="D4287" s="636" t="s">
        <v>10988</v>
      </c>
      <c r="E4287" s="759">
        <v>10000</v>
      </c>
      <c r="F4287" s="638" t="s">
        <v>10986</v>
      </c>
      <c r="G4287" s="644" t="s">
        <v>10987</v>
      </c>
      <c r="H4287" s="636" t="s">
        <v>2174</v>
      </c>
      <c r="I4287" s="636" t="s">
        <v>2180</v>
      </c>
      <c r="J4287" s="635" t="s">
        <v>2180</v>
      </c>
      <c r="K4287" s="760">
        <v>1</v>
      </c>
      <c r="L4287" s="760">
        <v>2</v>
      </c>
      <c r="M4287" s="736">
        <v>18893.469999999998</v>
      </c>
      <c r="N4287" s="753">
        <v>4</v>
      </c>
      <c r="O4287" s="760">
        <v>6</v>
      </c>
      <c r="P4287" s="736">
        <v>60977.54</v>
      </c>
      <c r="Q4287" s="214"/>
    </row>
    <row r="4288" spans="1:17" ht="12" customHeight="1" x14ac:dyDescent="0.2">
      <c r="A4288" s="646" t="s">
        <v>10266</v>
      </c>
      <c r="B4288" s="735" t="s">
        <v>2170</v>
      </c>
      <c r="C4288" s="646" t="s">
        <v>451</v>
      </c>
      <c r="D4288" s="636" t="s">
        <v>10332</v>
      </c>
      <c r="E4288" s="759">
        <v>7000</v>
      </c>
      <c r="F4288" s="638" t="s">
        <v>10989</v>
      </c>
      <c r="G4288" s="644" t="s">
        <v>10990</v>
      </c>
      <c r="H4288" s="636" t="s">
        <v>2253</v>
      </c>
      <c r="I4288" s="636" t="s">
        <v>2253</v>
      </c>
      <c r="J4288" s="635" t="s">
        <v>2253</v>
      </c>
      <c r="K4288" s="760">
        <v>5</v>
      </c>
      <c r="L4288" s="760">
        <v>12</v>
      </c>
      <c r="M4288" s="736">
        <v>85960.8</v>
      </c>
      <c r="N4288" s="753">
        <v>2</v>
      </c>
      <c r="O4288" s="760">
        <v>2</v>
      </c>
      <c r="P4288" s="736">
        <v>52471.15</v>
      </c>
      <c r="Q4288" s="214"/>
    </row>
    <row r="4289" spans="1:17" ht="12" customHeight="1" x14ac:dyDescent="0.2">
      <c r="A4289" s="646" t="s">
        <v>10266</v>
      </c>
      <c r="B4289" s="735" t="s">
        <v>2170</v>
      </c>
      <c r="C4289" s="646" t="s">
        <v>451</v>
      </c>
      <c r="D4289" s="636" t="s">
        <v>10332</v>
      </c>
      <c r="E4289" s="759">
        <v>7000</v>
      </c>
      <c r="F4289" s="638" t="s">
        <v>10991</v>
      </c>
      <c r="G4289" s="644" t="s">
        <v>10992</v>
      </c>
      <c r="H4289" s="636" t="s">
        <v>2253</v>
      </c>
      <c r="I4289" s="636" t="s">
        <v>2253</v>
      </c>
      <c r="J4289" s="635" t="s">
        <v>2253</v>
      </c>
      <c r="K4289" s="760">
        <v>6</v>
      </c>
      <c r="L4289" s="760">
        <v>12</v>
      </c>
      <c r="M4289" s="736">
        <v>85960.8</v>
      </c>
      <c r="N4289" s="753">
        <v>10</v>
      </c>
      <c r="O4289" s="760">
        <v>6</v>
      </c>
      <c r="P4289" s="736">
        <v>43044.9</v>
      </c>
      <c r="Q4289" s="214"/>
    </row>
    <row r="4290" spans="1:17" ht="12" customHeight="1" x14ac:dyDescent="0.2">
      <c r="A4290" s="646" t="s">
        <v>10266</v>
      </c>
      <c r="B4290" s="735" t="s">
        <v>2170</v>
      </c>
      <c r="C4290" s="646" t="s">
        <v>451</v>
      </c>
      <c r="D4290" s="636" t="s">
        <v>4315</v>
      </c>
      <c r="E4290" s="759">
        <v>10000</v>
      </c>
      <c r="F4290" s="638" t="s">
        <v>10993</v>
      </c>
      <c r="G4290" s="644" t="s">
        <v>10994</v>
      </c>
      <c r="H4290" s="636" t="s">
        <v>2179</v>
      </c>
      <c r="I4290" s="636" t="s">
        <v>2180</v>
      </c>
      <c r="J4290" s="635" t="s">
        <v>2180</v>
      </c>
      <c r="K4290" s="760">
        <v>2</v>
      </c>
      <c r="L4290" s="760">
        <v>7</v>
      </c>
      <c r="M4290" s="736">
        <v>68999.37000000001</v>
      </c>
      <c r="N4290" s="753">
        <v>5</v>
      </c>
      <c r="O4290" s="760">
        <v>6</v>
      </c>
      <c r="P4290" s="736">
        <v>60895.6</v>
      </c>
      <c r="Q4290" s="214"/>
    </row>
    <row r="4291" spans="1:17" ht="12" customHeight="1" x14ac:dyDescent="0.2">
      <c r="A4291" s="646" t="s">
        <v>10266</v>
      </c>
      <c r="B4291" s="735" t="s">
        <v>2170</v>
      </c>
      <c r="C4291" s="646" t="s">
        <v>451</v>
      </c>
      <c r="D4291" s="636" t="s">
        <v>10995</v>
      </c>
      <c r="E4291" s="759">
        <v>10000</v>
      </c>
      <c r="F4291" s="638" t="s">
        <v>10996</v>
      </c>
      <c r="G4291" s="644" t="s">
        <v>10997</v>
      </c>
      <c r="H4291" s="636" t="s">
        <v>2174</v>
      </c>
      <c r="I4291" s="636" t="s">
        <v>2180</v>
      </c>
      <c r="J4291" s="635" t="s">
        <v>2180</v>
      </c>
      <c r="K4291" s="760">
        <v>17</v>
      </c>
      <c r="L4291" s="760">
        <v>12</v>
      </c>
      <c r="M4291" s="736">
        <v>120924.01</v>
      </c>
      <c r="N4291" s="753">
        <v>21</v>
      </c>
      <c r="O4291" s="760">
        <v>6</v>
      </c>
      <c r="P4291" s="736">
        <v>60714.35</v>
      </c>
      <c r="Q4291" s="214"/>
    </row>
    <row r="4292" spans="1:17" ht="12" customHeight="1" x14ac:dyDescent="0.2">
      <c r="A4292" s="646" t="s">
        <v>10266</v>
      </c>
      <c r="B4292" s="735" t="s">
        <v>2170</v>
      </c>
      <c r="C4292" s="646" t="s">
        <v>451</v>
      </c>
      <c r="D4292" s="636" t="s">
        <v>10510</v>
      </c>
      <c r="E4292" s="759">
        <v>8000</v>
      </c>
      <c r="F4292" s="638" t="s">
        <v>10998</v>
      </c>
      <c r="G4292" s="644" t="s">
        <v>10999</v>
      </c>
      <c r="H4292" s="636" t="s">
        <v>10522</v>
      </c>
      <c r="I4292" s="636" t="s">
        <v>2766</v>
      </c>
      <c r="J4292" s="635" t="s">
        <v>2766</v>
      </c>
      <c r="K4292" s="760">
        <v>5</v>
      </c>
      <c r="L4292" s="760">
        <v>12</v>
      </c>
      <c r="M4292" s="736">
        <v>97929.69</v>
      </c>
      <c r="N4292" s="753">
        <v>9</v>
      </c>
      <c r="O4292" s="760">
        <v>6</v>
      </c>
      <c r="P4292" s="736">
        <v>49044.9</v>
      </c>
      <c r="Q4292" s="214"/>
    </row>
    <row r="4293" spans="1:17" ht="12" customHeight="1" x14ac:dyDescent="0.2">
      <c r="A4293" s="646" t="s">
        <v>10266</v>
      </c>
      <c r="B4293" s="735" t="s">
        <v>2170</v>
      </c>
      <c r="C4293" s="646" t="s">
        <v>451</v>
      </c>
      <c r="D4293" s="636" t="s">
        <v>6668</v>
      </c>
      <c r="E4293" s="759">
        <v>7500</v>
      </c>
      <c r="F4293" s="638" t="s">
        <v>11000</v>
      </c>
      <c r="G4293" s="644" t="s">
        <v>11001</v>
      </c>
      <c r="H4293" s="636" t="s">
        <v>3070</v>
      </c>
      <c r="I4293" s="636" t="s">
        <v>2180</v>
      </c>
      <c r="J4293" s="635" t="s">
        <v>2180</v>
      </c>
      <c r="K4293" s="760">
        <v>6</v>
      </c>
      <c r="L4293" s="760">
        <v>12</v>
      </c>
      <c r="M4293" s="736">
        <v>91960.8</v>
      </c>
      <c r="N4293" s="753">
        <v>10</v>
      </c>
      <c r="O4293" s="760">
        <v>6</v>
      </c>
      <c r="P4293" s="736">
        <v>46044.9</v>
      </c>
      <c r="Q4293" s="214"/>
    </row>
    <row r="4294" spans="1:17" ht="12" customHeight="1" x14ac:dyDescent="0.2">
      <c r="A4294" s="646" t="s">
        <v>10266</v>
      </c>
      <c r="B4294" s="735" t="s">
        <v>2170</v>
      </c>
      <c r="C4294" s="646" t="s">
        <v>451</v>
      </c>
      <c r="D4294" s="636" t="s">
        <v>10510</v>
      </c>
      <c r="E4294" s="759">
        <v>8000</v>
      </c>
      <c r="F4294" s="638" t="s">
        <v>11002</v>
      </c>
      <c r="G4294" s="644" t="s">
        <v>11003</v>
      </c>
      <c r="H4294" s="636" t="s">
        <v>2174</v>
      </c>
      <c r="I4294" s="636" t="s">
        <v>2180</v>
      </c>
      <c r="J4294" s="635" t="s">
        <v>2180</v>
      </c>
      <c r="K4294" s="760">
        <v>1</v>
      </c>
      <c r="L4294" s="760">
        <v>1</v>
      </c>
      <c r="M4294" s="736">
        <v>8940.06</v>
      </c>
      <c r="N4294" s="753">
        <v>0</v>
      </c>
      <c r="O4294" s="760">
        <v>0</v>
      </c>
      <c r="P4294" s="736">
        <v>0</v>
      </c>
      <c r="Q4294" s="214"/>
    </row>
    <row r="4295" spans="1:17" ht="12" customHeight="1" x14ac:dyDescent="0.2">
      <c r="A4295" s="646" t="s">
        <v>10266</v>
      </c>
      <c r="B4295" s="735" t="s">
        <v>2170</v>
      </c>
      <c r="C4295" s="646" t="s">
        <v>451</v>
      </c>
      <c r="D4295" s="636" t="s">
        <v>2602</v>
      </c>
      <c r="E4295" s="759">
        <v>4000</v>
      </c>
      <c r="F4295" s="638" t="s">
        <v>11004</v>
      </c>
      <c r="G4295" s="644" t="s">
        <v>11005</v>
      </c>
      <c r="H4295" s="636" t="s">
        <v>2346</v>
      </c>
      <c r="I4295" s="636" t="s">
        <v>643</v>
      </c>
      <c r="J4295" s="635" t="s">
        <v>643</v>
      </c>
      <c r="K4295" s="760">
        <v>9</v>
      </c>
      <c r="L4295" s="760">
        <v>12</v>
      </c>
      <c r="M4295" s="736">
        <v>49589.120000000003</v>
      </c>
      <c r="N4295" s="753">
        <v>13</v>
      </c>
      <c r="O4295" s="760">
        <v>6</v>
      </c>
      <c r="P4295" s="736">
        <v>24936.010000000002</v>
      </c>
      <c r="Q4295" s="214"/>
    </row>
    <row r="4296" spans="1:17" ht="12" customHeight="1" x14ac:dyDescent="0.2">
      <c r="A4296" s="646" t="s">
        <v>10266</v>
      </c>
      <c r="B4296" s="735" t="s">
        <v>2170</v>
      </c>
      <c r="C4296" s="646" t="s">
        <v>451</v>
      </c>
      <c r="D4296" s="636" t="s">
        <v>11006</v>
      </c>
      <c r="E4296" s="759">
        <v>6500</v>
      </c>
      <c r="F4296" s="638" t="s">
        <v>11007</v>
      </c>
      <c r="G4296" s="644" t="s">
        <v>11008</v>
      </c>
      <c r="H4296" s="636" t="s">
        <v>2189</v>
      </c>
      <c r="I4296" s="636" t="s">
        <v>2180</v>
      </c>
      <c r="J4296" s="635" t="s">
        <v>2180</v>
      </c>
      <c r="K4296" s="760">
        <v>2</v>
      </c>
      <c r="L4296" s="760">
        <v>6</v>
      </c>
      <c r="M4296" s="736">
        <v>39113.730000000003</v>
      </c>
      <c r="N4296" s="753">
        <v>4</v>
      </c>
      <c r="O4296" s="760">
        <v>6</v>
      </c>
      <c r="P4296" s="736">
        <v>40035.420000000006</v>
      </c>
      <c r="Q4296" s="214"/>
    </row>
    <row r="4297" spans="1:17" ht="12" customHeight="1" x14ac:dyDescent="0.2">
      <c r="A4297" s="646" t="s">
        <v>10266</v>
      </c>
      <c r="B4297" s="735" t="s">
        <v>2170</v>
      </c>
      <c r="C4297" s="646" t="s">
        <v>451</v>
      </c>
      <c r="D4297" s="636" t="s">
        <v>5880</v>
      </c>
      <c r="E4297" s="759">
        <v>8000</v>
      </c>
      <c r="F4297" s="638" t="s">
        <v>11009</v>
      </c>
      <c r="G4297" s="644" t="s">
        <v>11010</v>
      </c>
      <c r="H4297" s="636" t="s">
        <v>11011</v>
      </c>
      <c r="I4297" s="636" t="s">
        <v>2180</v>
      </c>
      <c r="J4297" s="635" t="s">
        <v>2180</v>
      </c>
      <c r="K4297" s="760">
        <v>4</v>
      </c>
      <c r="L4297" s="760">
        <v>12</v>
      </c>
      <c r="M4297" s="736">
        <v>97675.23</v>
      </c>
      <c r="N4297" s="753">
        <v>8</v>
      </c>
      <c r="O4297" s="760">
        <v>6</v>
      </c>
      <c r="P4297" s="736">
        <v>48952.12</v>
      </c>
      <c r="Q4297" s="214"/>
    </row>
    <row r="4298" spans="1:17" ht="12" customHeight="1" x14ac:dyDescent="0.2">
      <c r="A4298" s="646" t="s">
        <v>10266</v>
      </c>
      <c r="B4298" s="735" t="s">
        <v>2170</v>
      </c>
      <c r="C4298" s="646" t="s">
        <v>451</v>
      </c>
      <c r="D4298" s="636" t="s">
        <v>11012</v>
      </c>
      <c r="E4298" s="759">
        <v>10000</v>
      </c>
      <c r="F4298" s="638" t="s">
        <v>11013</v>
      </c>
      <c r="G4298" s="644" t="s">
        <v>11014</v>
      </c>
      <c r="H4298" s="636" t="s">
        <v>11015</v>
      </c>
      <c r="I4298" s="636" t="s">
        <v>2180</v>
      </c>
      <c r="J4298" s="635" t="s">
        <v>2180</v>
      </c>
      <c r="K4298" s="760">
        <v>3</v>
      </c>
      <c r="L4298" s="760">
        <v>8</v>
      </c>
      <c r="M4298" s="736">
        <v>18310.13</v>
      </c>
      <c r="N4298" s="753">
        <v>5</v>
      </c>
      <c r="O4298" s="760">
        <v>6</v>
      </c>
      <c r="P4298" s="736">
        <v>60908.090000000004</v>
      </c>
      <c r="Q4298" s="214"/>
    </row>
    <row r="4299" spans="1:17" ht="12" customHeight="1" x14ac:dyDescent="0.2">
      <c r="A4299" s="646" t="s">
        <v>10266</v>
      </c>
      <c r="B4299" s="735" t="s">
        <v>2170</v>
      </c>
      <c r="C4299" s="646" t="s">
        <v>451</v>
      </c>
      <c r="D4299" s="636" t="s">
        <v>10581</v>
      </c>
      <c r="E4299" s="759">
        <v>2000</v>
      </c>
      <c r="F4299" s="638" t="s">
        <v>11016</v>
      </c>
      <c r="G4299" s="644" t="s">
        <v>11017</v>
      </c>
      <c r="H4299" s="636" t="s">
        <v>10584</v>
      </c>
      <c r="I4299" s="636" t="s">
        <v>2766</v>
      </c>
      <c r="J4299" s="635" t="s">
        <v>2766</v>
      </c>
      <c r="K4299" s="760">
        <v>2</v>
      </c>
      <c r="L4299" s="760">
        <v>1</v>
      </c>
      <c r="M4299" s="736">
        <v>1446.73</v>
      </c>
      <c r="N4299" s="753">
        <v>4</v>
      </c>
      <c r="O4299" s="760">
        <v>6</v>
      </c>
      <c r="P4299" s="736">
        <v>13039.069999999998</v>
      </c>
      <c r="Q4299" s="214"/>
    </row>
    <row r="4300" spans="1:17" ht="12" customHeight="1" x14ac:dyDescent="0.2">
      <c r="A4300" s="646" t="s">
        <v>10266</v>
      </c>
      <c r="B4300" s="735" t="s">
        <v>2170</v>
      </c>
      <c r="C4300" s="646" t="s">
        <v>451</v>
      </c>
      <c r="D4300" s="636" t="s">
        <v>11018</v>
      </c>
      <c r="E4300" s="759">
        <v>8000</v>
      </c>
      <c r="F4300" s="638">
        <v>40653663</v>
      </c>
      <c r="G4300" s="644" t="s">
        <v>11019</v>
      </c>
      <c r="H4300" s="636" t="s">
        <v>2189</v>
      </c>
      <c r="I4300" s="636" t="s">
        <v>2180</v>
      </c>
      <c r="J4300" s="635" t="s">
        <v>2180</v>
      </c>
      <c r="K4300" s="760">
        <v>0</v>
      </c>
      <c r="L4300" s="760">
        <v>0</v>
      </c>
      <c r="M4300" s="736">
        <v>0</v>
      </c>
      <c r="N4300" s="753">
        <v>3</v>
      </c>
      <c r="O4300" s="760">
        <v>6</v>
      </c>
      <c r="P4300" s="736">
        <v>47444.9</v>
      </c>
      <c r="Q4300" s="214"/>
    </row>
    <row r="4301" spans="1:17" ht="12" customHeight="1" x14ac:dyDescent="0.2">
      <c r="A4301" s="646" t="s">
        <v>10266</v>
      </c>
      <c r="B4301" s="735" t="s">
        <v>2170</v>
      </c>
      <c r="C4301" s="646" t="s">
        <v>451</v>
      </c>
      <c r="D4301" s="636" t="s">
        <v>2225</v>
      </c>
      <c r="E4301" s="759">
        <v>10000</v>
      </c>
      <c r="F4301" s="638" t="s">
        <v>11020</v>
      </c>
      <c r="G4301" s="644" t="s">
        <v>11021</v>
      </c>
      <c r="H4301" s="636" t="s">
        <v>2236</v>
      </c>
      <c r="I4301" s="636" t="s">
        <v>2180</v>
      </c>
      <c r="J4301" s="635" t="s">
        <v>2180</v>
      </c>
      <c r="K4301" s="760">
        <v>9</v>
      </c>
      <c r="L4301" s="760">
        <v>12</v>
      </c>
      <c r="M4301" s="736">
        <v>121739.27</v>
      </c>
      <c r="N4301" s="753">
        <v>13</v>
      </c>
      <c r="O4301" s="760">
        <v>6</v>
      </c>
      <c r="P4301" s="736">
        <v>61044.9</v>
      </c>
      <c r="Q4301" s="214"/>
    </row>
    <row r="4302" spans="1:17" ht="12" customHeight="1" x14ac:dyDescent="0.2">
      <c r="A4302" s="646" t="s">
        <v>10266</v>
      </c>
      <c r="B4302" s="735" t="s">
        <v>2170</v>
      </c>
      <c r="C4302" s="646" t="s">
        <v>451</v>
      </c>
      <c r="D4302" s="636" t="s">
        <v>10358</v>
      </c>
      <c r="E4302" s="759">
        <v>10000</v>
      </c>
      <c r="F4302" s="638" t="s">
        <v>11022</v>
      </c>
      <c r="G4302" s="644" t="s">
        <v>11023</v>
      </c>
      <c r="H4302" s="636" t="s">
        <v>10810</v>
      </c>
      <c r="I4302" s="636" t="s">
        <v>2180</v>
      </c>
      <c r="J4302" s="635" t="s">
        <v>2180</v>
      </c>
      <c r="K4302" s="760">
        <v>2</v>
      </c>
      <c r="L4302" s="760">
        <v>1</v>
      </c>
      <c r="M4302" s="736">
        <v>2780.07</v>
      </c>
      <c r="N4302" s="753">
        <v>4</v>
      </c>
      <c r="O4302" s="760">
        <v>6</v>
      </c>
      <c r="P4302" s="736">
        <v>61044.9</v>
      </c>
      <c r="Q4302" s="214"/>
    </row>
    <row r="4303" spans="1:17" ht="12" customHeight="1" x14ac:dyDescent="0.2">
      <c r="A4303" s="646" t="s">
        <v>10266</v>
      </c>
      <c r="B4303" s="735" t="s">
        <v>2170</v>
      </c>
      <c r="C4303" s="646" t="s">
        <v>451</v>
      </c>
      <c r="D4303" s="636" t="s">
        <v>11024</v>
      </c>
      <c r="E4303" s="759">
        <v>10000</v>
      </c>
      <c r="F4303" s="638" t="s">
        <v>11025</v>
      </c>
      <c r="G4303" s="644" t="s">
        <v>11026</v>
      </c>
      <c r="H4303" s="636" t="s">
        <v>2179</v>
      </c>
      <c r="I4303" s="636" t="s">
        <v>2180</v>
      </c>
      <c r="J4303" s="635" t="s">
        <v>2180</v>
      </c>
      <c r="K4303" s="760">
        <v>2</v>
      </c>
      <c r="L4303" s="760">
        <v>4</v>
      </c>
      <c r="M4303" s="736">
        <v>40318.189999999995</v>
      </c>
      <c r="N4303" s="753">
        <v>4</v>
      </c>
      <c r="O4303" s="760">
        <v>6</v>
      </c>
      <c r="P4303" s="736">
        <v>60544.21</v>
      </c>
      <c r="Q4303" s="214"/>
    </row>
    <row r="4304" spans="1:17" ht="12" customHeight="1" x14ac:dyDescent="0.2">
      <c r="A4304" s="646" t="s">
        <v>10266</v>
      </c>
      <c r="B4304" s="735" t="s">
        <v>2170</v>
      </c>
      <c r="C4304" s="646" t="s">
        <v>451</v>
      </c>
      <c r="D4304" s="636" t="s">
        <v>11027</v>
      </c>
      <c r="E4304" s="759">
        <v>9000</v>
      </c>
      <c r="F4304" s="638" t="s">
        <v>11028</v>
      </c>
      <c r="G4304" s="644" t="s">
        <v>11029</v>
      </c>
      <c r="H4304" s="636" t="s">
        <v>11030</v>
      </c>
      <c r="I4304" s="636" t="s">
        <v>2180</v>
      </c>
      <c r="J4304" s="635" t="s">
        <v>2180</v>
      </c>
      <c r="K4304" s="760">
        <v>2</v>
      </c>
      <c r="L4304" s="760">
        <v>4</v>
      </c>
      <c r="M4304" s="736">
        <v>33222.339999999997</v>
      </c>
      <c r="N4304" s="753">
        <v>4</v>
      </c>
      <c r="O4304" s="760">
        <v>6</v>
      </c>
      <c r="P4304" s="736">
        <v>54851.76</v>
      </c>
      <c r="Q4304" s="214"/>
    </row>
    <row r="4305" spans="1:17" ht="12" customHeight="1" x14ac:dyDescent="0.2">
      <c r="A4305" s="646" t="s">
        <v>10266</v>
      </c>
      <c r="B4305" s="735" t="s">
        <v>2170</v>
      </c>
      <c r="C4305" s="646" t="s">
        <v>451</v>
      </c>
      <c r="D4305" s="636" t="s">
        <v>11031</v>
      </c>
      <c r="E4305" s="759">
        <v>13500</v>
      </c>
      <c r="F4305" s="638" t="s">
        <v>11032</v>
      </c>
      <c r="G4305" s="644" t="s">
        <v>11033</v>
      </c>
      <c r="H4305" s="636" t="s">
        <v>2712</v>
      </c>
      <c r="I4305" s="636" t="s">
        <v>2180</v>
      </c>
      <c r="J4305" s="635" t="s">
        <v>2180</v>
      </c>
      <c r="K4305" s="760">
        <v>3</v>
      </c>
      <c r="L4305" s="760">
        <v>8</v>
      </c>
      <c r="M4305" s="736">
        <v>108857.2</v>
      </c>
      <c r="N4305" s="753">
        <v>5</v>
      </c>
      <c r="O4305" s="760">
        <v>6</v>
      </c>
      <c r="P4305" s="736">
        <v>82041.149999999994</v>
      </c>
      <c r="Q4305" s="214"/>
    </row>
    <row r="4306" spans="1:17" ht="12" customHeight="1" x14ac:dyDescent="0.2">
      <c r="A4306" s="646" t="s">
        <v>10266</v>
      </c>
      <c r="B4306" s="735" t="s">
        <v>2170</v>
      </c>
      <c r="C4306" s="646" t="s">
        <v>451</v>
      </c>
      <c r="D4306" s="636" t="s">
        <v>10601</v>
      </c>
      <c r="E4306" s="759">
        <v>10000</v>
      </c>
      <c r="F4306" s="638" t="s">
        <v>11034</v>
      </c>
      <c r="G4306" s="644" t="s">
        <v>11035</v>
      </c>
      <c r="H4306" s="636" t="s">
        <v>2174</v>
      </c>
      <c r="I4306" s="636" t="s">
        <v>2180</v>
      </c>
      <c r="J4306" s="635" t="s">
        <v>2180</v>
      </c>
      <c r="K4306" s="760">
        <v>13</v>
      </c>
      <c r="L4306" s="760">
        <v>12</v>
      </c>
      <c r="M4306" s="736">
        <v>121960.8</v>
      </c>
      <c r="N4306" s="753">
        <v>17</v>
      </c>
      <c r="O4306" s="760">
        <v>6</v>
      </c>
      <c r="P4306" s="736">
        <v>61044.9</v>
      </c>
      <c r="Q4306" s="214"/>
    </row>
    <row r="4307" spans="1:17" ht="12" customHeight="1" x14ac:dyDescent="0.2">
      <c r="A4307" s="646" t="s">
        <v>10266</v>
      </c>
      <c r="B4307" s="735" t="s">
        <v>2170</v>
      </c>
      <c r="C4307" s="646" t="s">
        <v>451</v>
      </c>
      <c r="D4307" s="636" t="s">
        <v>10329</v>
      </c>
      <c r="E4307" s="759">
        <v>8000</v>
      </c>
      <c r="F4307" s="638" t="s">
        <v>11036</v>
      </c>
      <c r="G4307" s="644" t="s">
        <v>11037</v>
      </c>
      <c r="H4307" s="636" t="s">
        <v>2179</v>
      </c>
      <c r="I4307" s="636" t="s">
        <v>2180</v>
      </c>
      <c r="J4307" s="635" t="s">
        <v>2180</v>
      </c>
      <c r="K4307" s="760">
        <v>0</v>
      </c>
      <c r="L4307" s="760">
        <v>0</v>
      </c>
      <c r="M4307" s="736">
        <v>0</v>
      </c>
      <c r="N4307" s="753">
        <v>1</v>
      </c>
      <c r="O4307" s="760">
        <v>6</v>
      </c>
      <c r="P4307" s="736">
        <v>49044.9</v>
      </c>
      <c r="Q4307" s="214"/>
    </row>
    <row r="4308" spans="1:17" ht="12" customHeight="1" x14ac:dyDescent="0.2">
      <c r="A4308" s="646" t="s">
        <v>10266</v>
      </c>
      <c r="B4308" s="735" t="s">
        <v>2170</v>
      </c>
      <c r="C4308" s="646" t="s">
        <v>451</v>
      </c>
      <c r="D4308" s="636" t="s">
        <v>10275</v>
      </c>
      <c r="E4308" s="759">
        <v>11000</v>
      </c>
      <c r="F4308" s="638" t="s">
        <v>11038</v>
      </c>
      <c r="G4308" s="644" t="s">
        <v>11039</v>
      </c>
      <c r="H4308" s="636" t="s">
        <v>11040</v>
      </c>
      <c r="I4308" s="636" t="s">
        <v>2180</v>
      </c>
      <c r="J4308" s="635" t="s">
        <v>2180</v>
      </c>
      <c r="K4308" s="760">
        <v>1</v>
      </c>
      <c r="L4308" s="760">
        <v>12</v>
      </c>
      <c r="M4308" s="736">
        <v>144544.79999999996</v>
      </c>
      <c r="N4308" s="753">
        <v>1</v>
      </c>
      <c r="O4308" s="760">
        <v>2</v>
      </c>
      <c r="P4308" s="736">
        <v>27044.76</v>
      </c>
      <c r="Q4308" s="214"/>
    </row>
    <row r="4309" spans="1:17" ht="12" customHeight="1" x14ac:dyDescent="0.2">
      <c r="A4309" s="646" t="s">
        <v>10266</v>
      </c>
      <c r="B4309" s="735" t="s">
        <v>2170</v>
      </c>
      <c r="C4309" s="646" t="s">
        <v>451</v>
      </c>
      <c r="D4309" s="636" t="s">
        <v>10275</v>
      </c>
      <c r="E4309" s="759">
        <v>10000</v>
      </c>
      <c r="F4309" s="638" t="s">
        <v>11038</v>
      </c>
      <c r="G4309" s="644" t="s">
        <v>11041</v>
      </c>
      <c r="H4309" s="636" t="s">
        <v>11040</v>
      </c>
      <c r="I4309" s="636" t="s">
        <v>2180</v>
      </c>
      <c r="J4309" s="635" t="s">
        <v>2180</v>
      </c>
      <c r="K4309" s="760">
        <v>0</v>
      </c>
      <c r="L4309" s="760">
        <v>0</v>
      </c>
      <c r="M4309" s="736">
        <v>0</v>
      </c>
      <c r="N4309" s="753">
        <v>1</v>
      </c>
      <c r="O4309" s="760">
        <v>5</v>
      </c>
      <c r="P4309" s="736">
        <v>45537.42</v>
      </c>
      <c r="Q4309" s="214"/>
    </row>
    <row r="4310" spans="1:17" ht="12" customHeight="1" x14ac:dyDescent="0.2">
      <c r="A4310" s="646" t="s">
        <v>10266</v>
      </c>
      <c r="B4310" s="735" t="s">
        <v>2170</v>
      </c>
      <c r="C4310" s="646" t="s">
        <v>451</v>
      </c>
      <c r="D4310" s="636" t="s">
        <v>11042</v>
      </c>
      <c r="E4310" s="759">
        <v>8000</v>
      </c>
      <c r="F4310" s="638" t="s">
        <v>11043</v>
      </c>
      <c r="G4310" s="644" t="s">
        <v>11044</v>
      </c>
      <c r="H4310" s="636" t="s">
        <v>2179</v>
      </c>
      <c r="I4310" s="636" t="s">
        <v>2180</v>
      </c>
      <c r="J4310" s="635" t="s">
        <v>2180</v>
      </c>
      <c r="K4310" s="760">
        <v>2</v>
      </c>
      <c r="L4310" s="760">
        <v>1</v>
      </c>
      <c r="M4310" s="736">
        <v>350.37</v>
      </c>
      <c r="N4310" s="753">
        <v>4</v>
      </c>
      <c r="O4310" s="760">
        <v>6</v>
      </c>
      <c r="P4310" s="736">
        <v>49006.57</v>
      </c>
      <c r="Q4310" s="214"/>
    </row>
    <row r="4311" spans="1:17" ht="12" customHeight="1" x14ac:dyDescent="0.2">
      <c r="A4311" s="646" t="s">
        <v>10266</v>
      </c>
      <c r="B4311" s="735" t="s">
        <v>2170</v>
      </c>
      <c r="C4311" s="646" t="s">
        <v>451</v>
      </c>
      <c r="D4311" s="636" t="s">
        <v>10332</v>
      </c>
      <c r="E4311" s="759">
        <v>7000</v>
      </c>
      <c r="F4311" s="638" t="s">
        <v>11045</v>
      </c>
      <c r="G4311" s="644" t="s">
        <v>11046</v>
      </c>
      <c r="H4311" s="636" t="s">
        <v>11047</v>
      </c>
      <c r="I4311" s="636" t="s">
        <v>2766</v>
      </c>
      <c r="J4311" s="635" t="s">
        <v>2766</v>
      </c>
      <c r="K4311" s="760">
        <v>3</v>
      </c>
      <c r="L4311" s="760">
        <v>6</v>
      </c>
      <c r="M4311" s="736">
        <v>40180.400000000001</v>
      </c>
      <c r="N4311" s="753">
        <v>5</v>
      </c>
      <c r="O4311" s="760">
        <v>6</v>
      </c>
      <c r="P4311" s="736">
        <v>43044.9</v>
      </c>
      <c r="Q4311" s="214"/>
    </row>
    <row r="4312" spans="1:17" ht="12" customHeight="1" x14ac:dyDescent="0.2">
      <c r="A4312" s="646" t="s">
        <v>10266</v>
      </c>
      <c r="B4312" s="735" t="s">
        <v>2170</v>
      </c>
      <c r="C4312" s="646" t="s">
        <v>451</v>
      </c>
      <c r="D4312" s="636" t="s">
        <v>5691</v>
      </c>
      <c r="E4312" s="759">
        <v>3500</v>
      </c>
      <c r="F4312" s="638" t="s">
        <v>11048</v>
      </c>
      <c r="G4312" s="644" t="s">
        <v>11049</v>
      </c>
      <c r="H4312" s="636" t="s">
        <v>11050</v>
      </c>
      <c r="I4312" s="636" t="s">
        <v>2766</v>
      </c>
      <c r="J4312" s="635" t="s">
        <v>2766</v>
      </c>
      <c r="K4312" s="760">
        <v>18</v>
      </c>
      <c r="L4312" s="760">
        <v>12</v>
      </c>
      <c r="M4312" s="736">
        <v>43958.61</v>
      </c>
      <c r="N4312" s="753">
        <v>22</v>
      </c>
      <c r="O4312" s="760">
        <v>6</v>
      </c>
      <c r="P4312" s="736">
        <v>22044.9</v>
      </c>
      <c r="Q4312" s="214"/>
    </row>
    <row r="4313" spans="1:17" ht="12" customHeight="1" x14ac:dyDescent="0.2">
      <c r="A4313" s="646" t="s">
        <v>10266</v>
      </c>
      <c r="B4313" s="735" t="s">
        <v>2170</v>
      </c>
      <c r="C4313" s="646" t="s">
        <v>451</v>
      </c>
      <c r="D4313" s="636" t="s">
        <v>10725</v>
      </c>
      <c r="E4313" s="759">
        <v>10000</v>
      </c>
      <c r="F4313" s="638" t="s">
        <v>11051</v>
      </c>
      <c r="G4313" s="644" t="s">
        <v>11052</v>
      </c>
      <c r="H4313" s="636" t="s">
        <v>2179</v>
      </c>
      <c r="I4313" s="636" t="s">
        <v>2180</v>
      </c>
      <c r="J4313" s="635" t="s">
        <v>2180</v>
      </c>
      <c r="K4313" s="760">
        <v>1</v>
      </c>
      <c r="L4313" s="760">
        <v>2</v>
      </c>
      <c r="M4313" s="736">
        <v>19226.8</v>
      </c>
      <c r="N4313" s="753">
        <v>1</v>
      </c>
      <c r="O4313" s="760">
        <v>1</v>
      </c>
      <c r="P4313" s="736">
        <v>2389.3199999999997</v>
      </c>
      <c r="Q4313" s="214"/>
    </row>
    <row r="4314" spans="1:17" ht="12" customHeight="1" x14ac:dyDescent="0.2">
      <c r="A4314" s="646" t="s">
        <v>10266</v>
      </c>
      <c r="B4314" s="735" t="s">
        <v>2170</v>
      </c>
      <c r="C4314" s="646" t="s">
        <v>451</v>
      </c>
      <c r="D4314" s="636" t="s">
        <v>10323</v>
      </c>
      <c r="E4314" s="759">
        <v>5500</v>
      </c>
      <c r="F4314" s="638" t="s">
        <v>11053</v>
      </c>
      <c r="G4314" s="644" t="s">
        <v>11054</v>
      </c>
      <c r="H4314" s="636" t="s">
        <v>2253</v>
      </c>
      <c r="I4314" s="636" t="s">
        <v>2253</v>
      </c>
      <c r="J4314" s="635" t="s">
        <v>2253</v>
      </c>
      <c r="K4314" s="760">
        <v>3</v>
      </c>
      <c r="L4314" s="760">
        <v>5</v>
      </c>
      <c r="M4314" s="736">
        <v>28367</v>
      </c>
      <c r="N4314" s="753">
        <v>5</v>
      </c>
      <c r="O4314" s="760">
        <v>6</v>
      </c>
      <c r="P4314" s="736">
        <v>34044.9</v>
      </c>
      <c r="Q4314" s="214"/>
    </row>
    <row r="4315" spans="1:17" ht="12" customHeight="1" x14ac:dyDescent="0.2">
      <c r="A4315" s="646" t="s">
        <v>10266</v>
      </c>
      <c r="B4315" s="735" t="s">
        <v>2170</v>
      </c>
      <c r="C4315" s="646" t="s">
        <v>451</v>
      </c>
      <c r="D4315" s="636" t="s">
        <v>10323</v>
      </c>
      <c r="E4315" s="759">
        <v>5500</v>
      </c>
      <c r="F4315" s="638" t="s">
        <v>11055</v>
      </c>
      <c r="G4315" s="644" t="s">
        <v>11056</v>
      </c>
      <c r="H4315" s="636" t="s">
        <v>2253</v>
      </c>
      <c r="I4315" s="636" t="s">
        <v>2253</v>
      </c>
      <c r="J4315" s="635" t="s">
        <v>2253</v>
      </c>
      <c r="K4315" s="760">
        <v>3</v>
      </c>
      <c r="L4315" s="760">
        <v>5</v>
      </c>
      <c r="M4315" s="736">
        <v>28367</v>
      </c>
      <c r="N4315" s="753">
        <v>5</v>
      </c>
      <c r="O4315" s="760">
        <v>6</v>
      </c>
      <c r="P4315" s="736">
        <v>34044.9</v>
      </c>
      <c r="Q4315" s="214"/>
    </row>
    <row r="4316" spans="1:17" ht="12" customHeight="1" x14ac:dyDescent="0.2">
      <c r="A4316" s="646" t="s">
        <v>10266</v>
      </c>
      <c r="B4316" s="735" t="s">
        <v>2170</v>
      </c>
      <c r="C4316" s="646" t="s">
        <v>451</v>
      </c>
      <c r="D4316" s="636" t="s">
        <v>10848</v>
      </c>
      <c r="E4316" s="759">
        <v>10000</v>
      </c>
      <c r="F4316" s="638" t="s">
        <v>11057</v>
      </c>
      <c r="G4316" s="644" t="s">
        <v>11058</v>
      </c>
      <c r="H4316" s="636" t="s">
        <v>11059</v>
      </c>
      <c r="I4316" s="636" t="s">
        <v>2180</v>
      </c>
      <c r="J4316" s="635" t="s">
        <v>2180</v>
      </c>
      <c r="K4316" s="760">
        <v>8</v>
      </c>
      <c r="L4316" s="760">
        <v>3</v>
      </c>
      <c r="M4316" s="736">
        <v>40280.469999999994</v>
      </c>
      <c r="N4316" s="753">
        <v>0</v>
      </c>
      <c r="O4316" s="760">
        <v>0</v>
      </c>
      <c r="P4316" s="736">
        <v>0</v>
      </c>
      <c r="Q4316" s="214"/>
    </row>
    <row r="4317" spans="1:17" ht="12" customHeight="1" x14ac:dyDescent="0.2">
      <c r="A4317" s="646" t="s">
        <v>10266</v>
      </c>
      <c r="B4317" s="735" t="s">
        <v>2170</v>
      </c>
      <c r="C4317" s="646" t="s">
        <v>451</v>
      </c>
      <c r="D4317" s="636" t="s">
        <v>10278</v>
      </c>
      <c r="E4317" s="759">
        <v>13000</v>
      </c>
      <c r="F4317" s="638" t="s">
        <v>11060</v>
      </c>
      <c r="G4317" s="644" t="s">
        <v>11061</v>
      </c>
      <c r="H4317" s="636" t="s">
        <v>6745</v>
      </c>
      <c r="I4317" s="636" t="s">
        <v>2180</v>
      </c>
      <c r="J4317" s="635" t="s">
        <v>2180</v>
      </c>
      <c r="K4317" s="760">
        <v>1</v>
      </c>
      <c r="L4317" s="760">
        <v>9</v>
      </c>
      <c r="M4317" s="736">
        <v>116473.81999999999</v>
      </c>
      <c r="N4317" s="753">
        <v>1</v>
      </c>
      <c r="O4317" s="760">
        <v>0</v>
      </c>
      <c r="P4317" s="736">
        <v>0</v>
      </c>
      <c r="Q4317" s="214"/>
    </row>
    <row r="4318" spans="1:17" ht="12" customHeight="1" x14ac:dyDescent="0.2">
      <c r="A4318" s="646" t="s">
        <v>10266</v>
      </c>
      <c r="B4318" s="735" t="s">
        <v>2170</v>
      </c>
      <c r="C4318" s="646" t="s">
        <v>451</v>
      </c>
      <c r="D4318" s="636" t="s">
        <v>10835</v>
      </c>
      <c r="E4318" s="759">
        <v>10000</v>
      </c>
      <c r="F4318" s="638" t="s">
        <v>11062</v>
      </c>
      <c r="G4318" s="644" t="s">
        <v>11063</v>
      </c>
      <c r="H4318" s="636" t="s">
        <v>2197</v>
      </c>
      <c r="I4318" s="636" t="s">
        <v>2180</v>
      </c>
      <c r="J4318" s="635" t="s">
        <v>2180</v>
      </c>
      <c r="K4318" s="760">
        <v>17</v>
      </c>
      <c r="L4318" s="760">
        <v>12</v>
      </c>
      <c r="M4318" s="736">
        <v>121592.73999999999</v>
      </c>
      <c r="N4318" s="753">
        <v>21</v>
      </c>
      <c r="O4318" s="760">
        <v>6</v>
      </c>
      <c r="P4318" s="736">
        <v>60813.65</v>
      </c>
      <c r="Q4318" s="214"/>
    </row>
    <row r="4319" spans="1:17" ht="12" customHeight="1" x14ac:dyDescent="0.2">
      <c r="A4319" s="646" t="s">
        <v>10266</v>
      </c>
      <c r="B4319" s="735" t="s">
        <v>2170</v>
      </c>
      <c r="C4319" s="646" t="s">
        <v>451</v>
      </c>
      <c r="D4319" s="636" t="s">
        <v>11064</v>
      </c>
      <c r="E4319" s="759">
        <v>12500</v>
      </c>
      <c r="F4319" s="638" t="s">
        <v>11065</v>
      </c>
      <c r="G4319" s="644" t="s">
        <v>11066</v>
      </c>
      <c r="H4319" s="636" t="s">
        <v>2174</v>
      </c>
      <c r="I4319" s="636" t="s">
        <v>2180</v>
      </c>
      <c r="J4319" s="635" t="s">
        <v>2180</v>
      </c>
      <c r="K4319" s="760">
        <v>3</v>
      </c>
      <c r="L4319" s="760">
        <v>8</v>
      </c>
      <c r="M4319" s="736">
        <v>100805.45999999999</v>
      </c>
      <c r="N4319" s="753">
        <v>5</v>
      </c>
      <c r="O4319" s="760">
        <v>6</v>
      </c>
      <c r="P4319" s="736">
        <v>76044.899999999994</v>
      </c>
      <c r="Q4319" s="214"/>
    </row>
    <row r="4320" spans="1:17" ht="12" customHeight="1" x14ac:dyDescent="0.2">
      <c r="A4320" s="646" t="s">
        <v>10266</v>
      </c>
      <c r="B4320" s="735" t="s">
        <v>2170</v>
      </c>
      <c r="C4320" s="646" t="s">
        <v>451</v>
      </c>
      <c r="D4320" s="636" t="s">
        <v>11067</v>
      </c>
      <c r="E4320" s="759">
        <v>7000</v>
      </c>
      <c r="F4320" s="638" t="s">
        <v>11068</v>
      </c>
      <c r="G4320" s="644" t="s">
        <v>11069</v>
      </c>
      <c r="H4320" s="636" t="s">
        <v>11070</v>
      </c>
      <c r="I4320" s="636" t="s">
        <v>2180</v>
      </c>
      <c r="J4320" s="635" t="s">
        <v>2180</v>
      </c>
      <c r="K4320" s="760">
        <v>4</v>
      </c>
      <c r="L4320" s="760">
        <v>12</v>
      </c>
      <c r="M4320" s="736">
        <v>85777.549999999988</v>
      </c>
      <c r="N4320" s="753">
        <v>8</v>
      </c>
      <c r="O4320" s="760">
        <v>6</v>
      </c>
      <c r="P4320" s="736">
        <v>43031.780000000006</v>
      </c>
      <c r="Q4320" s="214"/>
    </row>
    <row r="4321" spans="1:17" ht="12" customHeight="1" x14ac:dyDescent="0.2">
      <c r="A4321" s="646" t="s">
        <v>10266</v>
      </c>
      <c r="B4321" s="735" t="s">
        <v>2170</v>
      </c>
      <c r="C4321" s="646" t="s">
        <v>451</v>
      </c>
      <c r="D4321" s="636" t="s">
        <v>11071</v>
      </c>
      <c r="E4321" s="759">
        <v>6000</v>
      </c>
      <c r="F4321" s="638" t="s">
        <v>11072</v>
      </c>
      <c r="G4321" s="644" t="s">
        <v>11073</v>
      </c>
      <c r="H4321" s="636" t="s">
        <v>11074</v>
      </c>
      <c r="I4321" s="636" t="s">
        <v>2180</v>
      </c>
      <c r="J4321" s="635" t="s">
        <v>2180</v>
      </c>
      <c r="K4321" s="760">
        <v>1</v>
      </c>
      <c r="L4321" s="760">
        <v>2</v>
      </c>
      <c r="M4321" s="736">
        <v>9626.7999999999993</v>
      </c>
      <c r="N4321" s="753">
        <v>3</v>
      </c>
      <c r="O4321" s="760">
        <v>6</v>
      </c>
      <c r="P4321" s="736">
        <v>37044.9</v>
      </c>
      <c r="Q4321" s="214"/>
    </row>
    <row r="4322" spans="1:17" ht="12" customHeight="1" x14ac:dyDescent="0.2">
      <c r="A4322" s="646" t="s">
        <v>10266</v>
      </c>
      <c r="B4322" s="735" t="s">
        <v>2170</v>
      </c>
      <c r="C4322" s="646" t="s">
        <v>451</v>
      </c>
      <c r="D4322" s="636" t="s">
        <v>10335</v>
      </c>
      <c r="E4322" s="759">
        <v>5500</v>
      </c>
      <c r="F4322" s="638" t="s">
        <v>11075</v>
      </c>
      <c r="G4322" s="644" t="s">
        <v>11076</v>
      </c>
      <c r="H4322" s="636" t="s">
        <v>2253</v>
      </c>
      <c r="I4322" s="636" t="s">
        <v>2253</v>
      </c>
      <c r="J4322" s="635" t="s">
        <v>2253</v>
      </c>
      <c r="K4322" s="760">
        <v>5</v>
      </c>
      <c r="L4322" s="760">
        <v>12</v>
      </c>
      <c r="M4322" s="736">
        <v>70442.320000000007</v>
      </c>
      <c r="N4322" s="753">
        <v>0</v>
      </c>
      <c r="O4322" s="760">
        <v>0</v>
      </c>
      <c r="P4322" s="736">
        <v>0</v>
      </c>
      <c r="Q4322" s="214"/>
    </row>
    <row r="4323" spans="1:17" ht="12" customHeight="1" x14ac:dyDescent="0.2">
      <c r="A4323" s="646" t="s">
        <v>10266</v>
      </c>
      <c r="B4323" s="735" t="s">
        <v>2170</v>
      </c>
      <c r="C4323" s="646" t="s">
        <v>451</v>
      </c>
      <c r="D4323" s="636" t="s">
        <v>11077</v>
      </c>
      <c r="E4323" s="759">
        <v>6000</v>
      </c>
      <c r="F4323" s="638" t="s">
        <v>11078</v>
      </c>
      <c r="G4323" s="644" t="s">
        <v>11079</v>
      </c>
      <c r="H4323" s="636" t="s">
        <v>10532</v>
      </c>
      <c r="I4323" s="636" t="s">
        <v>2180</v>
      </c>
      <c r="J4323" s="635" t="s">
        <v>2180</v>
      </c>
      <c r="K4323" s="760">
        <v>7</v>
      </c>
      <c r="L4323" s="760">
        <v>6</v>
      </c>
      <c r="M4323" s="736">
        <v>45915.409999999996</v>
      </c>
      <c r="N4323" s="753">
        <v>0</v>
      </c>
      <c r="O4323" s="760">
        <v>0</v>
      </c>
      <c r="P4323" s="736">
        <v>0</v>
      </c>
      <c r="Q4323" s="214"/>
    </row>
    <row r="4324" spans="1:17" ht="12" customHeight="1" x14ac:dyDescent="0.2">
      <c r="A4324" s="646" t="s">
        <v>10266</v>
      </c>
      <c r="B4324" s="735" t="s">
        <v>2170</v>
      </c>
      <c r="C4324" s="646" t="s">
        <v>451</v>
      </c>
      <c r="D4324" s="636" t="s">
        <v>2602</v>
      </c>
      <c r="E4324" s="759">
        <v>4000</v>
      </c>
      <c r="F4324" s="638" t="s">
        <v>11080</v>
      </c>
      <c r="G4324" s="644" t="s">
        <v>11081</v>
      </c>
      <c r="H4324" s="636" t="s">
        <v>2346</v>
      </c>
      <c r="I4324" s="636" t="s">
        <v>643</v>
      </c>
      <c r="J4324" s="635" t="s">
        <v>643</v>
      </c>
      <c r="K4324" s="760">
        <v>9</v>
      </c>
      <c r="L4324" s="760">
        <v>12</v>
      </c>
      <c r="M4324" s="736">
        <v>49856.62</v>
      </c>
      <c r="N4324" s="753">
        <v>13</v>
      </c>
      <c r="O4324" s="760">
        <v>6</v>
      </c>
      <c r="P4324" s="736">
        <v>25044.9</v>
      </c>
      <c r="Q4324" s="214"/>
    </row>
    <row r="4325" spans="1:17" ht="12" customHeight="1" x14ac:dyDescent="0.2">
      <c r="A4325" s="646" t="s">
        <v>10266</v>
      </c>
      <c r="B4325" s="735" t="s">
        <v>2170</v>
      </c>
      <c r="C4325" s="646" t="s">
        <v>451</v>
      </c>
      <c r="D4325" s="636" t="s">
        <v>6668</v>
      </c>
      <c r="E4325" s="759">
        <v>7500</v>
      </c>
      <c r="F4325" s="638" t="s">
        <v>11082</v>
      </c>
      <c r="G4325" s="644" t="s">
        <v>11083</v>
      </c>
      <c r="H4325" s="636" t="s">
        <v>6765</v>
      </c>
      <c r="I4325" s="636" t="s">
        <v>2180</v>
      </c>
      <c r="J4325" s="635" t="s">
        <v>2180</v>
      </c>
      <c r="K4325" s="760">
        <v>6</v>
      </c>
      <c r="L4325" s="760">
        <v>12</v>
      </c>
      <c r="M4325" s="736">
        <v>91960.8</v>
      </c>
      <c r="N4325" s="753">
        <v>10</v>
      </c>
      <c r="O4325" s="760">
        <v>6</v>
      </c>
      <c r="P4325" s="736">
        <v>46044.9</v>
      </c>
      <c r="Q4325" s="214"/>
    </row>
    <row r="4326" spans="1:17" ht="12" customHeight="1" x14ac:dyDescent="0.2">
      <c r="A4326" s="646" t="s">
        <v>10266</v>
      </c>
      <c r="B4326" s="735" t="s">
        <v>2170</v>
      </c>
      <c r="C4326" s="646" t="s">
        <v>451</v>
      </c>
      <c r="D4326" s="636" t="s">
        <v>10492</v>
      </c>
      <c r="E4326" s="759">
        <v>2000</v>
      </c>
      <c r="F4326" s="638" t="s">
        <v>11084</v>
      </c>
      <c r="G4326" s="644" t="s">
        <v>11085</v>
      </c>
      <c r="H4326" s="636" t="s">
        <v>2189</v>
      </c>
      <c r="I4326" s="636" t="s">
        <v>2180</v>
      </c>
      <c r="J4326" s="635" t="s">
        <v>2180</v>
      </c>
      <c r="K4326" s="760">
        <v>1</v>
      </c>
      <c r="L4326" s="760">
        <v>2</v>
      </c>
      <c r="M4326" s="736">
        <v>4012.0800000000004</v>
      </c>
      <c r="N4326" s="753">
        <v>2</v>
      </c>
      <c r="O4326" s="760">
        <v>3</v>
      </c>
      <c r="P4326" s="736">
        <v>5924.42</v>
      </c>
      <c r="Q4326" s="214"/>
    </row>
    <row r="4327" spans="1:17" ht="12" customHeight="1" x14ac:dyDescent="0.2">
      <c r="A4327" s="646" t="s">
        <v>10266</v>
      </c>
      <c r="B4327" s="735" t="s">
        <v>2170</v>
      </c>
      <c r="C4327" s="646" t="s">
        <v>451</v>
      </c>
      <c r="D4327" s="636" t="s">
        <v>10300</v>
      </c>
      <c r="E4327" s="759">
        <v>11000</v>
      </c>
      <c r="F4327" s="638" t="s">
        <v>11086</v>
      </c>
      <c r="G4327" s="644" t="s">
        <v>11087</v>
      </c>
      <c r="H4327" s="636" t="s">
        <v>2317</v>
      </c>
      <c r="I4327" s="636" t="s">
        <v>2180</v>
      </c>
      <c r="J4327" s="635" t="s">
        <v>2180</v>
      </c>
      <c r="K4327" s="760">
        <v>1</v>
      </c>
      <c r="L4327" s="760">
        <v>12</v>
      </c>
      <c r="M4327" s="736">
        <v>133960.79999999999</v>
      </c>
      <c r="N4327" s="753">
        <v>1</v>
      </c>
      <c r="O4327" s="760">
        <v>6</v>
      </c>
      <c r="P4327" s="736">
        <v>67044.899999999994</v>
      </c>
      <c r="Q4327" s="214"/>
    </row>
    <row r="4328" spans="1:17" ht="12" customHeight="1" x14ac:dyDescent="0.2">
      <c r="A4328" s="646" t="s">
        <v>10266</v>
      </c>
      <c r="B4328" s="735" t="s">
        <v>2170</v>
      </c>
      <c r="C4328" s="646" t="s">
        <v>451</v>
      </c>
      <c r="D4328" s="636" t="s">
        <v>10981</v>
      </c>
      <c r="E4328" s="759">
        <v>8000</v>
      </c>
      <c r="F4328" s="638" t="s">
        <v>11088</v>
      </c>
      <c r="G4328" s="644" t="s">
        <v>11089</v>
      </c>
      <c r="H4328" s="636" t="s">
        <v>6668</v>
      </c>
      <c r="I4328" s="636" t="s">
        <v>2180</v>
      </c>
      <c r="J4328" s="635" t="s">
        <v>2180</v>
      </c>
      <c r="K4328" s="760">
        <v>0</v>
      </c>
      <c r="L4328" s="760">
        <v>0</v>
      </c>
      <c r="M4328" s="736">
        <v>0</v>
      </c>
      <c r="N4328" s="753">
        <v>1</v>
      </c>
      <c r="O4328" s="760">
        <v>2</v>
      </c>
      <c r="P4328" s="736">
        <v>26744.67</v>
      </c>
      <c r="Q4328" s="214"/>
    </row>
    <row r="4329" spans="1:17" ht="12" customHeight="1" x14ac:dyDescent="0.2">
      <c r="A4329" s="646" t="s">
        <v>10266</v>
      </c>
      <c r="B4329" s="735" t="s">
        <v>2170</v>
      </c>
      <c r="C4329" s="646" t="s">
        <v>451</v>
      </c>
      <c r="D4329" s="636" t="s">
        <v>10981</v>
      </c>
      <c r="E4329" s="759">
        <v>10000</v>
      </c>
      <c r="F4329" s="638" t="s">
        <v>11088</v>
      </c>
      <c r="G4329" s="644" t="s">
        <v>11089</v>
      </c>
      <c r="H4329" s="636" t="s">
        <v>6668</v>
      </c>
      <c r="I4329" s="636" t="s">
        <v>2180</v>
      </c>
      <c r="J4329" s="635" t="s">
        <v>2180</v>
      </c>
      <c r="K4329" s="760">
        <v>0</v>
      </c>
      <c r="L4329" s="760">
        <v>0</v>
      </c>
      <c r="M4329" s="736">
        <v>0</v>
      </c>
      <c r="N4329" s="753">
        <v>2</v>
      </c>
      <c r="O4329" s="760">
        <v>5</v>
      </c>
      <c r="P4329" s="736">
        <v>36604.080000000002</v>
      </c>
      <c r="Q4329" s="214"/>
    </row>
    <row r="4330" spans="1:17" ht="12" customHeight="1" x14ac:dyDescent="0.2">
      <c r="A4330" s="646" t="s">
        <v>10266</v>
      </c>
      <c r="B4330" s="735" t="s">
        <v>2170</v>
      </c>
      <c r="C4330" s="646" t="s">
        <v>451</v>
      </c>
      <c r="D4330" s="636" t="s">
        <v>10697</v>
      </c>
      <c r="E4330" s="759">
        <v>15000</v>
      </c>
      <c r="F4330" s="638" t="s">
        <v>11090</v>
      </c>
      <c r="G4330" s="644" t="s">
        <v>11091</v>
      </c>
      <c r="H4330" s="636" t="s">
        <v>2179</v>
      </c>
      <c r="I4330" s="636" t="s">
        <v>2180</v>
      </c>
      <c r="J4330" s="635" t="s">
        <v>2180</v>
      </c>
      <c r="K4330" s="760">
        <v>1</v>
      </c>
      <c r="L4330" s="760">
        <v>5</v>
      </c>
      <c r="M4330" s="736">
        <v>62383.680000000008</v>
      </c>
      <c r="N4330" s="753">
        <v>0</v>
      </c>
      <c r="O4330" s="760">
        <v>0</v>
      </c>
      <c r="P4330" s="736">
        <v>0</v>
      </c>
      <c r="Q4330" s="214"/>
    </row>
    <row r="4331" spans="1:17" ht="12" customHeight="1" x14ac:dyDescent="0.2">
      <c r="A4331" s="646" t="s">
        <v>10266</v>
      </c>
      <c r="B4331" s="735" t="s">
        <v>2170</v>
      </c>
      <c r="C4331" s="646" t="s">
        <v>451</v>
      </c>
      <c r="D4331" s="636" t="s">
        <v>10323</v>
      </c>
      <c r="E4331" s="759">
        <v>5500</v>
      </c>
      <c r="F4331" s="638" t="s">
        <v>11092</v>
      </c>
      <c r="G4331" s="644" t="s">
        <v>11093</v>
      </c>
      <c r="H4331" s="636" t="s">
        <v>2253</v>
      </c>
      <c r="I4331" s="636" t="s">
        <v>2253</v>
      </c>
      <c r="J4331" s="635" t="s">
        <v>2253</v>
      </c>
      <c r="K4331" s="760">
        <v>2</v>
      </c>
      <c r="L4331" s="760">
        <v>2</v>
      </c>
      <c r="M4331" s="736">
        <v>10126.799999999999</v>
      </c>
      <c r="N4331" s="753">
        <v>4</v>
      </c>
      <c r="O4331" s="760">
        <v>6</v>
      </c>
      <c r="P4331" s="736">
        <v>34044.9</v>
      </c>
      <c r="Q4331" s="214"/>
    </row>
    <row r="4332" spans="1:17" ht="12" customHeight="1" x14ac:dyDescent="0.2">
      <c r="A4332" s="646" t="s">
        <v>10266</v>
      </c>
      <c r="B4332" s="735" t="s">
        <v>2170</v>
      </c>
      <c r="C4332" s="646" t="s">
        <v>451</v>
      </c>
      <c r="D4332" s="636" t="s">
        <v>10278</v>
      </c>
      <c r="E4332" s="759">
        <v>15600</v>
      </c>
      <c r="F4332" s="638" t="s">
        <v>11094</v>
      </c>
      <c r="G4332" s="644" t="s">
        <v>11095</v>
      </c>
      <c r="H4332" s="636" t="s">
        <v>10749</v>
      </c>
      <c r="I4332" s="636" t="s">
        <v>2180</v>
      </c>
      <c r="J4332" s="635" t="s">
        <v>2180</v>
      </c>
      <c r="K4332" s="760">
        <v>1</v>
      </c>
      <c r="L4332" s="760">
        <v>9</v>
      </c>
      <c r="M4332" s="736">
        <v>202404.19</v>
      </c>
      <c r="N4332" s="753">
        <v>1</v>
      </c>
      <c r="O4332" s="760">
        <v>6</v>
      </c>
      <c r="P4332" s="736">
        <v>94644.9</v>
      </c>
      <c r="Q4332" s="214"/>
    </row>
    <row r="4333" spans="1:17" ht="12" customHeight="1" x14ac:dyDescent="0.2">
      <c r="A4333" s="646" t="s">
        <v>10266</v>
      </c>
      <c r="B4333" s="735" t="s">
        <v>2170</v>
      </c>
      <c r="C4333" s="646" t="s">
        <v>451</v>
      </c>
      <c r="D4333" s="636" t="s">
        <v>10705</v>
      </c>
      <c r="E4333" s="759">
        <v>10000</v>
      </c>
      <c r="F4333" s="638" t="s">
        <v>11096</v>
      </c>
      <c r="G4333" s="644" t="s">
        <v>11097</v>
      </c>
      <c r="H4333" s="636" t="s">
        <v>2179</v>
      </c>
      <c r="I4333" s="636" t="s">
        <v>2180</v>
      </c>
      <c r="J4333" s="635" t="s">
        <v>2180</v>
      </c>
      <c r="K4333" s="760">
        <v>13</v>
      </c>
      <c r="L4333" s="760">
        <v>12</v>
      </c>
      <c r="M4333" s="736">
        <v>117698.72000000002</v>
      </c>
      <c r="N4333" s="753">
        <v>17</v>
      </c>
      <c r="O4333" s="760">
        <v>6</v>
      </c>
      <c r="P4333" s="736">
        <v>61044.9</v>
      </c>
      <c r="Q4333" s="214"/>
    </row>
    <row r="4334" spans="1:17" ht="12" customHeight="1" x14ac:dyDescent="0.2">
      <c r="A4334" s="646" t="s">
        <v>10266</v>
      </c>
      <c r="B4334" s="735" t="s">
        <v>2170</v>
      </c>
      <c r="C4334" s="646" t="s">
        <v>451</v>
      </c>
      <c r="D4334" s="636" t="s">
        <v>9199</v>
      </c>
      <c r="E4334" s="759">
        <v>8000</v>
      </c>
      <c r="F4334" s="638" t="s">
        <v>11098</v>
      </c>
      <c r="G4334" s="644" t="s">
        <v>11099</v>
      </c>
      <c r="H4334" s="636" t="s">
        <v>11100</v>
      </c>
      <c r="I4334" s="636" t="s">
        <v>2766</v>
      </c>
      <c r="J4334" s="635" t="s">
        <v>2766</v>
      </c>
      <c r="K4334" s="760">
        <v>20</v>
      </c>
      <c r="L4334" s="760">
        <v>12</v>
      </c>
      <c r="M4334" s="736">
        <v>96460.22</v>
      </c>
      <c r="N4334" s="753">
        <v>24</v>
      </c>
      <c r="O4334" s="760">
        <v>6</v>
      </c>
      <c r="P4334" s="736">
        <v>48788.78</v>
      </c>
      <c r="Q4334" s="214"/>
    </row>
    <row r="4335" spans="1:17" ht="12" customHeight="1" x14ac:dyDescent="0.2">
      <c r="A4335" s="646" t="s">
        <v>10266</v>
      </c>
      <c r="B4335" s="735" t="s">
        <v>2170</v>
      </c>
      <c r="C4335" s="646" t="s">
        <v>451</v>
      </c>
      <c r="D4335" s="636" t="s">
        <v>10601</v>
      </c>
      <c r="E4335" s="759">
        <v>10000</v>
      </c>
      <c r="F4335" s="638" t="s">
        <v>11101</v>
      </c>
      <c r="G4335" s="644" t="s">
        <v>11102</v>
      </c>
      <c r="H4335" s="636" t="s">
        <v>2752</v>
      </c>
      <c r="I4335" s="636" t="s">
        <v>2180</v>
      </c>
      <c r="J4335" s="635" t="s">
        <v>2180</v>
      </c>
      <c r="K4335" s="760">
        <v>12</v>
      </c>
      <c r="L4335" s="760">
        <v>12</v>
      </c>
      <c r="M4335" s="736">
        <v>121898.3</v>
      </c>
      <c r="N4335" s="753">
        <v>16</v>
      </c>
      <c r="O4335" s="760">
        <v>6</v>
      </c>
      <c r="P4335" s="736">
        <v>61044.21</v>
      </c>
      <c r="Q4335" s="214"/>
    </row>
    <row r="4336" spans="1:17" ht="12" customHeight="1" x14ac:dyDescent="0.2">
      <c r="A4336" s="646" t="s">
        <v>10266</v>
      </c>
      <c r="B4336" s="735" t="s">
        <v>2170</v>
      </c>
      <c r="C4336" s="646" t="s">
        <v>451</v>
      </c>
      <c r="D4336" s="636" t="s">
        <v>10297</v>
      </c>
      <c r="E4336" s="759">
        <v>8000</v>
      </c>
      <c r="F4336" s="638" t="s">
        <v>11103</v>
      </c>
      <c r="G4336" s="644" t="s">
        <v>11104</v>
      </c>
      <c r="H4336" s="636" t="s">
        <v>11105</v>
      </c>
      <c r="I4336" s="636" t="s">
        <v>2180</v>
      </c>
      <c r="J4336" s="635" t="s">
        <v>2180</v>
      </c>
      <c r="K4336" s="760">
        <v>1</v>
      </c>
      <c r="L4336" s="760">
        <v>6</v>
      </c>
      <c r="M4336" s="736">
        <v>48980.4</v>
      </c>
      <c r="N4336" s="753">
        <v>2</v>
      </c>
      <c r="O4336" s="760">
        <v>6</v>
      </c>
      <c r="P4336" s="736">
        <v>49044.9</v>
      </c>
      <c r="Q4336" s="214"/>
    </row>
    <row r="4337" spans="1:17" ht="12" customHeight="1" x14ac:dyDescent="0.2">
      <c r="A4337" s="646" t="s">
        <v>10266</v>
      </c>
      <c r="B4337" s="735" t="s">
        <v>2170</v>
      </c>
      <c r="C4337" s="646" t="s">
        <v>451</v>
      </c>
      <c r="D4337" s="636" t="s">
        <v>10335</v>
      </c>
      <c r="E4337" s="759">
        <v>5500</v>
      </c>
      <c r="F4337" s="638" t="s">
        <v>11106</v>
      </c>
      <c r="G4337" s="644" t="s">
        <v>11107</v>
      </c>
      <c r="H4337" s="636" t="s">
        <v>2253</v>
      </c>
      <c r="I4337" s="636" t="s">
        <v>2253</v>
      </c>
      <c r="J4337" s="635" t="s">
        <v>2253</v>
      </c>
      <c r="K4337" s="760">
        <v>4</v>
      </c>
      <c r="L4337" s="760">
        <v>9</v>
      </c>
      <c r="M4337" s="736">
        <v>55847.020000000004</v>
      </c>
      <c r="N4337" s="753">
        <v>0</v>
      </c>
      <c r="O4337" s="760">
        <v>0</v>
      </c>
      <c r="P4337" s="736">
        <v>0</v>
      </c>
      <c r="Q4337" s="214"/>
    </row>
    <row r="4338" spans="1:17" ht="12" customHeight="1" x14ac:dyDescent="0.2">
      <c r="A4338" s="646" t="s">
        <v>10266</v>
      </c>
      <c r="B4338" s="735" t="s">
        <v>2170</v>
      </c>
      <c r="C4338" s="646" t="s">
        <v>451</v>
      </c>
      <c r="D4338" s="636" t="s">
        <v>10668</v>
      </c>
      <c r="E4338" s="759">
        <v>8000</v>
      </c>
      <c r="F4338" s="638" t="s">
        <v>11108</v>
      </c>
      <c r="G4338" s="644" t="s">
        <v>11109</v>
      </c>
      <c r="H4338" s="636" t="s">
        <v>2712</v>
      </c>
      <c r="I4338" s="636" t="s">
        <v>2180</v>
      </c>
      <c r="J4338" s="635" t="s">
        <v>2180</v>
      </c>
      <c r="K4338" s="760">
        <v>3</v>
      </c>
      <c r="L4338" s="760">
        <v>6</v>
      </c>
      <c r="M4338" s="736">
        <v>53070.909999999996</v>
      </c>
      <c r="N4338" s="753">
        <v>0</v>
      </c>
      <c r="O4338" s="760">
        <v>0</v>
      </c>
      <c r="P4338" s="736">
        <v>0</v>
      </c>
      <c r="Q4338" s="214"/>
    </row>
    <row r="4339" spans="1:17" ht="12" customHeight="1" x14ac:dyDescent="0.2">
      <c r="A4339" s="646" t="s">
        <v>10266</v>
      </c>
      <c r="B4339" s="735" t="s">
        <v>2170</v>
      </c>
      <c r="C4339" s="646" t="s">
        <v>451</v>
      </c>
      <c r="D4339" s="636" t="s">
        <v>10323</v>
      </c>
      <c r="E4339" s="759">
        <v>5500</v>
      </c>
      <c r="F4339" s="638" t="s">
        <v>11110</v>
      </c>
      <c r="G4339" s="644" t="s">
        <v>11111</v>
      </c>
      <c r="H4339" s="636" t="s">
        <v>2253</v>
      </c>
      <c r="I4339" s="636" t="s">
        <v>2253</v>
      </c>
      <c r="J4339" s="635" t="s">
        <v>2253</v>
      </c>
      <c r="K4339" s="760">
        <v>3</v>
      </c>
      <c r="L4339" s="760">
        <v>6</v>
      </c>
      <c r="M4339" s="736">
        <v>37631.83</v>
      </c>
      <c r="N4339" s="753">
        <v>0</v>
      </c>
      <c r="O4339" s="760">
        <v>0</v>
      </c>
      <c r="P4339" s="736">
        <v>0</v>
      </c>
      <c r="Q4339" s="214"/>
    </row>
    <row r="4340" spans="1:17" ht="12" customHeight="1" x14ac:dyDescent="0.2">
      <c r="A4340" s="646" t="s">
        <v>10266</v>
      </c>
      <c r="B4340" s="735" t="s">
        <v>2170</v>
      </c>
      <c r="C4340" s="646" t="s">
        <v>451</v>
      </c>
      <c r="D4340" s="636" t="s">
        <v>11112</v>
      </c>
      <c r="E4340" s="759">
        <v>10000</v>
      </c>
      <c r="F4340" s="638" t="s">
        <v>11113</v>
      </c>
      <c r="G4340" s="644" t="s">
        <v>11114</v>
      </c>
      <c r="H4340" s="636" t="s">
        <v>2174</v>
      </c>
      <c r="I4340" s="636" t="s">
        <v>2180</v>
      </c>
      <c r="J4340" s="635" t="s">
        <v>2180</v>
      </c>
      <c r="K4340" s="760">
        <v>1</v>
      </c>
      <c r="L4340" s="760">
        <v>1</v>
      </c>
      <c r="M4340" s="736">
        <v>6446.73</v>
      </c>
      <c r="N4340" s="753">
        <v>3</v>
      </c>
      <c r="O4340" s="760">
        <v>6</v>
      </c>
      <c r="P4340" s="736">
        <v>60875.46</v>
      </c>
      <c r="Q4340" s="214"/>
    </row>
    <row r="4341" spans="1:17" ht="12" customHeight="1" x14ac:dyDescent="0.2">
      <c r="A4341" s="646" t="s">
        <v>10266</v>
      </c>
      <c r="B4341" s="735" t="s">
        <v>2170</v>
      </c>
      <c r="C4341" s="646" t="s">
        <v>451</v>
      </c>
      <c r="D4341" s="636" t="s">
        <v>11115</v>
      </c>
      <c r="E4341" s="759">
        <v>8000</v>
      </c>
      <c r="F4341" s="638" t="s">
        <v>11116</v>
      </c>
      <c r="G4341" s="644" t="s">
        <v>11117</v>
      </c>
      <c r="H4341" s="636" t="s">
        <v>2174</v>
      </c>
      <c r="I4341" s="636" t="s">
        <v>2180</v>
      </c>
      <c r="J4341" s="635" t="s">
        <v>2180</v>
      </c>
      <c r="K4341" s="760">
        <v>18</v>
      </c>
      <c r="L4341" s="760">
        <v>12</v>
      </c>
      <c r="M4341" s="736">
        <v>97631.37</v>
      </c>
      <c r="N4341" s="753">
        <v>18</v>
      </c>
      <c r="O4341" s="760">
        <v>6</v>
      </c>
      <c r="P4341" s="736">
        <v>48989.909999999996</v>
      </c>
      <c r="Q4341" s="214"/>
    </row>
    <row r="4342" spans="1:17" ht="12" customHeight="1" x14ac:dyDescent="0.2">
      <c r="A4342" s="646" t="s">
        <v>10266</v>
      </c>
      <c r="B4342" s="735" t="s">
        <v>2170</v>
      </c>
      <c r="C4342" s="646" t="s">
        <v>451</v>
      </c>
      <c r="D4342" s="636" t="s">
        <v>10300</v>
      </c>
      <c r="E4342" s="759">
        <v>11000</v>
      </c>
      <c r="F4342" s="638" t="s">
        <v>11118</v>
      </c>
      <c r="G4342" s="644" t="s">
        <v>11119</v>
      </c>
      <c r="H4342" s="636" t="s">
        <v>2712</v>
      </c>
      <c r="I4342" s="636" t="s">
        <v>2180</v>
      </c>
      <c r="J4342" s="635" t="s">
        <v>2180</v>
      </c>
      <c r="K4342" s="760">
        <v>1</v>
      </c>
      <c r="L4342" s="760">
        <v>3</v>
      </c>
      <c r="M4342" s="736">
        <v>34990.32</v>
      </c>
      <c r="N4342" s="753">
        <v>1</v>
      </c>
      <c r="O4342" s="760">
        <v>0</v>
      </c>
      <c r="P4342" s="736">
        <v>0</v>
      </c>
      <c r="Q4342" s="214"/>
    </row>
    <row r="4343" spans="1:17" ht="12" customHeight="1" x14ac:dyDescent="0.2">
      <c r="A4343" s="646" t="s">
        <v>10266</v>
      </c>
      <c r="B4343" s="735" t="s">
        <v>2170</v>
      </c>
      <c r="C4343" s="646" t="s">
        <v>451</v>
      </c>
      <c r="D4343" s="636" t="s">
        <v>11120</v>
      </c>
      <c r="E4343" s="759">
        <v>12500</v>
      </c>
      <c r="F4343" s="638" t="s">
        <v>11121</v>
      </c>
      <c r="G4343" s="644" t="s">
        <v>11122</v>
      </c>
      <c r="H4343" s="636" t="s">
        <v>2174</v>
      </c>
      <c r="I4343" s="636" t="s">
        <v>2180</v>
      </c>
      <c r="J4343" s="635" t="s">
        <v>2180</v>
      </c>
      <c r="K4343" s="760">
        <v>7</v>
      </c>
      <c r="L4343" s="760">
        <v>3</v>
      </c>
      <c r="M4343" s="736">
        <v>50953.070000000007</v>
      </c>
      <c r="N4343" s="753">
        <v>0</v>
      </c>
      <c r="O4343" s="760">
        <v>0</v>
      </c>
      <c r="P4343" s="736">
        <v>0</v>
      </c>
      <c r="Q4343" s="214"/>
    </row>
    <row r="4344" spans="1:17" ht="12" customHeight="1" x14ac:dyDescent="0.2">
      <c r="A4344" s="646" t="s">
        <v>10266</v>
      </c>
      <c r="B4344" s="735" t="s">
        <v>2170</v>
      </c>
      <c r="C4344" s="646" t="s">
        <v>451</v>
      </c>
      <c r="D4344" s="636" t="s">
        <v>10332</v>
      </c>
      <c r="E4344" s="759">
        <v>7000</v>
      </c>
      <c r="F4344" s="638" t="s">
        <v>11123</v>
      </c>
      <c r="G4344" s="644" t="s">
        <v>11124</v>
      </c>
      <c r="H4344" s="636" t="s">
        <v>2253</v>
      </c>
      <c r="I4344" s="636" t="s">
        <v>2253</v>
      </c>
      <c r="J4344" s="635" t="s">
        <v>2253</v>
      </c>
      <c r="K4344" s="760">
        <v>3</v>
      </c>
      <c r="L4344" s="760">
        <v>5</v>
      </c>
      <c r="M4344" s="736">
        <v>79503.289999999994</v>
      </c>
      <c r="N4344" s="753">
        <v>5</v>
      </c>
      <c r="O4344" s="760">
        <v>6</v>
      </c>
      <c r="P4344" s="736">
        <v>43044.9</v>
      </c>
      <c r="Q4344" s="214"/>
    </row>
    <row r="4345" spans="1:17" ht="12" customHeight="1" x14ac:dyDescent="0.2">
      <c r="A4345" s="646" t="s">
        <v>10266</v>
      </c>
      <c r="B4345" s="735" t="s">
        <v>2170</v>
      </c>
      <c r="C4345" s="646" t="s">
        <v>451</v>
      </c>
      <c r="D4345" s="636" t="s">
        <v>10332</v>
      </c>
      <c r="E4345" s="759">
        <v>7000</v>
      </c>
      <c r="F4345" s="638" t="s">
        <v>11125</v>
      </c>
      <c r="G4345" s="644" t="s">
        <v>11126</v>
      </c>
      <c r="H4345" s="636" t="s">
        <v>2253</v>
      </c>
      <c r="I4345" s="636" t="s">
        <v>2253</v>
      </c>
      <c r="J4345" s="635" t="s">
        <v>2253</v>
      </c>
      <c r="K4345" s="760">
        <v>5</v>
      </c>
      <c r="L4345" s="760">
        <v>12</v>
      </c>
      <c r="M4345" s="736">
        <v>85960.8</v>
      </c>
      <c r="N4345" s="753">
        <v>2</v>
      </c>
      <c r="O4345" s="760">
        <v>2</v>
      </c>
      <c r="P4345" s="736">
        <v>51304.490000000005</v>
      </c>
      <c r="Q4345" s="214"/>
    </row>
    <row r="4346" spans="1:17" ht="12" customHeight="1" x14ac:dyDescent="0.2">
      <c r="A4346" s="646" t="s">
        <v>10266</v>
      </c>
      <c r="B4346" s="735" t="s">
        <v>2170</v>
      </c>
      <c r="C4346" s="646" t="s">
        <v>451</v>
      </c>
      <c r="D4346" s="636" t="s">
        <v>10300</v>
      </c>
      <c r="E4346" s="759">
        <v>9000</v>
      </c>
      <c r="F4346" s="638" t="s">
        <v>11127</v>
      </c>
      <c r="G4346" s="644" t="s">
        <v>11128</v>
      </c>
      <c r="H4346" s="636" t="s">
        <v>2317</v>
      </c>
      <c r="I4346" s="636" t="s">
        <v>2180</v>
      </c>
      <c r="J4346" s="635" t="s">
        <v>2180</v>
      </c>
      <c r="K4346" s="760">
        <v>1</v>
      </c>
      <c r="L4346" s="760">
        <v>1</v>
      </c>
      <c r="M4346" s="736">
        <v>7026.8</v>
      </c>
      <c r="N4346" s="753">
        <v>1</v>
      </c>
      <c r="O4346" s="760">
        <v>0</v>
      </c>
      <c r="P4346" s="736">
        <v>0</v>
      </c>
      <c r="Q4346" s="214"/>
    </row>
    <row r="4347" spans="1:17" ht="12" customHeight="1" x14ac:dyDescent="0.2">
      <c r="A4347" s="646" t="s">
        <v>10266</v>
      </c>
      <c r="B4347" s="735" t="s">
        <v>2170</v>
      </c>
      <c r="C4347" s="646" t="s">
        <v>451</v>
      </c>
      <c r="D4347" s="636" t="s">
        <v>10300</v>
      </c>
      <c r="E4347" s="759">
        <v>10000</v>
      </c>
      <c r="F4347" s="638" t="s">
        <v>11129</v>
      </c>
      <c r="G4347" s="644" t="s">
        <v>11130</v>
      </c>
      <c r="H4347" s="636" t="s">
        <v>11131</v>
      </c>
      <c r="I4347" s="636" t="s">
        <v>2180</v>
      </c>
      <c r="J4347" s="635" t="s">
        <v>2180</v>
      </c>
      <c r="K4347" s="760">
        <v>1</v>
      </c>
      <c r="L4347" s="760">
        <v>2</v>
      </c>
      <c r="M4347" s="736">
        <v>106362.12</v>
      </c>
      <c r="N4347" s="753">
        <v>1</v>
      </c>
      <c r="O4347" s="760">
        <v>6</v>
      </c>
      <c r="P4347" s="736">
        <v>61044.9</v>
      </c>
      <c r="Q4347" s="214"/>
    </row>
    <row r="4348" spans="1:17" ht="12" customHeight="1" x14ac:dyDescent="0.2">
      <c r="A4348" s="646" t="s">
        <v>10266</v>
      </c>
      <c r="B4348" s="735" t="s">
        <v>2170</v>
      </c>
      <c r="C4348" s="646" t="s">
        <v>451</v>
      </c>
      <c r="D4348" s="636" t="s">
        <v>10332</v>
      </c>
      <c r="E4348" s="759">
        <v>7000</v>
      </c>
      <c r="F4348" s="638" t="s">
        <v>11132</v>
      </c>
      <c r="G4348" s="644" t="s">
        <v>11133</v>
      </c>
      <c r="H4348" s="636" t="s">
        <v>2253</v>
      </c>
      <c r="I4348" s="636" t="s">
        <v>2253</v>
      </c>
      <c r="J4348" s="635" t="s">
        <v>2253</v>
      </c>
      <c r="K4348" s="760">
        <v>4</v>
      </c>
      <c r="L4348" s="760">
        <v>9</v>
      </c>
      <c r="M4348" s="736">
        <v>70717.66</v>
      </c>
      <c r="N4348" s="753">
        <v>0</v>
      </c>
      <c r="O4348" s="760">
        <v>0</v>
      </c>
      <c r="P4348" s="736">
        <v>0</v>
      </c>
      <c r="Q4348" s="214"/>
    </row>
    <row r="4349" spans="1:17" ht="12" customHeight="1" x14ac:dyDescent="0.2">
      <c r="A4349" s="646" t="s">
        <v>10266</v>
      </c>
      <c r="B4349" s="735" t="s">
        <v>2170</v>
      </c>
      <c r="C4349" s="646" t="s">
        <v>451</v>
      </c>
      <c r="D4349" s="636" t="s">
        <v>10323</v>
      </c>
      <c r="E4349" s="759">
        <v>5500</v>
      </c>
      <c r="F4349" s="638" t="s">
        <v>11134</v>
      </c>
      <c r="G4349" s="644" t="s">
        <v>11135</v>
      </c>
      <c r="H4349" s="636" t="s">
        <v>2253</v>
      </c>
      <c r="I4349" s="636" t="s">
        <v>2253</v>
      </c>
      <c r="J4349" s="635" t="s">
        <v>2253</v>
      </c>
      <c r="K4349" s="760">
        <v>3</v>
      </c>
      <c r="L4349" s="760">
        <v>5</v>
      </c>
      <c r="M4349" s="736">
        <v>28367</v>
      </c>
      <c r="N4349" s="753">
        <v>5</v>
      </c>
      <c r="O4349" s="760">
        <v>6</v>
      </c>
      <c r="P4349" s="736">
        <v>34044.9</v>
      </c>
      <c r="Q4349" s="214"/>
    </row>
    <row r="4350" spans="1:17" ht="12" customHeight="1" x14ac:dyDescent="0.2">
      <c r="A4350" s="646" t="s">
        <v>10266</v>
      </c>
      <c r="B4350" s="735" t="s">
        <v>2170</v>
      </c>
      <c r="C4350" s="646" t="s">
        <v>451</v>
      </c>
      <c r="D4350" s="636" t="s">
        <v>2906</v>
      </c>
      <c r="E4350" s="759">
        <v>3500</v>
      </c>
      <c r="F4350" s="638" t="s">
        <v>11136</v>
      </c>
      <c r="G4350" s="644" t="s">
        <v>11137</v>
      </c>
      <c r="H4350" s="636" t="s">
        <v>7917</v>
      </c>
      <c r="I4350" s="636" t="s">
        <v>643</v>
      </c>
      <c r="J4350" s="635" t="s">
        <v>643</v>
      </c>
      <c r="K4350" s="760">
        <v>0</v>
      </c>
      <c r="L4350" s="760">
        <v>0</v>
      </c>
      <c r="M4350" s="736">
        <v>0</v>
      </c>
      <c r="N4350" s="753">
        <v>2</v>
      </c>
      <c r="O4350" s="760">
        <v>2</v>
      </c>
      <c r="P4350" s="736">
        <v>5831.63</v>
      </c>
      <c r="Q4350" s="214"/>
    </row>
    <row r="4351" spans="1:17" ht="12" customHeight="1" x14ac:dyDescent="0.2">
      <c r="A4351" s="646" t="s">
        <v>10266</v>
      </c>
      <c r="B4351" s="735" t="s">
        <v>2170</v>
      </c>
      <c r="C4351" s="646" t="s">
        <v>451</v>
      </c>
      <c r="D4351" s="636" t="s">
        <v>10275</v>
      </c>
      <c r="E4351" s="759">
        <v>10000</v>
      </c>
      <c r="F4351" s="638" t="s">
        <v>11138</v>
      </c>
      <c r="G4351" s="644" t="s">
        <v>11139</v>
      </c>
      <c r="H4351" s="636" t="s">
        <v>11105</v>
      </c>
      <c r="I4351" s="636" t="s">
        <v>2180</v>
      </c>
      <c r="J4351" s="635" t="s">
        <v>2180</v>
      </c>
      <c r="K4351" s="760">
        <v>1</v>
      </c>
      <c r="L4351" s="760">
        <v>2</v>
      </c>
      <c r="M4351" s="736">
        <v>19226.8</v>
      </c>
      <c r="N4351" s="753">
        <v>1</v>
      </c>
      <c r="O4351" s="760">
        <v>6</v>
      </c>
      <c r="P4351" s="736">
        <v>61044.9</v>
      </c>
      <c r="Q4351" s="214"/>
    </row>
    <row r="4352" spans="1:17" ht="12" customHeight="1" x14ac:dyDescent="0.2">
      <c r="A4352" s="646" t="s">
        <v>10266</v>
      </c>
      <c r="B4352" s="735" t="s">
        <v>2170</v>
      </c>
      <c r="C4352" s="646" t="s">
        <v>451</v>
      </c>
      <c r="D4352" s="636" t="s">
        <v>9655</v>
      </c>
      <c r="E4352" s="759">
        <v>8000</v>
      </c>
      <c r="F4352" s="638" t="s">
        <v>11140</v>
      </c>
      <c r="G4352" s="644" t="s">
        <v>11141</v>
      </c>
      <c r="H4352" s="636" t="s">
        <v>10039</v>
      </c>
      <c r="I4352" s="636" t="s">
        <v>2180</v>
      </c>
      <c r="J4352" s="635" t="s">
        <v>2180</v>
      </c>
      <c r="K4352" s="760">
        <v>1</v>
      </c>
      <c r="L4352" s="760">
        <v>3</v>
      </c>
      <c r="M4352" s="736">
        <v>20020.27</v>
      </c>
      <c r="N4352" s="753">
        <v>3</v>
      </c>
      <c r="O4352" s="760">
        <v>6</v>
      </c>
      <c r="P4352" s="736">
        <v>49044.9</v>
      </c>
      <c r="Q4352" s="214"/>
    </row>
    <row r="4353" spans="1:17" ht="12" customHeight="1" x14ac:dyDescent="0.2">
      <c r="A4353" s="646" t="s">
        <v>10266</v>
      </c>
      <c r="B4353" s="735" t="s">
        <v>2170</v>
      </c>
      <c r="C4353" s="646" t="s">
        <v>451</v>
      </c>
      <c r="D4353" s="636" t="s">
        <v>11142</v>
      </c>
      <c r="E4353" s="759">
        <v>11000</v>
      </c>
      <c r="F4353" s="638" t="s">
        <v>11143</v>
      </c>
      <c r="G4353" s="644" t="s">
        <v>11144</v>
      </c>
      <c r="H4353" s="636" t="s">
        <v>2179</v>
      </c>
      <c r="I4353" s="636" t="s">
        <v>2180</v>
      </c>
      <c r="J4353" s="635" t="s">
        <v>2180</v>
      </c>
      <c r="K4353" s="760">
        <v>15</v>
      </c>
      <c r="L4353" s="760">
        <v>12</v>
      </c>
      <c r="M4353" s="736">
        <v>143634.88999999998</v>
      </c>
      <c r="N4353" s="753">
        <v>0</v>
      </c>
      <c r="O4353" s="760">
        <v>0</v>
      </c>
      <c r="P4353" s="736">
        <v>0</v>
      </c>
      <c r="Q4353" s="214"/>
    </row>
    <row r="4354" spans="1:17" ht="12" customHeight="1" x14ac:dyDescent="0.2">
      <c r="A4354" s="646" t="s">
        <v>10266</v>
      </c>
      <c r="B4354" s="735" t="s">
        <v>2170</v>
      </c>
      <c r="C4354" s="646" t="s">
        <v>451</v>
      </c>
      <c r="D4354" s="636" t="s">
        <v>10297</v>
      </c>
      <c r="E4354" s="759">
        <v>10000</v>
      </c>
      <c r="F4354" s="638" t="s">
        <v>11145</v>
      </c>
      <c r="G4354" s="644" t="s">
        <v>11146</v>
      </c>
      <c r="H4354" s="636" t="s">
        <v>2712</v>
      </c>
      <c r="I4354" s="636" t="s">
        <v>2180</v>
      </c>
      <c r="J4354" s="635" t="s">
        <v>2180</v>
      </c>
      <c r="K4354" s="760">
        <v>1</v>
      </c>
      <c r="L4354" s="760">
        <v>12</v>
      </c>
      <c r="M4354" s="736">
        <v>121960.8</v>
      </c>
      <c r="N4354" s="753">
        <v>2</v>
      </c>
      <c r="O4354" s="760">
        <v>6</v>
      </c>
      <c r="P4354" s="736">
        <v>61044.9</v>
      </c>
      <c r="Q4354" s="214"/>
    </row>
    <row r="4355" spans="1:17" ht="12" customHeight="1" x14ac:dyDescent="0.2">
      <c r="A4355" s="646" t="s">
        <v>10266</v>
      </c>
      <c r="B4355" s="735" t="s">
        <v>2170</v>
      </c>
      <c r="C4355" s="646" t="s">
        <v>451</v>
      </c>
      <c r="D4355" s="636" t="s">
        <v>10323</v>
      </c>
      <c r="E4355" s="759">
        <v>5500</v>
      </c>
      <c r="F4355" s="638" t="s">
        <v>11147</v>
      </c>
      <c r="G4355" s="644" t="s">
        <v>11148</v>
      </c>
      <c r="H4355" s="636" t="s">
        <v>2253</v>
      </c>
      <c r="I4355" s="636" t="s">
        <v>2253</v>
      </c>
      <c r="J4355" s="635" t="s">
        <v>2253</v>
      </c>
      <c r="K4355" s="760">
        <v>2</v>
      </c>
      <c r="L4355" s="760">
        <v>2</v>
      </c>
      <c r="M4355" s="736">
        <v>10126.799999999999</v>
      </c>
      <c r="N4355" s="753">
        <v>4</v>
      </c>
      <c r="O4355" s="760">
        <v>6</v>
      </c>
      <c r="P4355" s="736">
        <v>34044.9</v>
      </c>
      <c r="Q4355" s="214"/>
    </row>
    <row r="4356" spans="1:17" ht="12" customHeight="1" x14ac:dyDescent="0.2">
      <c r="A4356" s="646" t="s">
        <v>10266</v>
      </c>
      <c r="B4356" s="735" t="s">
        <v>2170</v>
      </c>
      <c r="C4356" s="646" t="s">
        <v>451</v>
      </c>
      <c r="D4356" s="636" t="s">
        <v>5691</v>
      </c>
      <c r="E4356" s="759">
        <v>3500</v>
      </c>
      <c r="F4356" s="638" t="s">
        <v>11149</v>
      </c>
      <c r="G4356" s="644" t="s">
        <v>11150</v>
      </c>
      <c r="H4356" s="636" t="s">
        <v>11151</v>
      </c>
      <c r="I4356" s="636" t="s">
        <v>643</v>
      </c>
      <c r="J4356" s="635" t="s">
        <v>643</v>
      </c>
      <c r="K4356" s="760">
        <v>17</v>
      </c>
      <c r="L4356" s="760">
        <v>12</v>
      </c>
      <c r="M4356" s="736">
        <v>43960.800000000003</v>
      </c>
      <c r="N4356" s="753">
        <v>21</v>
      </c>
      <c r="O4356" s="760">
        <v>6</v>
      </c>
      <c r="P4356" s="736">
        <v>22044.9</v>
      </c>
      <c r="Q4356" s="214"/>
    </row>
    <row r="4357" spans="1:17" ht="12" customHeight="1" x14ac:dyDescent="0.2">
      <c r="A4357" s="646" t="s">
        <v>10266</v>
      </c>
      <c r="B4357" s="735" t="s">
        <v>2170</v>
      </c>
      <c r="C4357" s="646" t="s">
        <v>451</v>
      </c>
      <c r="D4357" s="636" t="s">
        <v>10300</v>
      </c>
      <c r="E4357" s="759">
        <v>11000</v>
      </c>
      <c r="F4357" s="638" t="s">
        <v>11152</v>
      </c>
      <c r="G4357" s="644" t="s">
        <v>11153</v>
      </c>
      <c r="H4357" s="636" t="s">
        <v>11154</v>
      </c>
      <c r="I4357" s="636" t="s">
        <v>2180</v>
      </c>
      <c r="J4357" s="635" t="s">
        <v>2180</v>
      </c>
      <c r="K4357" s="760">
        <v>3</v>
      </c>
      <c r="L4357" s="760">
        <v>10</v>
      </c>
      <c r="M4357" s="736">
        <v>101720.6</v>
      </c>
      <c r="N4357" s="753">
        <v>0</v>
      </c>
      <c r="O4357" s="760">
        <v>0</v>
      </c>
      <c r="P4357" s="736">
        <v>3343.15</v>
      </c>
      <c r="Q4357" s="214"/>
    </row>
    <row r="4358" spans="1:17" ht="12" customHeight="1" x14ac:dyDescent="0.2">
      <c r="A4358" s="646" t="s">
        <v>10266</v>
      </c>
      <c r="B4358" s="735" t="s">
        <v>2170</v>
      </c>
      <c r="C4358" s="646" t="s">
        <v>451</v>
      </c>
      <c r="D4358" s="636" t="s">
        <v>10332</v>
      </c>
      <c r="E4358" s="759">
        <v>7000</v>
      </c>
      <c r="F4358" s="638" t="s">
        <v>11155</v>
      </c>
      <c r="G4358" s="644" t="s">
        <v>11156</v>
      </c>
      <c r="H4358" s="636" t="s">
        <v>2253</v>
      </c>
      <c r="I4358" s="636" t="s">
        <v>2253</v>
      </c>
      <c r="J4358" s="635" t="s">
        <v>2253</v>
      </c>
      <c r="K4358" s="760">
        <v>6</v>
      </c>
      <c r="L4358" s="760">
        <v>12</v>
      </c>
      <c r="M4358" s="736">
        <v>85960.8</v>
      </c>
      <c r="N4358" s="753">
        <v>10</v>
      </c>
      <c r="O4358" s="760">
        <v>6</v>
      </c>
      <c r="P4358" s="736">
        <v>43044.9</v>
      </c>
      <c r="Q4358" s="214"/>
    </row>
    <row r="4359" spans="1:17" ht="12" customHeight="1" x14ac:dyDescent="0.2">
      <c r="A4359" s="646" t="s">
        <v>10266</v>
      </c>
      <c r="B4359" s="735" t="s">
        <v>2170</v>
      </c>
      <c r="C4359" s="646" t="s">
        <v>451</v>
      </c>
      <c r="D4359" s="636" t="s">
        <v>10297</v>
      </c>
      <c r="E4359" s="759">
        <v>10000</v>
      </c>
      <c r="F4359" s="638" t="s">
        <v>11157</v>
      </c>
      <c r="G4359" s="644" t="s">
        <v>11158</v>
      </c>
      <c r="H4359" s="636" t="s">
        <v>11159</v>
      </c>
      <c r="I4359" s="636" t="s">
        <v>2180</v>
      </c>
      <c r="J4359" s="635" t="s">
        <v>2180</v>
      </c>
      <c r="K4359" s="760">
        <v>1</v>
      </c>
      <c r="L4359" s="760">
        <v>12</v>
      </c>
      <c r="M4359" s="736">
        <v>117294.13</v>
      </c>
      <c r="N4359" s="753">
        <v>2</v>
      </c>
      <c r="O4359" s="760">
        <v>6</v>
      </c>
      <c r="P4359" s="736">
        <v>61044.9</v>
      </c>
      <c r="Q4359" s="214"/>
    </row>
    <row r="4360" spans="1:17" ht="12" customHeight="1" x14ac:dyDescent="0.2">
      <c r="A4360" s="646" t="s">
        <v>10266</v>
      </c>
      <c r="B4360" s="735" t="s">
        <v>2170</v>
      </c>
      <c r="C4360" s="646" t="s">
        <v>451</v>
      </c>
      <c r="D4360" s="636" t="s">
        <v>10329</v>
      </c>
      <c r="E4360" s="759">
        <v>9000</v>
      </c>
      <c r="F4360" s="638" t="s">
        <v>11160</v>
      </c>
      <c r="G4360" s="644" t="s">
        <v>11161</v>
      </c>
      <c r="H4360" s="636" t="s">
        <v>2179</v>
      </c>
      <c r="I4360" s="636" t="s">
        <v>2180</v>
      </c>
      <c r="J4360" s="635" t="s">
        <v>2180</v>
      </c>
      <c r="K4360" s="760">
        <v>0</v>
      </c>
      <c r="L4360" s="760">
        <v>0</v>
      </c>
      <c r="M4360" s="736">
        <v>0</v>
      </c>
      <c r="N4360" s="753">
        <v>1</v>
      </c>
      <c r="O4360" s="760">
        <v>6</v>
      </c>
      <c r="P4360" s="736">
        <v>41070.75</v>
      </c>
      <c r="Q4360" s="214"/>
    </row>
    <row r="4361" spans="1:17" ht="12" customHeight="1" x14ac:dyDescent="0.2">
      <c r="A4361" s="646" t="s">
        <v>10266</v>
      </c>
      <c r="B4361" s="735" t="s">
        <v>2170</v>
      </c>
      <c r="C4361" s="646" t="s">
        <v>451</v>
      </c>
      <c r="D4361" s="636" t="s">
        <v>10358</v>
      </c>
      <c r="E4361" s="759">
        <v>10000</v>
      </c>
      <c r="F4361" s="638" t="s">
        <v>11162</v>
      </c>
      <c r="G4361" s="644" t="s">
        <v>11163</v>
      </c>
      <c r="H4361" s="636" t="s">
        <v>2197</v>
      </c>
      <c r="I4361" s="636" t="s">
        <v>2180</v>
      </c>
      <c r="J4361" s="635" t="s">
        <v>2180</v>
      </c>
      <c r="K4361" s="760">
        <v>11</v>
      </c>
      <c r="L4361" s="760">
        <v>12</v>
      </c>
      <c r="M4361" s="736">
        <v>121634.42</v>
      </c>
      <c r="N4361" s="753">
        <v>15</v>
      </c>
      <c r="O4361" s="760">
        <v>6</v>
      </c>
      <c r="P4361" s="736">
        <v>60954.62000000001</v>
      </c>
      <c r="Q4361" s="214"/>
    </row>
    <row r="4362" spans="1:17" ht="12" customHeight="1" x14ac:dyDescent="0.2">
      <c r="A4362" s="646" t="s">
        <v>10266</v>
      </c>
      <c r="B4362" s="735" t="s">
        <v>2170</v>
      </c>
      <c r="C4362" s="646" t="s">
        <v>451</v>
      </c>
      <c r="D4362" s="636" t="s">
        <v>10311</v>
      </c>
      <c r="E4362" s="759">
        <v>14000</v>
      </c>
      <c r="F4362" s="638" t="s">
        <v>11164</v>
      </c>
      <c r="G4362" s="644" t="s">
        <v>11165</v>
      </c>
      <c r="H4362" s="636" t="s">
        <v>2189</v>
      </c>
      <c r="I4362" s="636" t="s">
        <v>2180</v>
      </c>
      <c r="J4362" s="635" t="s">
        <v>2180</v>
      </c>
      <c r="K4362" s="760">
        <v>11</v>
      </c>
      <c r="L4362" s="760">
        <v>12</v>
      </c>
      <c r="M4362" s="736">
        <v>169960.8</v>
      </c>
      <c r="N4362" s="753">
        <v>15</v>
      </c>
      <c r="O4362" s="760">
        <v>6</v>
      </c>
      <c r="P4362" s="736">
        <v>85044.9</v>
      </c>
      <c r="Q4362" s="214"/>
    </row>
    <row r="4363" spans="1:17" ht="12" customHeight="1" x14ac:dyDescent="0.2">
      <c r="A4363" s="646" t="s">
        <v>10266</v>
      </c>
      <c r="B4363" s="735" t="s">
        <v>2170</v>
      </c>
      <c r="C4363" s="646" t="s">
        <v>451</v>
      </c>
      <c r="D4363" s="636" t="s">
        <v>10335</v>
      </c>
      <c r="E4363" s="759">
        <v>5500</v>
      </c>
      <c r="F4363" s="638" t="s">
        <v>5445</v>
      </c>
      <c r="G4363" s="644" t="s">
        <v>5446</v>
      </c>
      <c r="H4363" s="636" t="s">
        <v>2253</v>
      </c>
      <c r="I4363" s="636" t="s">
        <v>2253</v>
      </c>
      <c r="J4363" s="635" t="s">
        <v>2253</v>
      </c>
      <c r="K4363" s="760">
        <v>5</v>
      </c>
      <c r="L4363" s="760">
        <v>12</v>
      </c>
      <c r="M4363" s="736">
        <v>72275.649999999994</v>
      </c>
      <c r="N4363" s="753">
        <v>0</v>
      </c>
      <c r="O4363" s="760">
        <v>0</v>
      </c>
      <c r="P4363" s="736">
        <v>0</v>
      </c>
      <c r="Q4363" s="214"/>
    </row>
    <row r="4364" spans="1:17" ht="12" customHeight="1" x14ac:dyDescent="0.2">
      <c r="A4364" s="646" t="s">
        <v>10266</v>
      </c>
      <c r="B4364" s="735" t="s">
        <v>2170</v>
      </c>
      <c r="C4364" s="646" t="s">
        <v>451</v>
      </c>
      <c r="D4364" s="636" t="s">
        <v>10300</v>
      </c>
      <c r="E4364" s="759">
        <v>10000</v>
      </c>
      <c r="F4364" s="638" t="s">
        <v>11166</v>
      </c>
      <c r="G4364" s="644" t="s">
        <v>11167</v>
      </c>
      <c r="H4364" s="636" t="s">
        <v>2317</v>
      </c>
      <c r="I4364" s="636" t="s">
        <v>2180</v>
      </c>
      <c r="J4364" s="635" t="s">
        <v>2180</v>
      </c>
      <c r="K4364" s="760">
        <v>1</v>
      </c>
      <c r="L4364" s="760">
        <v>2</v>
      </c>
      <c r="M4364" s="736">
        <v>86976.000000000015</v>
      </c>
      <c r="N4364" s="753">
        <v>1</v>
      </c>
      <c r="O4364" s="760">
        <v>6</v>
      </c>
      <c r="P4364" s="736">
        <v>61044.9</v>
      </c>
      <c r="Q4364" s="214"/>
    </row>
    <row r="4365" spans="1:17" ht="12" customHeight="1" x14ac:dyDescent="0.2">
      <c r="A4365" s="646" t="s">
        <v>10266</v>
      </c>
      <c r="B4365" s="735" t="s">
        <v>2170</v>
      </c>
      <c r="C4365" s="646" t="s">
        <v>451</v>
      </c>
      <c r="D4365" s="636" t="s">
        <v>11168</v>
      </c>
      <c r="E4365" s="759">
        <v>10000</v>
      </c>
      <c r="F4365" s="638" t="s">
        <v>11169</v>
      </c>
      <c r="G4365" s="644" t="s">
        <v>11170</v>
      </c>
      <c r="H4365" s="636" t="s">
        <v>11171</v>
      </c>
      <c r="I4365" s="636" t="s">
        <v>2180</v>
      </c>
      <c r="J4365" s="635" t="s">
        <v>2180</v>
      </c>
      <c r="K4365" s="760">
        <v>11</v>
      </c>
      <c r="L4365" s="760">
        <v>12</v>
      </c>
      <c r="M4365" s="736">
        <v>143931.78999999998</v>
      </c>
      <c r="N4365" s="753">
        <v>0</v>
      </c>
      <c r="O4365" s="760">
        <v>0</v>
      </c>
      <c r="P4365" s="736">
        <v>0</v>
      </c>
      <c r="Q4365" s="214"/>
    </row>
    <row r="4366" spans="1:17" ht="12" customHeight="1" x14ac:dyDescent="0.2">
      <c r="A4366" s="646" t="s">
        <v>10266</v>
      </c>
      <c r="B4366" s="735" t="s">
        <v>2170</v>
      </c>
      <c r="C4366" s="646" t="s">
        <v>451</v>
      </c>
      <c r="D4366" s="636" t="s">
        <v>11172</v>
      </c>
      <c r="E4366" s="759">
        <v>6000</v>
      </c>
      <c r="F4366" s="638" t="s">
        <v>11173</v>
      </c>
      <c r="G4366" s="644" t="s">
        <v>11174</v>
      </c>
      <c r="H4366" s="636" t="s">
        <v>11175</v>
      </c>
      <c r="I4366" s="636" t="s">
        <v>2180</v>
      </c>
      <c r="J4366" s="635" t="s">
        <v>2180</v>
      </c>
      <c r="K4366" s="760">
        <v>1</v>
      </c>
      <c r="L4366" s="760">
        <v>2</v>
      </c>
      <c r="M4366" s="736">
        <v>8218.7999999999993</v>
      </c>
      <c r="N4366" s="753">
        <v>3</v>
      </c>
      <c r="O4366" s="760">
        <v>6</v>
      </c>
      <c r="P4366" s="736">
        <v>37024.480000000003</v>
      </c>
      <c r="Q4366" s="214"/>
    </row>
    <row r="4367" spans="1:17" ht="12" customHeight="1" x14ac:dyDescent="0.2">
      <c r="A4367" s="646" t="s">
        <v>10266</v>
      </c>
      <c r="B4367" s="735" t="s">
        <v>2170</v>
      </c>
      <c r="C4367" s="646" t="s">
        <v>451</v>
      </c>
      <c r="D4367" s="636" t="s">
        <v>11176</v>
      </c>
      <c r="E4367" s="759">
        <v>10000</v>
      </c>
      <c r="F4367" s="638" t="s">
        <v>11177</v>
      </c>
      <c r="G4367" s="644" t="s">
        <v>11178</v>
      </c>
      <c r="H4367" s="636" t="s">
        <v>11179</v>
      </c>
      <c r="I4367" s="636" t="s">
        <v>2180</v>
      </c>
      <c r="J4367" s="635" t="s">
        <v>2180</v>
      </c>
      <c r="K4367" s="760">
        <v>11</v>
      </c>
      <c r="L4367" s="760">
        <v>12</v>
      </c>
      <c r="M4367" s="736">
        <v>121610.81000000001</v>
      </c>
      <c r="N4367" s="753">
        <v>15</v>
      </c>
      <c r="O4367" s="760">
        <v>6</v>
      </c>
      <c r="P4367" s="736">
        <v>61041.43</v>
      </c>
      <c r="Q4367" s="214"/>
    </row>
    <row r="4368" spans="1:17" ht="12" customHeight="1" x14ac:dyDescent="0.2">
      <c r="A4368" s="646" t="s">
        <v>10266</v>
      </c>
      <c r="B4368" s="735" t="s">
        <v>2170</v>
      </c>
      <c r="C4368" s="646" t="s">
        <v>451</v>
      </c>
      <c r="D4368" s="636" t="s">
        <v>10335</v>
      </c>
      <c r="E4368" s="759">
        <v>5500</v>
      </c>
      <c r="F4368" s="638" t="s">
        <v>11180</v>
      </c>
      <c r="G4368" s="644" t="s">
        <v>11181</v>
      </c>
      <c r="H4368" s="636" t="s">
        <v>2253</v>
      </c>
      <c r="I4368" s="636" t="s">
        <v>2253</v>
      </c>
      <c r="J4368" s="635" t="s">
        <v>2253</v>
      </c>
      <c r="K4368" s="760">
        <v>6</v>
      </c>
      <c r="L4368" s="760">
        <v>12</v>
      </c>
      <c r="M4368" s="736">
        <v>74475.649999999994</v>
      </c>
      <c r="N4368" s="753">
        <v>10</v>
      </c>
      <c r="O4368" s="760">
        <v>6</v>
      </c>
      <c r="P4368" s="736">
        <v>34044.9</v>
      </c>
      <c r="Q4368" s="214"/>
    </row>
    <row r="4369" spans="1:17" ht="12" customHeight="1" x14ac:dyDescent="0.2">
      <c r="A4369" s="646" t="s">
        <v>10266</v>
      </c>
      <c r="B4369" s="735" t="s">
        <v>2170</v>
      </c>
      <c r="C4369" s="646" t="s">
        <v>451</v>
      </c>
      <c r="D4369" s="636" t="s">
        <v>10275</v>
      </c>
      <c r="E4369" s="759">
        <v>8000</v>
      </c>
      <c r="F4369" s="638" t="s">
        <v>11182</v>
      </c>
      <c r="G4369" s="644" t="s">
        <v>11183</v>
      </c>
      <c r="H4369" s="636" t="s">
        <v>11105</v>
      </c>
      <c r="I4369" s="636" t="s">
        <v>2180</v>
      </c>
      <c r="J4369" s="635" t="s">
        <v>2180</v>
      </c>
      <c r="K4369" s="760">
        <v>1</v>
      </c>
      <c r="L4369" s="760">
        <v>3</v>
      </c>
      <c r="M4369" s="736">
        <v>20273.52</v>
      </c>
      <c r="N4369" s="753">
        <v>1</v>
      </c>
      <c r="O4369" s="760">
        <v>0</v>
      </c>
      <c r="P4369" s="736">
        <v>0</v>
      </c>
      <c r="Q4369" s="214"/>
    </row>
    <row r="4370" spans="1:17" ht="12" customHeight="1" x14ac:dyDescent="0.2">
      <c r="A4370" s="646" t="s">
        <v>10266</v>
      </c>
      <c r="B4370" s="735" t="s">
        <v>2170</v>
      </c>
      <c r="C4370" s="646" t="s">
        <v>451</v>
      </c>
      <c r="D4370" s="636" t="s">
        <v>10848</v>
      </c>
      <c r="E4370" s="759">
        <v>10000</v>
      </c>
      <c r="F4370" s="638" t="s">
        <v>11184</v>
      </c>
      <c r="G4370" s="644" t="s">
        <v>11185</v>
      </c>
      <c r="H4370" s="636" t="s">
        <v>2189</v>
      </c>
      <c r="I4370" s="636" t="s">
        <v>2180</v>
      </c>
      <c r="J4370" s="635" t="s">
        <v>2180</v>
      </c>
      <c r="K4370" s="760">
        <v>9</v>
      </c>
      <c r="L4370" s="760">
        <v>12</v>
      </c>
      <c r="M4370" s="736">
        <v>121960.8</v>
      </c>
      <c r="N4370" s="753">
        <v>13</v>
      </c>
      <c r="O4370" s="760">
        <v>6</v>
      </c>
      <c r="P4370" s="736">
        <v>61044.9</v>
      </c>
      <c r="Q4370" s="214"/>
    </row>
    <row r="4371" spans="1:17" ht="12" customHeight="1" x14ac:dyDescent="0.2">
      <c r="A4371" s="646" t="s">
        <v>10266</v>
      </c>
      <c r="B4371" s="735" t="s">
        <v>2170</v>
      </c>
      <c r="C4371" s="646" t="s">
        <v>451</v>
      </c>
      <c r="D4371" s="636" t="s">
        <v>10300</v>
      </c>
      <c r="E4371" s="759">
        <v>10000</v>
      </c>
      <c r="F4371" s="638" t="s">
        <v>11186</v>
      </c>
      <c r="G4371" s="644" t="s">
        <v>11187</v>
      </c>
      <c r="H4371" s="636" t="s">
        <v>2174</v>
      </c>
      <c r="I4371" s="636" t="s">
        <v>2180</v>
      </c>
      <c r="J4371" s="635" t="s">
        <v>2180</v>
      </c>
      <c r="K4371" s="760">
        <v>1</v>
      </c>
      <c r="L4371" s="760">
        <v>12</v>
      </c>
      <c r="M4371" s="736">
        <v>117294.13</v>
      </c>
      <c r="N4371" s="753">
        <v>1</v>
      </c>
      <c r="O4371" s="760">
        <v>6</v>
      </c>
      <c r="P4371" s="736">
        <v>61044.9</v>
      </c>
      <c r="Q4371" s="214"/>
    </row>
    <row r="4372" spans="1:17" ht="12" customHeight="1" x14ac:dyDescent="0.2">
      <c r="A4372" s="646" t="s">
        <v>10266</v>
      </c>
      <c r="B4372" s="735" t="s">
        <v>2170</v>
      </c>
      <c r="C4372" s="646" t="s">
        <v>451</v>
      </c>
      <c r="D4372" s="636" t="s">
        <v>10300</v>
      </c>
      <c r="E4372" s="759">
        <v>8000</v>
      </c>
      <c r="F4372" s="638" t="s">
        <v>11188</v>
      </c>
      <c r="G4372" s="644" t="s">
        <v>11189</v>
      </c>
      <c r="H4372" s="636" t="s">
        <v>2310</v>
      </c>
      <c r="I4372" s="636" t="s">
        <v>2180</v>
      </c>
      <c r="J4372" s="635" t="s">
        <v>2180</v>
      </c>
      <c r="K4372" s="760">
        <v>0</v>
      </c>
      <c r="L4372" s="760">
        <v>0</v>
      </c>
      <c r="M4372" s="736">
        <v>0</v>
      </c>
      <c r="N4372" s="753">
        <v>1</v>
      </c>
      <c r="O4372" s="760"/>
      <c r="P4372" s="736">
        <v>34207.730000000003</v>
      </c>
      <c r="Q4372" s="214"/>
    </row>
    <row r="4373" spans="1:17" ht="12" customHeight="1" x14ac:dyDescent="0.2">
      <c r="A4373" s="646" t="s">
        <v>10266</v>
      </c>
      <c r="B4373" s="735" t="s">
        <v>2170</v>
      </c>
      <c r="C4373" s="646" t="s">
        <v>451</v>
      </c>
      <c r="D4373" s="636" t="s">
        <v>10329</v>
      </c>
      <c r="E4373" s="759">
        <v>11000</v>
      </c>
      <c r="F4373" s="638" t="s">
        <v>11190</v>
      </c>
      <c r="G4373" s="644" t="s">
        <v>11191</v>
      </c>
      <c r="H4373" s="636" t="s">
        <v>10389</v>
      </c>
      <c r="I4373" s="636" t="s">
        <v>2180</v>
      </c>
      <c r="J4373" s="635" t="s">
        <v>2180</v>
      </c>
      <c r="K4373" s="760">
        <v>1</v>
      </c>
      <c r="L4373" s="760">
        <v>12</v>
      </c>
      <c r="M4373" s="736">
        <v>133960.79999999999</v>
      </c>
      <c r="N4373" s="753">
        <v>1</v>
      </c>
      <c r="O4373" s="760">
        <v>6</v>
      </c>
      <c r="P4373" s="736">
        <v>67044.899999999994</v>
      </c>
      <c r="Q4373" s="214"/>
    </row>
    <row r="4374" spans="1:17" ht="12" customHeight="1" x14ac:dyDescent="0.2">
      <c r="A4374" s="646" t="s">
        <v>10266</v>
      </c>
      <c r="B4374" s="735" t="s">
        <v>2170</v>
      </c>
      <c r="C4374" s="646" t="s">
        <v>451</v>
      </c>
      <c r="D4374" s="636" t="s">
        <v>2171</v>
      </c>
      <c r="E4374" s="759">
        <v>7500</v>
      </c>
      <c r="F4374" s="638" t="s">
        <v>11192</v>
      </c>
      <c r="G4374" s="644" t="s">
        <v>11193</v>
      </c>
      <c r="H4374" s="636" t="s">
        <v>11194</v>
      </c>
      <c r="I4374" s="636" t="s">
        <v>2180</v>
      </c>
      <c r="J4374" s="635" t="s">
        <v>2180</v>
      </c>
      <c r="K4374" s="760">
        <v>4</v>
      </c>
      <c r="L4374" s="760">
        <v>12</v>
      </c>
      <c r="M4374" s="736">
        <v>91036.84</v>
      </c>
      <c r="N4374" s="753">
        <v>8</v>
      </c>
      <c r="O4374" s="760">
        <v>6</v>
      </c>
      <c r="P4374" s="736">
        <v>45976.15</v>
      </c>
      <c r="Q4374" s="214"/>
    </row>
    <row r="4375" spans="1:17" ht="12" customHeight="1" x14ac:dyDescent="0.2">
      <c r="A4375" s="646" t="s">
        <v>10266</v>
      </c>
      <c r="B4375" s="735" t="s">
        <v>2170</v>
      </c>
      <c r="C4375" s="646" t="s">
        <v>451</v>
      </c>
      <c r="D4375" s="636" t="s">
        <v>4776</v>
      </c>
      <c r="E4375" s="759">
        <v>10000</v>
      </c>
      <c r="F4375" s="638" t="s">
        <v>11195</v>
      </c>
      <c r="G4375" s="644" t="s">
        <v>11196</v>
      </c>
      <c r="H4375" s="636" t="s">
        <v>10555</v>
      </c>
      <c r="I4375" s="636" t="s">
        <v>2180</v>
      </c>
      <c r="J4375" s="635" t="s">
        <v>2180</v>
      </c>
      <c r="K4375" s="760">
        <v>9</v>
      </c>
      <c r="L4375" s="760">
        <v>12</v>
      </c>
      <c r="M4375" s="736">
        <v>121960.8</v>
      </c>
      <c r="N4375" s="753">
        <v>13</v>
      </c>
      <c r="O4375" s="760">
        <v>6</v>
      </c>
      <c r="P4375" s="736">
        <v>61044.9</v>
      </c>
      <c r="Q4375" s="214"/>
    </row>
    <row r="4376" spans="1:17" ht="12" customHeight="1" x14ac:dyDescent="0.2">
      <c r="A4376" s="646" t="s">
        <v>10266</v>
      </c>
      <c r="B4376" s="735" t="s">
        <v>2170</v>
      </c>
      <c r="C4376" s="646" t="s">
        <v>451</v>
      </c>
      <c r="D4376" s="636" t="s">
        <v>10275</v>
      </c>
      <c r="E4376" s="759">
        <v>10000</v>
      </c>
      <c r="F4376" s="638" t="s">
        <v>11197</v>
      </c>
      <c r="G4376" s="644" t="s">
        <v>11198</v>
      </c>
      <c r="H4376" s="636" t="s">
        <v>2174</v>
      </c>
      <c r="I4376" s="636" t="s">
        <v>2180</v>
      </c>
      <c r="J4376" s="635" t="s">
        <v>2180</v>
      </c>
      <c r="K4376" s="760">
        <v>1</v>
      </c>
      <c r="L4376" s="760">
        <v>6</v>
      </c>
      <c r="M4376" s="736">
        <v>60258.200000000004</v>
      </c>
      <c r="N4376" s="753">
        <v>1</v>
      </c>
      <c r="O4376" s="760">
        <v>0</v>
      </c>
      <c r="P4376" s="736">
        <v>0</v>
      </c>
      <c r="Q4376" s="214"/>
    </row>
    <row r="4377" spans="1:17" ht="12" customHeight="1" x14ac:dyDescent="0.2">
      <c r="A4377" s="646" t="s">
        <v>10266</v>
      </c>
      <c r="B4377" s="735" t="s">
        <v>2170</v>
      </c>
      <c r="C4377" s="646" t="s">
        <v>451</v>
      </c>
      <c r="D4377" s="636" t="s">
        <v>10317</v>
      </c>
      <c r="E4377" s="759">
        <v>8000</v>
      </c>
      <c r="F4377" s="638" t="s">
        <v>11199</v>
      </c>
      <c r="G4377" s="644" t="s">
        <v>11200</v>
      </c>
      <c r="H4377" s="636" t="s">
        <v>10561</v>
      </c>
      <c r="I4377" s="636" t="s">
        <v>2180</v>
      </c>
      <c r="J4377" s="635" t="s">
        <v>2180</v>
      </c>
      <c r="K4377" s="760">
        <v>0</v>
      </c>
      <c r="L4377" s="760">
        <v>0</v>
      </c>
      <c r="M4377" s="736">
        <v>0</v>
      </c>
      <c r="N4377" s="753">
        <v>2</v>
      </c>
      <c r="O4377" s="760">
        <v>2</v>
      </c>
      <c r="P4377" s="736">
        <v>12881.63</v>
      </c>
      <c r="Q4377" s="214"/>
    </row>
    <row r="4378" spans="1:17" ht="12" customHeight="1" x14ac:dyDescent="0.2">
      <c r="A4378" s="646" t="s">
        <v>10266</v>
      </c>
      <c r="B4378" s="735" t="s">
        <v>2170</v>
      </c>
      <c r="C4378" s="646" t="s">
        <v>451</v>
      </c>
      <c r="D4378" s="636" t="s">
        <v>10300</v>
      </c>
      <c r="E4378" s="759">
        <v>10000</v>
      </c>
      <c r="F4378" s="638" t="s">
        <v>11201</v>
      </c>
      <c r="G4378" s="644" t="s">
        <v>11202</v>
      </c>
      <c r="H4378" s="636" t="s">
        <v>3247</v>
      </c>
      <c r="I4378" s="636" t="s">
        <v>2180</v>
      </c>
      <c r="J4378" s="635" t="s">
        <v>2180</v>
      </c>
      <c r="K4378" s="760">
        <v>1</v>
      </c>
      <c r="L4378" s="760">
        <v>9</v>
      </c>
      <c r="M4378" s="736">
        <v>99931.700000000012</v>
      </c>
      <c r="N4378" s="753">
        <v>1</v>
      </c>
      <c r="O4378" s="760">
        <v>0</v>
      </c>
      <c r="P4378" s="736">
        <v>0</v>
      </c>
      <c r="Q4378" s="214"/>
    </row>
    <row r="4379" spans="1:17" ht="12" customHeight="1" x14ac:dyDescent="0.2">
      <c r="A4379" s="646" t="s">
        <v>10266</v>
      </c>
      <c r="B4379" s="735" t="s">
        <v>2170</v>
      </c>
      <c r="C4379" s="646" t="s">
        <v>451</v>
      </c>
      <c r="D4379" s="636" t="s">
        <v>10332</v>
      </c>
      <c r="E4379" s="759">
        <v>7000</v>
      </c>
      <c r="F4379" s="638" t="s">
        <v>11203</v>
      </c>
      <c r="G4379" s="644" t="s">
        <v>11204</v>
      </c>
      <c r="H4379" s="636" t="s">
        <v>2253</v>
      </c>
      <c r="I4379" s="636" t="s">
        <v>2253</v>
      </c>
      <c r="J4379" s="635" t="s">
        <v>2253</v>
      </c>
      <c r="K4379" s="760">
        <v>2</v>
      </c>
      <c r="L4379" s="760">
        <v>5</v>
      </c>
      <c r="M4379" s="736">
        <v>35867</v>
      </c>
      <c r="N4379" s="753">
        <v>5</v>
      </c>
      <c r="O4379" s="760">
        <v>6</v>
      </c>
      <c r="P4379" s="736">
        <v>43044.9</v>
      </c>
      <c r="Q4379" s="214"/>
    </row>
    <row r="4380" spans="1:17" ht="12" customHeight="1" x14ac:dyDescent="0.2">
      <c r="A4380" s="646" t="s">
        <v>10266</v>
      </c>
      <c r="B4380" s="735" t="s">
        <v>2170</v>
      </c>
      <c r="C4380" s="646" t="s">
        <v>451</v>
      </c>
      <c r="D4380" s="636" t="s">
        <v>11205</v>
      </c>
      <c r="E4380" s="759">
        <v>10000</v>
      </c>
      <c r="F4380" s="638" t="s">
        <v>11206</v>
      </c>
      <c r="G4380" s="644" t="s">
        <v>11207</v>
      </c>
      <c r="H4380" s="636" t="s">
        <v>8075</v>
      </c>
      <c r="I4380" s="636" t="s">
        <v>2180</v>
      </c>
      <c r="J4380" s="635" t="s">
        <v>2180</v>
      </c>
      <c r="K4380" s="760">
        <v>2</v>
      </c>
      <c r="L4380" s="760">
        <v>3</v>
      </c>
      <c r="M4380" s="736">
        <v>30540.2</v>
      </c>
      <c r="N4380" s="753">
        <v>4</v>
      </c>
      <c r="O4380" s="760">
        <v>6</v>
      </c>
      <c r="P4380" s="736">
        <v>61044.9</v>
      </c>
      <c r="Q4380" s="214"/>
    </row>
    <row r="4381" spans="1:17" ht="12" customHeight="1" x14ac:dyDescent="0.2">
      <c r="A4381" s="646" t="s">
        <v>10266</v>
      </c>
      <c r="B4381" s="735" t="s">
        <v>2170</v>
      </c>
      <c r="C4381" s="646" t="s">
        <v>451</v>
      </c>
      <c r="D4381" s="636" t="s">
        <v>11208</v>
      </c>
      <c r="E4381" s="759">
        <v>8000</v>
      </c>
      <c r="F4381" s="638" t="s">
        <v>11209</v>
      </c>
      <c r="G4381" s="644" t="s">
        <v>11210</v>
      </c>
      <c r="H4381" s="636" t="s">
        <v>2174</v>
      </c>
      <c r="I4381" s="636" t="s">
        <v>2180</v>
      </c>
      <c r="J4381" s="635" t="s">
        <v>2180</v>
      </c>
      <c r="K4381" s="760">
        <v>9</v>
      </c>
      <c r="L4381" s="760">
        <v>12</v>
      </c>
      <c r="M4381" s="736">
        <v>97535.790000000008</v>
      </c>
      <c r="N4381" s="753">
        <v>13</v>
      </c>
      <c r="O4381" s="760">
        <v>6</v>
      </c>
      <c r="P4381" s="736">
        <v>48919.909999999996</v>
      </c>
      <c r="Q4381" s="214"/>
    </row>
    <row r="4382" spans="1:17" ht="12" customHeight="1" x14ac:dyDescent="0.2">
      <c r="A4382" s="646" t="s">
        <v>10266</v>
      </c>
      <c r="B4382" s="735" t="s">
        <v>2170</v>
      </c>
      <c r="C4382" s="646" t="s">
        <v>451</v>
      </c>
      <c r="D4382" s="636" t="s">
        <v>10332</v>
      </c>
      <c r="E4382" s="759">
        <v>7000</v>
      </c>
      <c r="F4382" s="638" t="s">
        <v>11211</v>
      </c>
      <c r="G4382" s="644" t="s">
        <v>11212</v>
      </c>
      <c r="H4382" s="636" t="s">
        <v>2253</v>
      </c>
      <c r="I4382" s="636" t="s">
        <v>2253</v>
      </c>
      <c r="J4382" s="635" t="s">
        <v>2253</v>
      </c>
      <c r="K4382" s="760">
        <v>5</v>
      </c>
      <c r="L4382" s="760">
        <v>12</v>
      </c>
      <c r="M4382" s="736">
        <v>85960.8</v>
      </c>
      <c r="N4382" s="753">
        <v>9</v>
      </c>
      <c r="O4382" s="760">
        <v>4</v>
      </c>
      <c r="P4382" s="736">
        <v>32410.339999999997</v>
      </c>
      <c r="Q4382" s="214"/>
    </row>
    <row r="4383" spans="1:17" ht="12" customHeight="1" x14ac:dyDescent="0.2">
      <c r="A4383" s="646" t="s">
        <v>10266</v>
      </c>
      <c r="B4383" s="735" t="s">
        <v>2170</v>
      </c>
      <c r="C4383" s="646" t="s">
        <v>451</v>
      </c>
      <c r="D4383" s="636" t="s">
        <v>11213</v>
      </c>
      <c r="E4383" s="759">
        <v>6000</v>
      </c>
      <c r="F4383" s="638" t="s">
        <v>11214</v>
      </c>
      <c r="G4383" s="644" t="s">
        <v>11215</v>
      </c>
      <c r="H4383" s="636" t="s">
        <v>10847</v>
      </c>
      <c r="I4383" s="636" t="s">
        <v>2180</v>
      </c>
      <c r="J4383" s="635" t="s">
        <v>2180</v>
      </c>
      <c r="K4383" s="760">
        <v>2</v>
      </c>
      <c r="L4383" s="760">
        <v>1</v>
      </c>
      <c r="M4383" s="736">
        <v>1713.4</v>
      </c>
      <c r="N4383" s="753">
        <v>4</v>
      </c>
      <c r="O4383" s="760">
        <v>6</v>
      </c>
      <c r="P4383" s="736">
        <v>37004.060000000005</v>
      </c>
      <c r="Q4383" s="214"/>
    </row>
    <row r="4384" spans="1:17" ht="12" customHeight="1" x14ac:dyDescent="0.2">
      <c r="A4384" s="646" t="s">
        <v>10266</v>
      </c>
      <c r="B4384" s="735" t="s">
        <v>2170</v>
      </c>
      <c r="C4384" s="646" t="s">
        <v>451</v>
      </c>
      <c r="D4384" s="636" t="s">
        <v>10581</v>
      </c>
      <c r="E4384" s="759">
        <v>2000</v>
      </c>
      <c r="F4384" s="638" t="s">
        <v>11216</v>
      </c>
      <c r="G4384" s="644" t="s">
        <v>11217</v>
      </c>
      <c r="H4384" s="636" t="s">
        <v>11218</v>
      </c>
      <c r="I4384" s="636" t="s">
        <v>2766</v>
      </c>
      <c r="J4384" s="635" t="s">
        <v>2766</v>
      </c>
      <c r="K4384" s="760">
        <v>2</v>
      </c>
      <c r="L4384" s="760">
        <v>1</v>
      </c>
      <c r="M4384" s="736">
        <v>1446.73</v>
      </c>
      <c r="N4384" s="753">
        <v>4</v>
      </c>
      <c r="O4384" s="760">
        <v>6</v>
      </c>
      <c r="P4384" s="736">
        <v>13004.749999999998</v>
      </c>
      <c r="Q4384" s="214"/>
    </row>
    <row r="4385" spans="1:17" ht="12" customHeight="1" x14ac:dyDescent="0.2">
      <c r="A4385" s="646" t="s">
        <v>10266</v>
      </c>
      <c r="B4385" s="735" t="s">
        <v>2170</v>
      </c>
      <c r="C4385" s="646" t="s">
        <v>451</v>
      </c>
      <c r="D4385" s="636" t="s">
        <v>11219</v>
      </c>
      <c r="E4385" s="759">
        <v>8000</v>
      </c>
      <c r="F4385" s="638" t="s">
        <v>11220</v>
      </c>
      <c r="G4385" s="644" t="s">
        <v>11221</v>
      </c>
      <c r="H4385" s="636" t="s">
        <v>10749</v>
      </c>
      <c r="I4385" s="636" t="s">
        <v>2180</v>
      </c>
      <c r="J4385" s="635" t="s">
        <v>2180</v>
      </c>
      <c r="K4385" s="760">
        <v>8</v>
      </c>
      <c r="L4385" s="760">
        <v>8</v>
      </c>
      <c r="M4385" s="736">
        <v>71560.070000000007</v>
      </c>
      <c r="N4385" s="753">
        <v>0</v>
      </c>
      <c r="O4385" s="760">
        <v>0</v>
      </c>
      <c r="P4385" s="736">
        <v>0</v>
      </c>
      <c r="Q4385" s="214"/>
    </row>
    <row r="4386" spans="1:17" ht="12" customHeight="1" x14ac:dyDescent="0.2">
      <c r="A4386" s="646" t="s">
        <v>10266</v>
      </c>
      <c r="B4386" s="735" t="s">
        <v>2170</v>
      </c>
      <c r="C4386" s="646" t="s">
        <v>451</v>
      </c>
      <c r="D4386" s="636" t="s">
        <v>10297</v>
      </c>
      <c r="E4386" s="759">
        <v>10000</v>
      </c>
      <c r="F4386" s="638" t="s">
        <v>11222</v>
      </c>
      <c r="G4386" s="644" t="s">
        <v>11223</v>
      </c>
      <c r="H4386" s="636" t="s">
        <v>11224</v>
      </c>
      <c r="I4386" s="636" t="s">
        <v>2180</v>
      </c>
      <c r="J4386" s="635" t="s">
        <v>2180</v>
      </c>
      <c r="K4386" s="760">
        <v>1</v>
      </c>
      <c r="L4386" s="760">
        <v>4</v>
      </c>
      <c r="M4386" s="736">
        <v>40320.269999999997</v>
      </c>
      <c r="N4386" s="753">
        <v>2</v>
      </c>
      <c r="O4386" s="760">
        <v>6</v>
      </c>
      <c r="P4386" s="736">
        <v>61044.9</v>
      </c>
      <c r="Q4386" s="214"/>
    </row>
    <row r="4387" spans="1:17" ht="12" customHeight="1" x14ac:dyDescent="0.2">
      <c r="A4387" s="646" t="s">
        <v>10266</v>
      </c>
      <c r="B4387" s="735" t="s">
        <v>2170</v>
      </c>
      <c r="C4387" s="646" t="s">
        <v>451</v>
      </c>
      <c r="D4387" s="636" t="s">
        <v>10297</v>
      </c>
      <c r="E4387" s="759">
        <v>9000</v>
      </c>
      <c r="F4387" s="638" t="s">
        <v>11225</v>
      </c>
      <c r="G4387" s="644" t="s">
        <v>11226</v>
      </c>
      <c r="H4387" s="636" t="s">
        <v>10637</v>
      </c>
      <c r="I4387" s="636" t="s">
        <v>2180</v>
      </c>
      <c r="J4387" s="635" t="s">
        <v>2180</v>
      </c>
      <c r="K4387" s="760">
        <v>1</v>
      </c>
      <c r="L4387" s="760">
        <v>12</v>
      </c>
      <c r="M4387" s="736">
        <v>109960.8</v>
      </c>
      <c r="N4387" s="753">
        <v>2</v>
      </c>
      <c r="O4387" s="760">
        <v>6</v>
      </c>
      <c r="P4387" s="736">
        <v>55044.9</v>
      </c>
      <c r="Q4387" s="214"/>
    </row>
    <row r="4388" spans="1:17" ht="12" customHeight="1" x14ac:dyDescent="0.2">
      <c r="A4388" s="646" t="s">
        <v>10266</v>
      </c>
      <c r="B4388" s="735" t="s">
        <v>2170</v>
      </c>
      <c r="C4388" s="646" t="s">
        <v>451</v>
      </c>
      <c r="D4388" s="636" t="s">
        <v>10332</v>
      </c>
      <c r="E4388" s="759">
        <v>7000</v>
      </c>
      <c r="F4388" s="638" t="s">
        <v>11227</v>
      </c>
      <c r="G4388" s="644" t="s">
        <v>11228</v>
      </c>
      <c r="H4388" s="636" t="s">
        <v>2253</v>
      </c>
      <c r="I4388" s="636" t="s">
        <v>2253</v>
      </c>
      <c r="J4388" s="635" t="s">
        <v>2253</v>
      </c>
      <c r="K4388" s="760">
        <v>3</v>
      </c>
      <c r="L4388" s="760">
        <v>5</v>
      </c>
      <c r="M4388" s="736">
        <v>35867</v>
      </c>
      <c r="N4388" s="753">
        <v>5</v>
      </c>
      <c r="O4388" s="760">
        <v>6</v>
      </c>
      <c r="P4388" s="736">
        <v>43044.9</v>
      </c>
      <c r="Q4388" s="214"/>
    </row>
    <row r="4389" spans="1:17" ht="12" customHeight="1" x14ac:dyDescent="0.2">
      <c r="A4389" s="646" t="s">
        <v>10266</v>
      </c>
      <c r="B4389" s="735" t="s">
        <v>2170</v>
      </c>
      <c r="C4389" s="646" t="s">
        <v>451</v>
      </c>
      <c r="D4389" s="636" t="s">
        <v>10332</v>
      </c>
      <c r="E4389" s="759">
        <v>7000</v>
      </c>
      <c r="F4389" s="638" t="s">
        <v>11229</v>
      </c>
      <c r="G4389" s="644" t="s">
        <v>11230</v>
      </c>
      <c r="H4389" s="636" t="s">
        <v>2253</v>
      </c>
      <c r="I4389" s="636" t="s">
        <v>2253</v>
      </c>
      <c r="J4389" s="635" t="s">
        <v>2253</v>
      </c>
      <c r="K4389" s="760">
        <v>3</v>
      </c>
      <c r="L4389" s="760">
        <v>5</v>
      </c>
      <c r="M4389" s="736">
        <v>35867</v>
      </c>
      <c r="N4389" s="753">
        <v>5</v>
      </c>
      <c r="O4389" s="760">
        <v>6</v>
      </c>
      <c r="P4389" s="736">
        <v>43044.9</v>
      </c>
      <c r="Q4389" s="214"/>
    </row>
    <row r="4390" spans="1:17" ht="12" customHeight="1" x14ac:dyDescent="0.2">
      <c r="A4390" s="646" t="s">
        <v>10266</v>
      </c>
      <c r="B4390" s="735" t="s">
        <v>2170</v>
      </c>
      <c r="C4390" s="646" t="s">
        <v>451</v>
      </c>
      <c r="D4390" s="636" t="s">
        <v>10323</v>
      </c>
      <c r="E4390" s="759">
        <v>5500</v>
      </c>
      <c r="F4390" s="638" t="s">
        <v>11231</v>
      </c>
      <c r="G4390" s="644" t="s">
        <v>11232</v>
      </c>
      <c r="H4390" s="636" t="s">
        <v>2253</v>
      </c>
      <c r="I4390" s="636" t="s">
        <v>2253</v>
      </c>
      <c r="J4390" s="635" t="s">
        <v>2253</v>
      </c>
      <c r="K4390" s="760">
        <v>2</v>
      </c>
      <c r="L4390" s="760">
        <v>5</v>
      </c>
      <c r="M4390" s="736">
        <v>28367</v>
      </c>
      <c r="N4390" s="753">
        <v>4</v>
      </c>
      <c r="O4390" s="760">
        <v>1</v>
      </c>
      <c r="P4390" s="736">
        <v>6957.4599999999991</v>
      </c>
      <c r="Q4390" s="214"/>
    </row>
    <row r="4391" spans="1:17" ht="12" customHeight="1" x14ac:dyDescent="0.2">
      <c r="A4391" s="646" t="s">
        <v>10266</v>
      </c>
      <c r="B4391" s="735" t="s">
        <v>2170</v>
      </c>
      <c r="C4391" s="646" t="s">
        <v>451</v>
      </c>
      <c r="D4391" s="636" t="s">
        <v>10275</v>
      </c>
      <c r="E4391" s="759">
        <v>8000</v>
      </c>
      <c r="F4391" s="638" t="s">
        <v>11233</v>
      </c>
      <c r="G4391" s="644" t="s">
        <v>11234</v>
      </c>
      <c r="H4391" s="636" t="s">
        <v>2174</v>
      </c>
      <c r="I4391" s="636" t="s">
        <v>2180</v>
      </c>
      <c r="J4391" s="635" t="s">
        <v>2180</v>
      </c>
      <c r="K4391" s="760">
        <v>1</v>
      </c>
      <c r="L4391" s="760">
        <v>12</v>
      </c>
      <c r="M4391" s="736">
        <v>89981.77</v>
      </c>
      <c r="N4391" s="753">
        <v>1</v>
      </c>
      <c r="O4391" s="760">
        <v>1</v>
      </c>
      <c r="P4391" s="736">
        <v>12914.85</v>
      </c>
      <c r="Q4391" s="214"/>
    </row>
    <row r="4392" spans="1:17" ht="12" customHeight="1" x14ac:dyDescent="0.2">
      <c r="A4392" s="646" t="s">
        <v>10266</v>
      </c>
      <c r="B4392" s="735" t="s">
        <v>2170</v>
      </c>
      <c r="C4392" s="646" t="s">
        <v>451</v>
      </c>
      <c r="D4392" s="636" t="s">
        <v>2772</v>
      </c>
      <c r="E4392" s="759">
        <v>2500</v>
      </c>
      <c r="F4392" s="638" t="s">
        <v>11235</v>
      </c>
      <c r="G4392" s="644" t="s">
        <v>11236</v>
      </c>
      <c r="H4392" s="636" t="s">
        <v>11237</v>
      </c>
      <c r="I4392" s="636" t="s">
        <v>2766</v>
      </c>
      <c r="J4392" s="635" t="s">
        <v>2766</v>
      </c>
      <c r="K4392" s="760">
        <v>1</v>
      </c>
      <c r="L4392" s="760">
        <v>1</v>
      </c>
      <c r="M4392" s="736">
        <v>1946.73</v>
      </c>
      <c r="N4392" s="753">
        <v>3</v>
      </c>
      <c r="O4392" s="760">
        <v>6</v>
      </c>
      <c r="P4392" s="736">
        <v>16044.9</v>
      </c>
      <c r="Q4392" s="214"/>
    </row>
    <row r="4393" spans="1:17" ht="12" customHeight="1" x14ac:dyDescent="0.2">
      <c r="A4393" s="646" t="s">
        <v>10266</v>
      </c>
      <c r="B4393" s="735" t="s">
        <v>2170</v>
      </c>
      <c r="C4393" s="646" t="s">
        <v>451</v>
      </c>
      <c r="D4393" s="636" t="s">
        <v>10323</v>
      </c>
      <c r="E4393" s="759">
        <v>5500</v>
      </c>
      <c r="F4393" s="638" t="s">
        <v>11238</v>
      </c>
      <c r="G4393" s="644" t="s">
        <v>11239</v>
      </c>
      <c r="H4393" s="636" t="s">
        <v>2253</v>
      </c>
      <c r="I4393" s="636" t="s">
        <v>2253</v>
      </c>
      <c r="J4393" s="635" t="s">
        <v>2253</v>
      </c>
      <c r="K4393" s="760">
        <v>3</v>
      </c>
      <c r="L4393" s="760">
        <v>5</v>
      </c>
      <c r="M4393" s="736">
        <v>28367</v>
      </c>
      <c r="N4393" s="753">
        <v>5</v>
      </c>
      <c r="O4393" s="760">
        <v>6</v>
      </c>
      <c r="P4393" s="736">
        <v>34044.9</v>
      </c>
      <c r="Q4393" s="214"/>
    </row>
    <row r="4394" spans="1:17" ht="12" customHeight="1" x14ac:dyDescent="0.2">
      <c r="A4394" s="646" t="s">
        <v>10266</v>
      </c>
      <c r="B4394" s="735" t="s">
        <v>2170</v>
      </c>
      <c r="C4394" s="646" t="s">
        <v>451</v>
      </c>
      <c r="D4394" s="636" t="s">
        <v>10329</v>
      </c>
      <c r="E4394" s="759">
        <v>10000</v>
      </c>
      <c r="F4394" s="638" t="s">
        <v>11240</v>
      </c>
      <c r="G4394" s="644" t="s">
        <v>11241</v>
      </c>
      <c r="H4394" s="636" t="s">
        <v>2179</v>
      </c>
      <c r="I4394" s="636" t="s">
        <v>2180</v>
      </c>
      <c r="J4394" s="635" t="s">
        <v>2180</v>
      </c>
      <c r="K4394" s="760">
        <v>1</v>
      </c>
      <c r="L4394" s="760">
        <v>6</v>
      </c>
      <c r="M4394" s="736">
        <v>117294.13</v>
      </c>
      <c r="N4394" s="753">
        <v>1</v>
      </c>
      <c r="O4394" s="760">
        <v>6</v>
      </c>
      <c r="P4394" s="736">
        <v>57552.43</v>
      </c>
      <c r="Q4394" s="214"/>
    </row>
    <row r="4395" spans="1:17" ht="12" customHeight="1" x14ac:dyDescent="0.2">
      <c r="A4395" s="646" t="s">
        <v>10266</v>
      </c>
      <c r="B4395" s="735" t="s">
        <v>2170</v>
      </c>
      <c r="C4395" s="646" t="s">
        <v>451</v>
      </c>
      <c r="D4395" s="636" t="s">
        <v>10835</v>
      </c>
      <c r="E4395" s="759">
        <v>10000</v>
      </c>
      <c r="F4395" s="638" t="s">
        <v>11242</v>
      </c>
      <c r="G4395" s="644" t="s">
        <v>11243</v>
      </c>
      <c r="H4395" s="636" t="s">
        <v>2189</v>
      </c>
      <c r="I4395" s="636" t="s">
        <v>2180</v>
      </c>
      <c r="J4395" s="635" t="s">
        <v>2180</v>
      </c>
      <c r="K4395" s="760">
        <v>19</v>
      </c>
      <c r="L4395" s="760">
        <v>12</v>
      </c>
      <c r="M4395" s="736">
        <v>121621.91</v>
      </c>
      <c r="N4395" s="753">
        <v>23</v>
      </c>
      <c r="O4395" s="760">
        <v>6</v>
      </c>
      <c r="P4395" s="736">
        <v>61044.900000000009</v>
      </c>
      <c r="Q4395" s="214"/>
    </row>
    <row r="4396" spans="1:17" ht="12" customHeight="1" x14ac:dyDescent="0.2">
      <c r="A4396" s="646" t="s">
        <v>10266</v>
      </c>
      <c r="B4396" s="735" t="s">
        <v>2170</v>
      </c>
      <c r="C4396" s="646" t="s">
        <v>451</v>
      </c>
      <c r="D4396" s="636" t="s">
        <v>11244</v>
      </c>
      <c r="E4396" s="759">
        <v>8000</v>
      </c>
      <c r="F4396" s="638" t="s">
        <v>11245</v>
      </c>
      <c r="G4396" s="644" t="s">
        <v>11246</v>
      </c>
      <c r="H4396" s="636" t="s">
        <v>11247</v>
      </c>
      <c r="I4396" s="636" t="s">
        <v>2766</v>
      </c>
      <c r="J4396" s="635" t="s">
        <v>2766</v>
      </c>
      <c r="K4396" s="760">
        <v>2</v>
      </c>
      <c r="L4396" s="760">
        <v>4</v>
      </c>
      <c r="M4396" s="736">
        <v>32386.93</v>
      </c>
      <c r="N4396" s="753">
        <v>4</v>
      </c>
      <c r="O4396" s="760">
        <v>6</v>
      </c>
      <c r="P4396" s="736">
        <v>49044.9</v>
      </c>
      <c r="Q4396" s="214"/>
    </row>
    <row r="4397" spans="1:17" ht="12" customHeight="1" x14ac:dyDescent="0.2">
      <c r="A4397" s="646" t="s">
        <v>10266</v>
      </c>
      <c r="B4397" s="735" t="s">
        <v>2170</v>
      </c>
      <c r="C4397" s="646" t="s">
        <v>451</v>
      </c>
      <c r="D4397" s="636" t="s">
        <v>6668</v>
      </c>
      <c r="E4397" s="759">
        <v>7500</v>
      </c>
      <c r="F4397" s="638" t="s">
        <v>11248</v>
      </c>
      <c r="G4397" s="644" t="s">
        <v>11249</v>
      </c>
      <c r="H4397" s="636" t="s">
        <v>11105</v>
      </c>
      <c r="I4397" s="636" t="s">
        <v>2180</v>
      </c>
      <c r="J4397" s="635" t="s">
        <v>2180</v>
      </c>
      <c r="K4397" s="760">
        <v>3</v>
      </c>
      <c r="L4397" s="760">
        <v>6</v>
      </c>
      <c r="M4397" s="736">
        <v>42980.4</v>
      </c>
      <c r="N4397" s="753">
        <v>5</v>
      </c>
      <c r="O4397" s="760">
        <v>6</v>
      </c>
      <c r="P4397" s="736">
        <v>46044.9</v>
      </c>
      <c r="Q4397" s="214"/>
    </row>
    <row r="4398" spans="1:17" ht="12" customHeight="1" x14ac:dyDescent="0.2">
      <c r="A4398" s="646" t="s">
        <v>10266</v>
      </c>
      <c r="B4398" s="735" t="s">
        <v>2170</v>
      </c>
      <c r="C4398" s="646" t="s">
        <v>451</v>
      </c>
      <c r="D4398" s="636" t="s">
        <v>11250</v>
      </c>
      <c r="E4398" s="759">
        <v>8000</v>
      </c>
      <c r="F4398" s="638" t="s">
        <v>11251</v>
      </c>
      <c r="G4398" s="644" t="s">
        <v>11252</v>
      </c>
      <c r="H4398" s="636" t="s">
        <v>11253</v>
      </c>
      <c r="I4398" s="636" t="s">
        <v>2180</v>
      </c>
      <c r="J4398" s="635" t="s">
        <v>2180</v>
      </c>
      <c r="K4398" s="760">
        <v>1</v>
      </c>
      <c r="L4398" s="760">
        <v>1</v>
      </c>
      <c r="M4398" s="736">
        <v>5713.4</v>
      </c>
      <c r="N4398" s="753">
        <v>2</v>
      </c>
      <c r="O4398" s="760">
        <v>1</v>
      </c>
      <c r="P4398" s="736">
        <v>8994.11</v>
      </c>
      <c r="Q4398" s="214"/>
    </row>
    <row r="4399" spans="1:17" ht="12" customHeight="1" x14ac:dyDescent="0.2">
      <c r="A4399" s="646" t="s">
        <v>10266</v>
      </c>
      <c r="B4399" s="735" t="s">
        <v>2170</v>
      </c>
      <c r="C4399" s="646" t="s">
        <v>451</v>
      </c>
      <c r="D4399" s="636" t="s">
        <v>10297</v>
      </c>
      <c r="E4399" s="759">
        <v>9000</v>
      </c>
      <c r="F4399" s="638" t="s">
        <v>11254</v>
      </c>
      <c r="G4399" s="644" t="s">
        <v>11255</v>
      </c>
      <c r="H4399" s="636" t="s">
        <v>10039</v>
      </c>
      <c r="I4399" s="636" t="s">
        <v>2180</v>
      </c>
      <c r="J4399" s="635" t="s">
        <v>2180</v>
      </c>
      <c r="K4399" s="760">
        <v>1</v>
      </c>
      <c r="L4399" s="760">
        <v>2</v>
      </c>
      <c r="M4399" s="736">
        <v>17326.8</v>
      </c>
      <c r="N4399" s="753">
        <v>2</v>
      </c>
      <c r="O4399" s="760">
        <v>6</v>
      </c>
      <c r="P4399" s="736">
        <v>55044.9</v>
      </c>
      <c r="Q4399" s="214"/>
    </row>
    <row r="4400" spans="1:17" ht="12" customHeight="1" x14ac:dyDescent="0.2">
      <c r="A4400" s="646" t="s">
        <v>10266</v>
      </c>
      <c r="B4400" s="735" t="s">
        <v>2170</v>
      </c>
      <c r="C4400" s="646" t="s">
        <v>451</v>
      </c>
      <c r="D4400" s="636" t="s">
        <v>10278</v>
      </c>
      <c r="E4400" s="759">
        <v>12000</v>
      </c>
      <c r="F4400" s="638" t="s">
        <v>5096</v>
      </c>
      <c r="G4400" s="644" t="s">
        <v>5097</v>
      </c>
      <c r="H4400" s="636" t="s">
        <v>11256</v>
      </c>
      <c r="I4400" s="636" t="s">
        <v>2180</v>
      </c>
      <c r="J4400" s="635" t="s">
        <v>2180</v>
      </c>
      <c r="K4400" s="760">
        <v>1</v>
      </c>
      <c r="L4400" s="760">
        <v>3</v>
      </c>
      <c r="M4400" s="736">
        <v>29006.86</v>
      </c>
      <c r="N4400" s="753">
        <v>1</v>
      </c>
      <c r="O4400" s="760">
        <v>0</v>
      </c>
      <c r="P4400" s="736">
        <v>0</v>
      </c>
      <c r="Q4400" s="214"/>
    </row>
    <row r="4401" spans="1:17" ht="12" customHeight="1" x14ac:dyDescent="0.2">
      <c r="A4401" s="646" t="s">
        <v>10266</v>
      </c>
      <c r="B4401" s="735" t="s">
        <v>2170</v>
      </c>
      <c r="C4401" s="646" t="s">
        <v>451</v>
      </c>
      <c r="D4401" s="636" t="s">
        <v>11257</v>
      </c>
      <c r="E4401" s="759">
        <v>6000</v>
      </c>
      <c r="F4401" s="638" t="s">
        <v>11258</v>
      </c>
      <c r="G4401" s="644" t="s">
        <v>11259</v>
      </c>
      <c r="H4401" s="636" t="s">
        <v>11260</v>
      </c>
      <c r="I4401" s="636" t="s">
        <v>2180</v>
      </c>
      <c r="J4401" s="635" t="s">
        <v>2180</v>
      </c>
      <c r="K4401" s="760">
        <v>6</v>
      </c>
      <c r="L4401" s="760">
        <v>12</v>
      </c>
      <c r="M4401" s="736">
        <v>73928.3</v>
      </c>
      <c r="N4401" s="753">
        <v>10</v>
      </c>
      <c r="O4401" s="760">
        <v>6</v>
      </c>
      <c r="P4401" s="736">
        <v>37010.74</v>
      </c>
      <c r="Q4401" s="214"/>
    </row>
    <row r="4402" spans="1:17" ht="12" customHeight="1" x14ac:dyDescent="0.2">
      <c r="A4402" s="646" t="s">
        <v>10266</v>
      </c>
      <c r="B4402" s="735" t="s">
        <v>2170</v>
      </c>
      <c r="C4402" s="646" t="s">
        <v>451</v>
      </c>
      <c r="D4402" s="636" t="s">
        <v>4885</v>
      </c>
      <c r="E4402" s="759">
        <v>9000</v>
      </c>
      <c r="F4402" s="638" t="s">
        <v>11261</v>
      </c>
      <c r="G4402" s="644" t="s">
        <v>11262</v>
      </c>
      <c r="H4402" s="636" t="s">
        <v>6745</v>
      </c>
      <c r="I4402" s="636" t="s">
        <v>2180</v>
      </c>
      <c r="J4402" s="635" t="s">
        <v>2180</v>
      </c>
      <c r="K4402" s="760">
        <v>2</v>
      </c>
      <c r="L4402" s="760">
        <v>1</v>
      </c>
      <c r="M4402" s="736">
        <v>3713.4</v>
      </c>
      <c r="N4402" s="753">
        <v>4</v>
      </c>
      <c r="O4402" s="760">
        <v>6</v>
      </c>
      <c r="P4402" s="736">
        <v>54927.390000000007</v>
      </c>
      <c r="Q4402" s="214"/>
    </row>
    <row r="4403" spans="1:17" ht="12" customHeight="1" x14ac:dyDescent="0.2">
      <c r="A4403" s="646" t="s">
        <v>10266</v>
      </c>
      <c r="B4403" s="735" t="s">
        <v>2170</v>
      </c>
      <c r="C4403" s="646" t="s">
        <v>451</v>
      </c>
      <c r="D4403" s="636" t="s">
        <v>10300</v>
      </c>
      <c r="E4403" s="759">
        <v>8000</v>
      </c>
      <c r="F4403" s="638" t="s">
        <v>11263</v>
      </c>
      <c r="G4403" s="644" t="s">
        <v>11264</v>
      </c>
      <c r="H4403" s="636" t="s">
        <v>10657</v>
      </c>
      <c r="I4403" s="636" t="s">
        <v>2180</v>
      </c>
      <c r="J4403" s="635" t="s">
        <v>2180</v>
      </c>
      <c r="K4403" s="760">
        <v>0</v>
      </c>
      <c r="L4403" s="760">
        <v>0</v>
      </c>
      <c r="M4403" s="736">
        <v>0</v>
      </c>
      <c r="N4403" s="753">
        <v>1</v>
      </c>
      <c r="O4403" s="760">
        <v>1</v>
      </c>
      <c r="P4403" s="736">
        <v>6040.82</v>
      </c>
      <c r="Q4403" s="214"/>
    </row>
    <row r="4404" spans="1:17" ht="12" customHeight="1" x14ac:dyDescent="0.2">
      <c r="A4404" s="646" t="s">
        <v>10266</v>
      </c>
      <c r="B4404" s="735" t="s">
        <v>2170</v>
      </c>
      <c r="C4404" s="646" t="s">
        <v>451</v>
      </c>
      <c r="D4404" s="636" t="s">
        <v>10300</v>
      </c>
      <c r="E4404" s="759">
        <v>9000</v>
      </c>
      <c r="F4404" s="638" t="s">
        <v>11265</v>
      </c>
      <c r="G4404" s="644" t="s">
        <v>11266</v>
      </c>
      <c r="H4404" s="636" t="s">
        <v>2317</v>
      </c>
      <c r="I4404" s="636" t="s">
        <v>2180</v>
      </c>
      <c r="J4404" s="635" t="s">
        <v>2180</v>
      </c>
      <c r="K4404" s="760">
        <v>1</v>
      </c>
      <c r="L4404" s="760">
        <v>5</v>
      </c>
      <c r="M4404" s="736">
        <v>42196</v>
      </c>
      <c r="N4404" s="753">
        <v>1</v>
      </c>
      <c r="O4404" s="760">
        <v>0</v>
      </c>
      <c r="P4404" s="736">
        <v>0</v>
      </c>
      <c r="Q4404" s="214"/>
    </row>
    <row r="4405" spans="1:17" ht="12" customHeight="1" x14ac:dyDescent="0.2">
      <c r="A4405" s="646" t="s">
        <v>10266</v>
      </c>
      <c r="B4405" s="735" t="s">
        <v>2170</v>
      </c>
      <c r="C4405" s="646" t="s">
        <v>451</v>
      </c>
      <c r="D4405" s="636" t="s">
        <v>10297</v>
      </c>
      <c r="E4405" s="759">
        <v>11000</v>
      </c>
      <c r="F4405" s="638" t="s">
        <v>11267</v>
      </c>
      <c r="G4405" s="644" t="s">
        <v>11268</v>
      </c>
      <c r="H4405" s="636" t="s">
        <v>10499</v>
      </c>
      <c r="I4405" s="636" t="s">
        <v>2180</v>
      </c>
      <c r="J4405" s="635" t="s">
        <v>2180</v>
      </c>
      <c r="K4405" s="760">
        <v>1</v>
      </c>
      <c r="L4405" s="760">
        <v>12</v>
      </c>
      <c r="M4405" s="736">
        <v>133960.79999999999</v>
      </c>
      <c r="N4405" s="753">
        <v>2</v>
      </c>
      <c r="O4405" s="760">
        <v>6</v>
      </c>
      <c r="P4405" s="736">
        <v>67044.899999999994</v>
      </c>
      <c r="Q4405" s="214"/>
    </row>
    <row r="4406" spans="1:17" ht="12" customHeight="1" x14ac:dyDescent="0.2">
      <c r="A4406" s="646" t="s">
        <v>10266</v>
      </c>
      <c r="B4406" s="735" t="s">
        <v>2170</v>
      </c>
      <c r="C4406" s="646" t="s">
        <v>451</v>
      </c>
      <c r="D4406" s="636" t="s">
        <v>10323</v>
      </c>
      <c r="E4406" s="759">
        <v>5500</v>
      </c>
      <c r="F4406" s="638" t="s">
        <v>11269</v>
      </c>
      <c r="G4406" s="644" t="s">
        <v>11270</v>
      </c>
      <c r="H4406" s="636" t="s">
        <v>2253</v>
      </c>
      <c r="I4406" s="636" t="s">
        <v>2253</v>
      </c>
      <c r="J4406" s="635" t="s">
        <v>2253</v>
      </c>
      <c r="K4406" s="760">
        <v>1</v>
      </c>
      <c r="L4406" s="760">
        <v>3</v>
      </c>
      <c r="M4406" s="736">
        <v>18215.189999999999</v>
      </c>
      <c r="N4406" s="753">
        <v>0</v>
      </c>
      <c r="O4406" s="760">
        <v>0</v>
      </c>
      <c r="P4406" s="736">
        <v>0</v>
      </c>
      <c r="Q4406" s="214"/>
    </row>
    <row r="4407" spans="1:17" ht="12" customHeight="1" x14ac:dyDescent="0.2">
      <c r="A4407" s="646" t="s">
        <v>10266</v>
      </c>
      <c r="B4407" s="735" t="s">
        <v>2170</v>
      </c>
      <c r="C4407" s="646" t="s">
        <v>451</v>
      </c>
      <c r="D4407" s="636" t="s">
        <v>11271</v>
      </c>
      <c r="E4407" s="759">
        <v>10000</v>
      </c>
      <c r="F4407" s="638" t="s">
        <v>11272</v>
      </c>
      <c r="G4407" s="644" t="s">
        <v>11273</v>
      </c>
      <c r="H4407" s="636" t="s">
        <v>2179</v>
      </c>
      <c r="I4407" s="636" t="s">
        <v>2180</v>
      </c>
      <c r="J4407" s="635" t="s">
        <v>2180</v>
      </c>
      <c r="K4407" s="760">
        <v>3</v>
      </c>
      <c r="L4407" s="760">
        <v>5</v>
      </c>
      <c r="M4407" s="736">
        <v>44785.59</v>
      </c>
      <c r="N4407" s="753">
        <v>0</v>
      </c>
      <c r="O4407" s="760">
        <v>0</v>
      </c>
      <c r="P4407" s="736">
        <v>0</v>
      </c>
      <c r="Q4407" s="214"/>
    </row>
    <row r="4408" spans="1:17" ht="12" customHeight="1" x14ac:dyDescent="0.2">
      <c r="A4408" s="646" t="s">
        <v>10266</v>
      </c>
      <c r="B4408" s="735" t="s">
        <v>2170</v>
      </c>
      <c r="C4408" s="646" t="s">
        <v>451</v>
      </c>
      <c r="D4408" s="636" t="s">
        <v>10332</v>
      </c>
      <c r="E4408" s="759">
        <v>7000</v>
      </c>
      <c r="F4408" s="638" t="s">
        <v>11274</v>
      </c>
      <c r="G4408" s="644" t="s">
        <v>11275</v>
      </c>
      <c r="H4408" s="636" t="s">
        <v>2253</v>
      </c>
      <c r="I4408" s="636" t="s">
        <v>2253</v>
      </c>
      <c r="J4408" s="635" t="s">
        <v>2253</v>
      </c>
      <c r="K4408" s="760">
        <v>6</v>
      </c>
      <c r="L4408" s="760">
        <v>12</v>
      </c>
      <c r="M4408" s="736">
        <v>85960.8</v>
      </c>
      <c r="N4408" s="753">
        <v>10</v>
      </c>
      <c r="O4408" s="760">
        <v>6</v>
      </c>
      <c r="P4408" s="736">
        <v>43044.9</v>
      </c>
      <c r="Q4408" s="214"/>
    </row>
    <row r="4409" spans="1:17" ht="12" customHeight="1" x14ac:dyDescent="0.2">
      <c r="A4409" s="646" t="s">
        <v>10266</v>
      </c>
      <c r="B4409" s="735" t="s">
        <v>2170</v>
      </c>
      <c r="C4409" s="646" t="s">
        <v>451</v>
      </c>
      <c r="D4409" s="636" t="s">
        <v>10297</v>
      </c>
      <c r="E4409" s="759">
        <v>10000</v>
      </c>
      <c r="F4409" s="638" t="s">
        <v>11276</v>
      </c>
      <c r="G4409" s="644" t="s">
        <v>11277</v>
      </c>
      <c r="H4409" s="636" t="s">
        <v>3070</v>
      </c>
      <c r="I4409" s="636" t="s">
        <v>2180</v>
      </c>
      <c r="J4409" s="635" t="s">
        <v>2180</v>
      </c>
      <c r="K4409" s="760">
        <v>1</v>
      </c>
      <c r="L4409" s="760">
        <v>12</v>
      </c>
      <c r="M4409" s="736">
        <v>121960.8</v>
      </c>
      <c r="N4409" s="753">
        <v>2</v>
      </c>
      <c r="O4409" s="760">
        <v>6</v>
      </c>
      <c r="P4409" s="736">
        <v>61044.9</v>
      </c>
      <c r="Q4409" s="214"/>
    </row>
    <row r="4410" spans="1:17" ht="12" customHeight="1" x14ac:dyDescent="0.2">
      <c r="A4410" s="646" t="s">
        <v>10266</v>
      </c>
      <c r="B4410" s="735" t="s">
        <v>2170</v>
      </c>
      <c r="C4410" s="646" t="s">
        <v>451</v>
      </c>
      <c r="D4410" s="636" t="s">
        <v>11278</v>
      </c>
      <c r="E4410" s="759">
        <v>8000</v>
      </c>
      <c r="F4410" s="638" t="s">
        <v>11279</v>
      </c>
      <c r="G4410" s="644" t="s">
        <v>11280</v>
      </c>
      <c r="H4410" s="636" t="s">
        <v>2189</v>
      </c>
      <c r="I4410" s="636" t="s">
        <v>2180</v>
      </c>
      <c r="J4410" s="635" t="s">
        <v>2180</v>
      </c>
      <c r="K4410" s="760">
        <v>2</v>
      </c>
      <c r="L4410" s="760">
        <v>1</v>
      </c>
      <c r="M4410" s="736">
        <v>5446.73</v>
      </c>
      <c r="N4410" s="753">
        <v>4</v>
      </c>
      <c r="O4410" s="760">
        <v>6</v>
      </c>
      <c r="P4410" s="736">
        <v>49044.9</v>
      </c>
      <c r="Q4410" s="214"/>
    </row>
    <row r="4411" spans="1:17" ht="12" customHeight="1" x14ac:dyDescent="0.2">
      <c r="A4411" s="646" t="s">
        <v>10266</v>
      </c>
      <c r="B4411" s="735" t="s">
        <v>2170</v>
      </c>
      <c r="C4411" s="646" t="s">
        <v>451</v>
      </c>
      <c r="D4411" s="636" t="s">
        <v>11281</v>
      </c>
      <c r="E4411" s="759">
        <v>10000</v>
      </c>
      <c r="F4411" s="638" t="s">
        <v>11282</v>
      </c>
      <c r="G4411" s="644" t="s">
        <v>11283</v>
      </c>
      <c r="H4411" s="636" t="s">
        <v>2189</v>
      </c>
      <c r="I4411" s="636" t="s">
        <v>2180</v>
      </c>
      <c r="J4411" s="635" t="s">
        <v>2180</v>
      </c>
      <c r="K4411" s="760">
        <v>17</v>
      </c>
      <c r="L4411" s="760">
        <v>12</v>
      </c>
      <c r="M4411" s="736">
        <v>121760.12</v>
      </c>
      <c r="N4411" s="753">
        <v>21</v>
      </c>
      <c r="O4411" s="760">
        <v>6</v>
      </c>
      <c r="P4411" s="736">
        <v>60934.48</v>
      </c>
      <c r="Q4411" s="214"/>
    </row>
    <row r="4412" spans="1:17" ht="12" customHeight="1" x14ac:dyDescent="0.2">
      <c r="A4412" s="646" t="s">
        <v>10266</v>
      </c>
      <c r="B4412" s="735" t="s">
        <v>2170</v>
      </c>
      <c r="C4412" s="646" t="s">
        <v>451</v>
      </c>
      <c r="D4412" s="636" t="s">
        <v>10332</v>
      </c>
      <c r="E4412" s="759">
        <v>7000</v>
      </c>
      <c r="F4412" s="638" t="s">
        <v>11284</v>
      </c>
      <c r="G4412" s="644" t="s">
        <v>11285</v>
      </c>
      <c r="H4412" s="636" t="s">
        <v>2253</v>
      </c>
      <c r="I4412" s="636" t="s">
        <v>2253</v>
      </c>
      <c r="J4412" s="635" t="s">
        <v>2253</v>
      </c>
      <c r="K4412" s="760">
        <v>6</v>
      </c>
      <c r="L4412" s="760">
        <v>12</v>
      </c>
      <c r="M4412" s="736">
        <v>85960.8</v>
      </c>
      <c r="N4412" s="753">
        <v>10</v>
      </c>
      <c r="O4412" s="760">
        <v>6</v>
      </c>
      <c r="P4412" s="736">
        <v>43044.9</v>
      </c>
      <c r="Q4412" s="214"/>
    </row>
    <row r="4413" spans="1:17" ht="12" customHeight="1" x14ac:dyDescent="0.2">
      <c r="A4413" s="646" t="s">
        <v>10266</v>
      </c>
      <c r="B4413" s="735" t="s">
        <v>2170</v>
      </c>
      <c r="C4413" s="646" t="s">
        <v>451</v>
      </c>
      <c r="D4413" s="636" t="s">
        <v>10300</v>
      </c>
      <c r="E4413" s="759">
        <v>8000</v>
      </c>
      <c r="F4413" s="638" t="s">
        <v>11286</v>
      </c>
      <c r="G4413" s="644" t="s">
        <v>11287</v>
      </c>
      <c r="H4413" s="636" t="s">
        <v>10685</v>
      </c>
      <c r="I4413" s="636" t="s">
        <v>2180</v>
      </c>
      <c r="J4413" s="635" t="s">
        <v>2180</v>
      </c>
      <c r="K4413" s="760">
        <v>1</v>
      </c>
      <c r="L4413" s="760">
        <v>6</v>
      </c>
      <c r="M4413" s="736">
        <v>48980.4</v>
      </c>
      <c r="N4413" s="753">
        <v>1</v>
      </c>
      <c r="O4413" s="760">
        <v>6</v>
      </c>
      <c r="P4413" s="736">
        <v>49044.9</v>
      </c>
      <c r="Q4413" s="214"/>
    </row>
    <row r="4414" spans="1:17" ht="12" customHeight="1" x14ac:dyDescent="0.2">
      <c r="A4414" s="646" t="s">
        <v>10266</v>
      </c>
      <c r="B4414" s="735" t="s">
        <v>2170</v>
      </c>
      <c r="C4414" s="646" t="s">
        <v>451</v>
      </c>
      <c r="D4414" s="636" t="s">
        <v>10446</v>
      </c>
      <c r="E4414" s="759">
        <v>15000</v>
      </c>
      <c r="F4414" s="638" t="s">
        <v>11288</v>
      </c>
      <c r="G4414" s="644" t="s">
        <v>11289</v>
      </c>
      <c r="H4414" s="636" t="s">
        <v>11171</v>
      </c>
      <c r="I4414" s="636" t="s">
        <v>2180</v>
      </c>
      <c r="J4414" s="635" t="s">
        <v>2180</v>
      </c>
      <c r="K4414" s="760">
        <v>1</v>
      </c>
      <c r="L4414" s="760">
        <v>3</v>
      </c>
      <c r="M4414" s="736">
        <v>58340.240000000005</v>
      </c>
      <c r="N4414" s="753">
        <v>0</v>
      </c>
      <c r="O4414" s="760">
        <v>0</v>
      </c>
      <c r="P4414" s="736">
        <v>0</v>
      </c>
      <c r="Q4414" s="214"/>
    </row>
    <row r="4415" spans="1:17" ht="12" customHeight="1" x14ac:dyDescent="0.2">
      <c r="A4415" s="646" t="s">
        <v>10266</v>
      </c>
      <c r="B4415" s="735" t="s">
        <v>2170</v>
      </c>
      <c r="C4415" s="646" t="s">
        <v>451</v>
      </c>
      <c r="D4415" s="636" t="s">
        <v>11290</v>
      </c>
      <c r="E4415" s="759">
        <v>10000</v>
      </c>
      <c r="F4415" s="638" t="s">
        <v>11291</v>
      </c>
      <c r="G4415" s="644" t="s">
        <v>11292</v>
      </c>
      <c r="H4415" s="636" t="s">
        <v>10691</v>
      </c>
      <c r="I4415" s="636" t="s">
        <v>2180</v>
      </c>
      <c r="J4415" s="635" t="s">
        <v>2180</v>
      </c>
      <c r="K4415" s="760">
        <v>2</v>
      </c>
      <c r="L4415" s="760">
        <v>1</v>
      </c>
      <c r="M4415" s="736">
        <v>6446.73</v>
      </c>
      <c r="N4415" s="753">
        <v>4</v>
      </c>
      <c r="O4415" s="760">
        <v>6</v>
      </c>
      <c r="P4415" s="736">
        <v>60946.990000000005</v>
      </c>
      <c r="Q4415" s="214"/>
    </row>
    <row r="4416" spans="1:17" ht="12" customHeight="1" x14ac:dyDescent="0.2">
      <c r="A4416" s="646" t="s">
        <v>10266</v>
      </c>
      <c r="B4416" s="735" t="s">
        <v>2170</v>
      </c>
      <c r="C4416" s="646" t="s">
        <v>451</v>
      </c>
      <c r="D4416" s="636" t="s">
        <v>5624</v>
      </c>
      <c r="E4416" s="759">
        <v>8000</v>
      </c>
      <c r="F4416" s="638" t="s">
        <v>11293</v>
      </c>
      <c r="G4416" s="644" t="s">
        <v>11294</v>
      </c>
      <c r="H4416" s="636" t="s">
        <v>2543</v>
      </c>
      <c r="I4416" s="636" t="s">
        <v>2180</v>
      </c>
      <c r="J4416" s="635" t="s">
        <v>2180</v>
      </c>
      <c r="K4416" s="760">
        <v>2</v>
      </c>
      <c r="L4416" s="760">
        <v>4</v>
      </c>
      <c r="M4416" s="736">
        <v>35798.520000000004</v>
      </c>
      <c r="N4416" s="753">
        <v>0</v>
      </c>
      <c r="O4416" s="760">
        <v>0</v>
      </c>
      <c r="P4416" s="736">
        <v>0</v>
      </c>
      <c r="Q4416" s="214"/>
    </row>
    <row r="4417" spans="1:17" ht="12" customHeight="1" x14ac:dyDescent="0.2">
      <c r="A4417" s="646" t="s">
        <v>10266</v>
      </c>
      <c r="B4417" s="735" t="s">
        <v>2170</v>
      </c>
      <c r="C4417" s="646" t="s">
        <v>451</v>
      </c>
      <c r="D4417" s="636" t="s">
        <v>11295</v>
      </c>
      <c r="E4417" s="759">
        <v>12500</v>
      </c>
      <c r="F4417" s="638" t="s">
        <v>11293</v>
      </c>
      <c r="G4417" s="644" t="s">
        <v>11294</v>
      </c>
      <c r="H4417" s="636" t="s">
        <v>2543</v>
      </c>
      <c r="I4417" s="636" t="s">
        <v>2180</v>
      </c>
      <c r="J4417" s="635" t="s">
        <v>2180</v>
      </c>
      <c r="K4417" s="760">
        <v>3</v>
      </c>
      <c r="L4417" s="760">
        <v>8</v>
      </c>
      <c r="M4417" s="736">
        <v>100729.06</v>
      </c>
      <c r="N4417" s="753">
        <v>5</v>
      </c>
      <c r="O4417" s="760">
        <v>6</v>
      </c>
      <c r="P4417" s="736">
        <v>76037.09</v>
      </c>
      <c r="Q4417" s="214"/>
    </row>
    <row r="4418" spans="1:17" ht="12" customHeight="1" x14ac:dyDescent="0.2">
      <c r="A4418" s="646" t="s">
        <v>10266</v>
      </c>
      <c r="B4418" s="735" t="s">
        <v>2170</v>
      </c>
      <c r="C4418" s="646" t="s">
        <v>451</v>
      </c>
      <c r="D4418" s="636" t="s">
        <v>10275</v>
      </c>
      <c r="E4418" s="759">
        <v>8000</v>
      </c>
      <c r="F4418" s="638" t="s">
        <v>11296</v>
      </c>
      <c r="G4418" s="644" t="s">
        <v>11297</v>
      </c>
      <c r="H4418" s="636" t="s">
        <v>2174</v>
      </c>
      <c r="I4418" s="636" t="s">
        <v>2180</v>
      </c>
      <c r="J4418" s="635" t="s">
        <v>2180</v>
      </c>
      <c r="K4418" s="760">
        <v>1</v>
      </c>
      <c r="L4418" s="760">
        <v>6</v>
      </c>
      <c r="M4418" s="736">
        <v>48980.4</v>
      </c>
      <c r="N4418" s="753">
        <v>1</v>
      </c>
      <c r="O4418" s="760">
        <v>6</v>
      </c>
      <c r="P4418" s="736">
        <v>49044.9</v>
      </c>
      <c r="Q4418" s="214"/>
    </row>
    <row r="4419" spans="1:17" ht="12" customHeight="1" x14ac:dyDescent="0.2">
      <c r="A4419" s="646" t="s">
        <v>10266</v>
      </c>
      <c r="B4419" s="735" t="s">
        <v>2170</v>
      </c>
      <c r="C4419" s="646" t="s">
        <v>451</v>
      </c>
      <c r="D4419" s="636" t="s">
        <v>6477</v>
      </c>
      <c r="E4419" s="759">
        <v>5000</v>
      </c>
      <c r="F4419" s="638" t="s">
        <v>11298</v>
      </c>
      <c r="G4419" s="644" t="s">
        <v>11299</v>
      </c>
      <c r="H4419" s="636" t="s">
        <v>10147</v>
      </c>
      <c r="I4419" s="636" t="s">
        <v>2180</v>
      </c>
      <c r="J4419" s="635" t="s">
        <v>2180</v>
      </c>
      <c r="K4419" s="760">
        <v>3</v>
      </c>
      <c r="L4419" s="760">
        <v>4</v>
      </c>
      <c r="M4419" s="736">
        <v>22171.329999999998</v>
      </c>
      <c r="N4419" s="753">
        <v>0</v>
      </c>
      <c r="O4419" s="760">
        <v>0</v>
      </c>
      <c r="P4419" s="736">
        <v>0</v>
      </c>
      <c r="Q4419" s="214"/>
    </row>
    <row r="4420" spans="1:17" ht="12" customHeight="1" x14ac:dyDescent="0.2">
      <c r="A4420" s="646" t="s">
        <v>10266</v>
      </c>
      <c r="B4420" s="735" t="s">
        <v>2170</v>
      </c>
      <c r="C4420" s="646" t="s">
        <v>451</v>
      </c>
      <c r="D4420" s="636" t="s">
        <v>10332</v>
      </c>
      <c r="E4420" s="759">
        <v>7000</v>
      </c>
      <c r="F4420" s="638" t="s">
        <v>11300</v>
      </c>
      <c r="G4420" s="644" t="s">
        <v>11301</v>
      </c>
      <c r="H4420" s="636" t="s">
        <v>2253</v>
      </c>
      <c r="I4420" s="636" t="s">
        <v>2253</v>
      </c>
      <c r="J4420" s="635" t="s">
        <v>2253</v>
      </c>
      <c r="K4420" s="760">
        <v>6</v>
      </c>
      <c r="L4420" s="760">
        <v>12</v>
      </c>
      <c r="M4420" s="736">
        <v>85960.8</v>
      </c>
      <c r="N4420" s="753">
        <v>10</v>
      </c>
      <c r="O4420" s="760">
        <v>6</v>
      </c>
      <c r="P4420" s="736">
        <v>43044.9</v>
      </c>
      <c r="Q4420" s="214"/>
    </row>
    <row r="4421" spans="1:17" ht="12" customHeight="1" x14ac:dyDescent="0.2">
      <c r="A4421" s="646" t="s">
        <v>10266</v>
      </c>
      <c r="B4421" s="735" t="s">
        <v>2170</v>
      </c>
      <c r="C4421" s="646" t="s">
        <v>451</v>
      </c>
      <c r="D4421" s="636" t="s">
        <v>10300</v>
      </c>
      <c r="E4421" s="759">
        <v>10000</v>
      </c>
      <c r="F4421" s="638" t="s">
        <v>11302</v>
      </c>
      <c r="G4421" s="644" t="s">
        <v>11303</v>
      </c>
      <c r="H4421" s="636" t="s">
        <v>2317</v>
      </c>
      <c r="I4421" s="636" t="s">
        <v>2180</v>
      </c>
      <c r="J4421" s="635" t="s">
        <v>2180</v>
      </c>
      <c r="K4421" s="760">
        <v>1</v>
      </c>
      <c r="L4421" s="760">
        <v>12</v>
      </c>
      <c r="M4421" s="736">
        <v>117294.13</v>
      </c>
      <c r="N4421" s="753">
        <v>1</v>
      </c>
      <c r="O4421" s="760">
        <v>6</v>
      </c>
      <c r="P4421" s="736">
        <v>61044.9</v>
      </c>
      <c r="Q4421" s="214"/>
    </row>
    <row r="4422" spans="1:17" ht="12" customHeight="1" x14ac:dyDescent="0.2">
      <c r="A4422" s="646" t="s">
        <v>10266</v>
      </c>
      <c r="B4422" s="735" t="s">
        <v>2170</v>
      </c>
      <c r="C4422" s="646" t="s">
        <v>451</v>
      </c>
      <c r="D4422" s="636" t="s">
        <v>10489</v>
      </c>
      <c r="E4422" s="759">
        <v>10000</v>
      </c>
      <c r="F4422" s="638" t="s">
        <v>11304</v>
      </c>
      <c r="G4422" s="644" t="s">
        <v>11305</v>
      </c>
      <c r="H4422" s="636" t="s">
        <v>10749</v>
      </c>
      <c r="I4422" s="636" t="s">
        <v>2180</v>
      </c>
      <c r="J4422" s="635" t="s">
        <v>2180</v>
      </c>
      <c r="K4422" s="760">
        <v>3</v>
      </c>
      <c r="L4422" s="760">
        <v>11</v>
      </c>
      <c r="M4422" s="736">
        <v>117727.19</v>
      </c>
      <c r="N4422" s="753">
        <v>0</v>
      </c>
      <c r="O4422" s="760">
        <v>0</v>
      </c>
      <c r="P4422" s="736">
        <v>0</v>
      </c>
      <c r="Q4422" s="214"/>
    </row>
    <row r="4423" spans="1:17" ht="12" customHeight="1" x14ac:dyDescent="0.2">
      <c r="A4423" s="646" t="s">
        <v>10266</v>
      </c>
      <c r="B4423" s="735" t="s">
        <v>2170</v>
      </c>
      <c r="C4423" s="646" t="s">
        <v>451</v>
      </c>
      <c r="D4423" s="636" t="s">
        <v>11306</v>
      </c>
      <c r="E4423" s="759">
        <v>12500</v>
      </c>
      <c r="F4423" s="638" t="s">
        <v>11304</v>
      </c>
      <c r="G4423" s="644" t="s">
        <v>11305</v>
      </c>
      <c r="H4423" s="636" t="s">
        <v>10749</v>
      </c>
      <c r="I4423" s="636" t="s">
        <v>2180</v>
      </c>
      <c r="J4423" s="635" t="s">
        <v>2180</v>
      </c>
      <c r="K4423" s="760">
        <v>1</v>
      </c>
      <c r="L4423" s="760">
        <v>1</v>
      </c>
      <c r="M4423" s="736">
        <v>30312.420000000002</v>
      </c>
      <c r="N4423" s="753">
        <v>4</v>
      </c>
      <c r="O4423" s="760">
        <v>6</v>
      </c>
      <c r="P4423" s="736">
        <v>70274.06</v>
      </c>
      <c r="Q4423" s="214"/>
    </row>
    <row r="4424" spans="1:17" ht="12" customHeight="1" x14ac:dyDescent="0.2">
      <c r="A4424" s="646" t="s">
        <v>10266</v>
      </c>
      <c r="B4424" s="735" t="s">
        <v>2170</v>
      </c>
      <c r="C4424" s="646" t="s">
        <v>451</v>
      </c>
      <c r="D4424" s="636" t="s">
        <v>11307</v>
      </c>
      <c r="E4424" s="759">
        <v>10000</v>
      </c>
      <c r="F4424" s="638" t="s">
        <v>11308</v>
      </c>
      <c r="G4424" s="644" t="s">
        <v>11309</v>
      </c>
      <c r="H4424" s="636" t="s">
        <v>2174</v>
      </c>
      <c r="I4424" s="636" t="s">
        <v>2180</v>
      </c>
      <c r="J4424" s="635" t="s">
        <v>2180</v>
      </c>
      <c r="K4424" s="760">
        <v>2</v>
      </c>
      <c r="L4424" s="760">
        <v>4</v>
      </c>
      <c r="M4424" s="736">
        <v>35320.270000000004</v>
      </c>
      <c r="N4424" s="753">
        <v>4</v>
      </c>
      <c r="O4424" s="760">
        <v>6</v>
      </c>
      <c r="P4424" s="736">
        <v>61044.9</v>
      </c>
      <c r="Q4424" s="214"/>
    </row>
    <row r="4425" spans="1:17" ht="12" customHeight="1" x14ac:dyDescent="0.2">
      <c r="A4425" s="646" t="s">
        <v>10266</v>
      </c>
      <c r="B4425" s="735" t="s">
        <v>2170</v>
      </c>
      <c r="C4425" s="646" t="s">
        <v>451</v>
      </c>
      <c r="D4425" s="636" t="s">
        <v>2602</v>
      </c>
      <c r="E4425" s="759">
        <v>4000</v>
      </c>
      <c r="F4425" s="638" t="s">
        <v>11310</v>
      </c>
      <c r="G4425" s="644" t="s">
        <v>11311</v>
      </c>
      <c r="H4425" s="636" t="s">
        <v>2346</v>
      </c>
      <c r="I4425" s="636" t="s">
        <v>643</v>
      </c>
      <c r="J4425" s="635" t="s">
        <v>643</v>
      </c>
      <c r="K4425" s="760">
        <v>8</v>
      </c>
      <c r="L4425" s="760">
        <v>12</v>
      </c>
      <c r="M4425" s="736">
        <v>49845.52</v>
      </c>
      <c r="N4425" s="753">
        <v>12</v>
      </c>
      <c r="O4425" s="760">
        <v>6</v>
      </c>
      <c r="P4425" s="736">
        <v>25007.68</v>
      </c>
      <c r="Q4425" s="214"/>
    </row>
    <row r="4426" spans="1:17" ht="12" customHeight="1" x14ac:dyDescent="0.2">
      <c r="A4426" s="646" t="s">
        <v>10266</v>
      </c>
      <c r="B4426" s="735" t="s">
        <v>2170</v>
      </c>
      <c r="C4426" s="646" t="s">
        <v>451</v>
      </c>
      <c r="D4426" s="636" t="s">
        <v>10297</v>
      </c>
      <c r="E4426" s="759">
        <v>11000</v>
      </c>
      <c r="F4426" s="638" t="s">
        <v>11312</v>
      </c>
      <c r="G4426" s="644" t="s">
        <v>11313</v>
      </c>
      <c r="H4426" s="636" t="s">
        <v>8462</v>
      </c>
      <c r="I4426" s="636" t="s">
        <v>2180</v>
      </c>
      <c r="J4426" s="635" t="s">
        <v>2180</v>
      </c>
      <c r="K4426" s="760">
        <v>1</v>
      </c>
      <c r="L4426" s="760">
        <v>11</v>
      </c>
      <c r="M4426" s="736">
        <v>113314.06999999999</v>
      </c>
      <c r="N4426" s="753">
        <v>2</v>
      </c>
      <c r="O4426" s="760">
        <v>6</v>
      </c>
      <c r="P4426" s="736">
        <v>67044.899999999994</v>
      </c>
      <c r="Q4426" s="214"/>
    </row>
    <row r="4427" spans="1:17" ht="12" customHeight="1" x14ac:dyDescent="0.2">
      <c r="A4427" s="646" t="s">
        <v>10266</v>
      </c>
      <c r="B4427" s="735" t="s">
        <v>2170</v>
      </c>
      <c r="C4427" s="646" t="s">
        <v>451</v>
      </c>
      <c r="D4427" s="636" t="s">
        <v>10510</v>
      </c>
      <c r="E4427" s="759">
        <v>8000</v>
      </c>
      <c r="F4427" s="638" t="s">
        <v>11314</v>
      </c>
      <c r="G4427" s="644" t="s">
        <v>11315</v>
      </c>
      <c r="H4427" s="636" t="s">
        <v>3070</v>
      </c>
      <c r="I4427" s="636" t="s">
        <v>2180</v>
      </c>
      <c r="J4427" s="635" t="s">
        <v>2180</v>
      </c>
      <c r="K4427" s="760">
        <v>4</v>
      </c>
      <c r="L4427" s="760">
        <v>12</v>
      </c>
      <c r="M4427" s="736">
        <v>97090.8</v>
      </c>
      <c r="N4427" s="753">
        <v>8</v>
      </c>
      <c r="O4427" s="760">
        <v>6</v>
      </c>
      <c r="P4427" s="736">
        <v>48521.01</v>
      </c>
      <c r="Q4427" s="214"/>
    </row>
    <row r="4428" spans="1:17" ht="12" customHeight="1" x14ac:dyDescent="0.2">
      <c r="A4428" s="646" t="s">
        <v>10266</v>
      </c>
      <c r="B4428" s="735" t="s">
        <v>2170</v>
      </c>
      <c r="C4428" s="646" t="s">
        <v>451</v>
      </c>
      <c r="D4428" s="636" t="s">
        <v>10335</v>
      </c>
      <c r="E4428" s="759">
        <v>5500</v>
      </c>
      <c r="F4428" s="638" t="s">
        <v>11316</v>
      </c>
      <c r="G4428" s="644" t="s">
        <v>11317</v>
      </c>
      <c r="H4428" s="636" t="s">
        <v>2253</v>
      </c>
      <c r="I4428" s="636" t="s">
        <v>2253</v>
      </c>
      <c r="J4428" s="635" t="s">
        <v>2253</v>
      </c>
      <c r="K4428" s="760">
        <v>1</v>
      </c>
      <c r="L4428" s="760">
        <v>5</v>
      </c>
      <c r="M4428" s="736">
        <v>29305.379999999997</v>
      </c>
      <c r="N4428" s="753">
        <v>0</v>
      </c>
      <c r="O4428" s="760">
        <v>0</v>
      </c>
      <c r="P4428" s="736">
        <v>0</v>
      </c>
      <c r="Q4428" s="214"/>
    </row>
    <row r="4429" spans="1:17" ht="12" customHeight="1" x14ac:dyDescent="0.2">
      <c r="A4429" s="646" t="s">
        <v>10266</v>
      </c>
      <c r="B4429" s="735" t="s">
        <v>2170</v>
      </c>
      <c r="C4429" s="646" t="s">
        <v>451</v>
      </c>
      <c r="D4429" s="636" t="s">
        <v>10272</v>
      </c>
      <c r="E4429" s="759">
        <v>12500</v>
      </c>
      <c r="F4429" s="638" t="s">
        <v>11318</v>
      </c>
      <c r="G4429" s="644" t="s">
        <v>11319</v>
      </c>
      <c r="H4429" s="636" t="s">
        <v>2197</v>
      </c>
      <c r="I4429" s="636" t="s">
        <v>2180</v>
      </c>
      <c r="J4429" s="635" t="s">
        <v>2180</v>
      </c>
      <c r="K4429" s="760">
        <v>12</v>
      </c>
      <c r="L4429" s="760">
        <v>12</v>
      </c>
      <c r="M4429" s="736">
        <v>148890.48000000001</v>
      </c>
      <c r="N4429" s="753">
        <v>16</v>
      </c>
      <c r="O4429" s="760">
        <v>6</v>
      </c>
      <c r="P4429" s="736">
        <v>76044.899999999994</v>
      </c>
      <c r="Q4429" s="214"/>
    </row>
    <row r="4430" spans="1:17" ht="12" customHeight="1" x14ac:dyDescent="0.2">
      <c r="A4430" s="646" t="s">
        <v>10266</v>
      </c>
      <c r="B4430" s="735" t="s">
        <v>2170</v>
      </c>
      <c r="C4430" s="646" t="s">
        <v>451</v>
      </c>
      <c r="D4430" s="636" t="s">
        <v>10779</v>
      </c>
      <c r="E4430" s="759">
        <v>9000</v>
      </c>
      <c r="F4430" s="638">
        <v>40395730</v>
      </c>
      <c r="G4430" s="644" t="s">
        <v>11320</v>
      </c>
      <c r="H4430" s="636" t="s">
        <v>2317</v>
      </c>
      <c r="I4430" s="636" t="s">
        <v>2180</v>
      </c>
      <c r="J4430" s="635" t="s">
        <v>2180</v>
      </c>
      <c r="K4430" s="760">
        <v>0</v>
      </c>
      <c r="L4430" s="760">
        <v>0</v>
      </c>
      <c r="M4430" s="736">
        <v>0</v>
      </c>
      <c r="N4430" s="753">
        <v>1</v>
      </c>
      <c r="O4430" s="760">
        <v>6</v>
      </c>
      <c r="P4430" s="736">
        <v>55044.9</v>
      </c>
      <c r="Q4430" s="214"/>
    </row>
    <row r="4431" spans="1:17" ht="12" customHeight="1" x14ac:dyDescent="0.2">
      <c r="A4431" s="646" t="s">
        <v>10266</v>
      </c>
      <c r="B4431" s="735" t="s">
        <v>2170</v>
      </c>
      <c r="C4431" s="646" t="s">
        <v>451</v>
      </c>
      <c r="D4431" s="636" t="s">
        <v>10329</v>
      </c>
      <c r="E4431" s="759">
        <v>10000</v>
      </c>
      <c r="F4431" s="638" t="s">
        <v>11321</v>
      </c>
      <c r="G4431" s="644" t="s">
        <v>11322</v>
      </c>
      <c r="H4431" s="636" t="s">
        <v>2179</v>
      </c>
      <c r="I4431" s="636" t="s">
        <v>2180</v>
      </c>
      <c r="J4431" s="635" t="s">
        <v>2180</v>
      </c>
      <c r="K4431" s="760">
        <v>0</v>
      </c>
      <c r="L4431" s="760">
        <v>0</v>
      </c>
      <c r="M4431" s="736">
        <v>0</v>
      </c>
      <c r="N4431" s="753">
        <v>1</v>
      </c>
      <c r="O4431" s="760">
        <v>6</v>
      </c>
      <c r="P4431" s="736">
        <v>61044.9</v>
      </c>
      <c r="Q4431" s="214"/>
    </row>
    <row r="4432" spans="1:17" ht="12" customHeight="1" x14ac:dyDescent="0.2">
      <c r="A4432" s="646" t="s">
        <v>10266</v>
      </c>
      <c r="B4432" s="735" t="s">
        <v>2170</v>
      </c>
      <c r="C4432" s="646" t="s">
        <v>451</v>
      </c>
      <c r="D4432" s="636" t="s">
        <v>10278</v>
      </c>
      <c r="E4432" s="759">
        <v>12000</v>
      </c>
      <c r="F4432" s="638" t="s">
        <v>11323</v>
      </c>
      <c r="G4432" s="644" t="s">
        <v>11324</v>
      </c>
      <c r="H4432" s="636" t="s">
        <v>11325</v>
      </c>
      <c r="I4432" s="636" t="s">
        <v>2180</v>
      </c>
      <c r="J4432" s="635" t="s">
        <v>2180</v>
      </c>
      <c r="K4432" s="760">
        <v>1</v>
      </c>
      <c r="L4432" s="760">
        <v>12</v>
      </c>
      <c r="M4432" s="736">
        <v>145960.79999999999</v>
      </c>
      <c r="N4432" s="753">
        <v>1</v>
      </c>
      <c r="O4432" s="760">
        <v>6</v>
      </c>
      <c r="P4432" s="736">
        <v>73044.899999999994</v>
      </c>
      <c r="Q4432" s="214"/>
    </row>
    <row r="4433" spans="1:17" ht="12" customHeight="1" x14ac:dyDescent="0.2">
      <c r="A4433" s="646" t="s">
        <v>10266</v>
      </c>
      <c r="B4433" s="735" t="s">
        <v>2170</v>
      </c>
      <c r="C4433" s="646" t="s">
        <v>451</v>
      </c>
      <c r="D4433" s="636" t="s">
        <v>10300</v>
      </c>
      <c r="E4433" s="759">
        <v>9000</v>
      </c>
      <c r="F4433" s="638" t="s">
        <v>11326</v>
      </c>
      <c r="G4433" s="644" t="s">
        <v>11327</v>
      </c>
      <c r="H4433" s="636" t="s">
        <v>10810</v>
      </c>
      <c r="I4433" s="636" t="s">
        <v>2180</v>
      </c>
      <c r="J4433" s="635" t="s">
        <v>2180</v>
      </c>
      <c r="K4433" s="760">
        <v>1</v>
      </c>
      <c r="L4433" s="760">
        <v>2</v>
      </c>
      <c r="M4433" s="736">
        <v>13126.8</v>
      </c>
      <c r="N4433" s="753">
        <v>1</v>
      </c>
      <c r="O4433" s="760">
        <v>6</v>
      </c>
      <c r="P4433" s="736">
        <v>55044.9</v>
      </c>
      <c r="Q4433" s="214"/>
    </row>
    <row r="4434" spans="1:17" ht="12" customHeight="1" x14ac:dyDescent="0.2">
      <c r="A4434" s="646" t="s">
        <v>10266</v>
      </c>
      <c r="B4434" s="735" t="s">
        <v>2170</v>
      </c>
      <c r="C4434" s="646" t="s">
        <v>451</v>
      </c>
      <c r="D4434" s="636" t="s">
        <v>10323</v>
      </c>
      <c r="E4434" s="759">
        <v>5500</v>
      </c>
      <c r="F4434" s="638" t="s">
        <v>11328</v>
      </c>
      <c r="G4434" s="644" t="s">
        <v>11329</v>
      </c>
      <c r="H4434" s="636" t="s">
        <v>2253</v>
      </c>
      <c r="I4434" s="636" t="s">
        <v>2253</v>
      </c>
      <c r="J4434" s="635" t="s">
        <v>2253</v>
      </c>
      <c r="K4434" s="760">
        <v>3</v>
      </c>
      <c r="L4434" s="760">
        <v>5</v>
      </c>
      <c r="M4434" s="736">
        <v>44000.31</v>
      </c>
      <c r="N4434" s="753">
        <v>7</v>
      </c>
      <c r="O4434" s="760">
        <v>6</v>
      </c>
      <c r="P4434" s="736">
        <v>34044.9</v>
      </c>
      <c r="Q4434" s="214"/>
    </row>
    <row r="4435" spans="1:17" ht="12" customHeight="1" x14ac:dyDescent="0.2">
      <c r="A4435" s="646" t="s">
        <v>10266</v>
      </c>
      <c r="B4435" s="735" t="s">
        <v>2170</v>
      </c>
      <c r="C4435" s="646" t="s">
        <v>451</v>
      </c>
      <c r="D4435" s="636" t="s">
        <v>10323</v>
      </c>
      <c r="E4435" s="759">
        <v>5500</v>
      </c>
      <c r="F4435" s="638" t="s">
        <v>11330</v>
      </c>
      <c r="G4435" s="644" t="s">
        <v>11331</v>
      </c>
      <c r="H4435" s="636" t="s">
        <v>2253</v>
      </c>
      <c r="I4435" s="636" t="s">
        <v>2253</v>
      </c>
      <c r="J4435" s="635" t="s">
        <v>2253</v>
      </c>
      <c r="K4435" s="760">
        <v>5</v>
      </c>
      <c r="L4435" s="760">
        <v>12</v>
      </c>
      <c r="M4435" s="736">
        <v>67960.800000000003</v>
      </c>
      <c r="N4435" s="753">
        <v>3</v>
      </c>
      <c r="O4435" s="760">
        <v>6</v>
      </c>
      <c r="P4435" s="736">
        <v>40198.76</v>
      </c>
      <c r="Q4435" s="214"/>
    </row>
    <row r="4436" spans="1:17" ht="12" customHeight="1" x14ac:dyDescent="0.2">
      <c r="A4436" s="646" t="s">
        <v>10266</v>
      </c>
      <c r="B4436" s="735" t="s">
        <v>2170</v>
      </c>
      <c r="C4436" s="646" t="s">
        <v>451</v>
      </c>
      <c r="D4436" s="636" t="s">
        <v>10725</v>
      </c>
      <c r="E4436" s="759">
        <v>11000</v>
      </c>
      <c r="F4436" s="638" t="s">
        <v>11332</v>
      </c>
      <c r="G4436" s="644" t="s">
        <v>11333</v>
      </c>
      <c r="H4436" s="636" t="s">
        <v>2179</v>
      </c>
      <c r="I4436" s="636" t="s">
        <v>2180</v>
      </c>
      <c r="J4436" s="635" t="s">
        <v>2180</v>
      </c>
      <c r="K4436" s="760">
        <v>1</v>
      </c>
      <c r="L4436" s="760">
        <v>1</v>
      </c>
      <c r="M4436" s="736">
        <v>10746.73</v>
      </c>
      <c r="N4436" s="753">
        <v>1</v>
      </c>
      <c r="O4436" s="760">
        <v>6</v>
      </c>
      <c r="P4436" s="736">
        <v>67044.899999999994</v>
      </c>
      <c r="Q4436" s="214"/>
    </row>
    <row r="4437" spans="1:17" ht="12" customHeight="1" x14ac:dyDescent="0.2">
      <c r="A4437" s="646" t="s">
        <v>10266</v>
      </c>
      <c r="B4437" s="735" t="s">
        <v>2170</v>
      </c>
      <c r="C4437" s="646" t="s">
        <v>451</v>
      </c>
      <c r="D4437" s="636" t="s">
        <v>10278</v>
      </c>
      <c r="E4437" s="759">
        <v>14000</v>
      </c>
      <c r="F4437" s="638" t="s">
        <v>11334</v>
      </c>
      <c r="G4437" s="644" t="s">
        <v>11335</v>
      </c>
      <c r="H4437" s="636" t="s">
        <v>2189</v>
      </c>
      <c r="I4437" s="636" t="s">
        <v>11336</v>
      </c>
      <c r="J4437" s="635" t="s">
        <v>11336</v>
      </c>
      <c r="K4437" s="760">
        <v>12</v>
      </c>
      <c r="L4437" s="760">
        <v>12</v>
      </c>
      <c r="M4437" s="736">
        <f t="shared" ref="M4437:M4619" si="7">E4437*K4437</f>
        <v>168000</v>
      </c>
      <c r="N4437" s="753">
        <v>6</v>
      </c>
      <c r="O4437" s="760">
        <v>6</v>
      </c>
      <c r="P4437" s="736">
        <f t="shared" ref="P4437:P4619" si="8">E4437*N4437</f>
        <v>84000</v>
      </c>
      <c r="Q4437" s="214"/>
    </row>
    <row r="4438" spans="1:17" ht="12" customHeight="1" x14ac:dyDescent="0.2">
      <c r="A4438" s="646" t="s">
        <v>10266</v>
      </c>
      <c r="B4438" s="646" t="s">
        <v>11337</v>
      </c>
      <c r="C4438" s="646" t="s">
        <v>451</v>
      </c>
      <c r="D4438" s="636" t="s">
        <v>2602</v>
      </c>
      <c r="E4438" s="759">
        <v>2700</v>
      </c>
      <c r="F4438" s="638" t="s">
        <v>11338</v>
      </c>
      <c r="G4438" s="644" t="s">
        <v>11339</v>
      </c>
      <c r="H4438" s="636" t="s">
        <v>11340</v>
      </c>
      <c r="I4438" s="636" t="s">
        <v>11341</v>
      </c>
      <c r="J4438" s="635" t="s">
        <v>11341</v>
      </c>
      <c r="K4438" s="760">
        <v>12</v>
      </c>
      <c r="L4438" s="760">
        <v>12</v>
      </c>
      <c r="M4438" s="736">
        <f t="shared" si="7"/>
        <v>32400</v>
      </c>
      <c r="N4438" s="753">
        <v>6</v>
      </c>
      <c r="O4438" s="760">
        <v>6</v>
      </c>
      <c r="P4438" s="736">
        <f t="shared" si="8"/>
        <v>16200</v>
      </c>
      <c r="Q4438" s="214"/>
    </row>
    <row r="4439" spans="1:17" ht="12" customHeight="1" x14ac:dyDescent="0.2">
      <c r="A4439" s="646" t="s">
        <v>10266</v>
      </c>
      <c r="B4439" s="646" t="s">
        <v>11337</v>
      </c>
      <c r="C4439" s="646" t="s">
        <v>451</v>
      </c>
      <c r="D4439" s="636" t="s">
        <v>2261</v>
      </c>
      <c r="E4439" s="759">
        <v>2750</v>
      </c>
      <c r="F4439" s="638" t="s">
        <v>11342</v>
      </c>
      <c r="G4439" s="644" t="s">
        <v>11343</v>
      </c>
      <c r="H4439" s="636" t="s">
        <v>2979</v>
      </c>
      <c r="I4439" s="636" t="s">
        <v>5515</v>
      </c>
      <c r="J4439" s="635" t="s">
        <v>5515</v>
      </c>
      <c r="K4439" s="760">
        <v>12</v>
      </c>
      <c r="L4439" s="760">
        <v>12</v>
      </c>
      <c r="M4439" s="736">
        <f t="shared" si="7"/>
        <v>33000</v>
      </c>
      <c r="N4439" s="753">
        <v>6</v>
      </c>
      <c r="O4439" s="760">
        <v>6</v>
      </c>
      <c r="P4439" s="736">
        <f t="shared" si="8"/>
        <v>16500</v>
      </c>
      <c r="Q4439" s="214"/>
    </row>
    <row r="4440" spans="1:17" ht="12" customHeight="1" x14ac:dyDescent="0.2">
      <c r="A4440" s="646" t="s">
        <v>10266</v>
      </c>
      <c r="B4440" s="646" t="s">
        <v>11337</v>
      </c>
      <c r="C4440" s="646" t="s">
        <v>451</v>
      </c>
      <c r="D4440" s="636" t="s">
        <v>11344</v>
      </c>
      <c r="E4440" s="759">
        <v>12000</v>
      </c>
      <c r="F4440" s="638">
        <v>22514453</v>
      </c>
      <c r="G4440" s="644" t="s">
        <v>11345</v>
      </c>
      <c r="H4440" s="636" t="s">
        <v>2179</v>
      </c>
      <c r="I4440" s="636" t="s">
        <v>11336</v>
      </c>
      <c r="J4440" s="635" t="s">
        <v>11336</v>
      </c>
      <c r="K4440" s="760">
        <v>12</v>
      </c>
      <c r="L4440" s="760">
        <v>12</v>
      </c>
      <c r="M4440" s="736">
        <f t="shared" si="7"/>
        <v>144000</v>
      </c>
      <c r="N4440" s="753">
        <v>6</v>
      </c>
      <c r="O4440" s="760">
        <v>6</v>
      </c>
      <c r="P4440" s="736">
        <f t="shared" si="8"/>
        <v>72000</v>
      </c>
      <c r="Q4440" s="214"/>
    </row>
    <row r="4441" spans="1:17" ht="12" customHeight="1" x14ac:dyDescent="0.2">
      <c r="A4441" s="646" t="s">
        <v>10266</v>
      </c>
      <c r="B4441" s="646" t="s">
        <v>11337</v>
      </c>
      <c r="C4441" s="646" t="s">
        <v>451</v>
      </c>
      <c r="D4441" s="636" t="s">
        <v>2225</v>
      </c>
      <c r="E4441" s="759">
        <v>5000</v>
      </c>
      <c r="F4441" s="638">
        <v>47267863</v>
      </c>
      <c r="G4441" s="644" t="s">
        <v>11346</v>
      </c>
      <c r="H4441" s="636" t="s">
        <v>2236</v>
      </c>
      <c r="I4441" s="636" t="s">
        <v>11336</v>
      </c>
      <c r="J4441" s="635" t="s">
        <v>11336</v>
      </c>
      <c r="K4441" s="760">
        <v>12</v>
      </c>
      <c r="L4441" s="760">
        <v>12</v>
      </c>
      <c r="M4441" s="736">
        <f t="shared" si="7"/>
        <v>60000</v>
      </c>
      <c r="N4441" s="753">
        <v>6</v>
      </c>
      <c r="O4441" s="760">
        <v>6</v>
      </c>
      <c r="P4441" s="736">
        <f t="shared" si="8"/>
        <v>30000</v>
      </c>
      <c r="Q4441" s="214"/>
    </row>
    <row r="4442" spans="1:17" ht="12" customHeight="1" x14ac:dyDescent="0.2">
      <c r="A4442" s="646" t="s">
        <v>10266</v>
      </c>
      <c r="B4442" s="646" t="s">
        <v>11337</v>
      </c>
      <c r="C4442" s="646" t="s">
        <v>451</v>
      </c>
      <c r="D4442" s="636" t="s">
        <v>11347</v>
      </c>
      <c r="E4442" s="759">
        <v>8000</v>
      </c>
      <c r="F4442" s="638">
        <v>10145121</v>
      </c>
      <c r="G4442" s="644" t="s">
        <v>11348</v>
      </c>
      <c r="H4442" s="636" t="s">
        <v>2766</v>
      </c>
      <c r="I4442" s="636" t="s">
        <v>11349</v>
      </c>
      <c r="J4442" s="635" t="s">
        <v>11349</v>
      </c>
      <c r="K4442" s="760">
        <v>12</v>
      </c>
      <c r="L4442" s="760">
        <v>12</v>
      </c>
      <c r="M4442" s="736">
        <f t="shared" si="7"/>
        <v>96000</v>
      </c>
      <c r="N4442" s="753">
        <v>6</v>
      </c>
      <c r="O4442" s="760">
        <v>6</v>
      </c>
      <c r="P4442" s="736">
        <f t="shared" si="8"/>
        <v>48000</v>
      </c>
      <c r="Q4442" s="214"/>
    </row>
    <row r="4443" spans="1:17" ht="12" customHeight="1" x14ac:dyDescent="0.2">
      <c r="A4443" s="646" t="s">
        <v>10266</v>
      </c>
      <c r="B4443" s="646" t="s">
        <v>11337</v>
      </c>
      <c r="C4443" s="646" t="s">
        <v>451</v>
      </c>
      <c r="D4443" s="636" t="s">
        <v>5572</v>
      </c>
      <c r="E4443" s="759">
        <v>3609.9</v>
      </c>
      <c r="F4443" s="638" t="s">
        <v>11350</v>
      </c>
      <c r="G4443" s="644" t="s">
        <v>11351</v>
      </c>
      <c r="H4443" s="636" t="s">
        <v>8644</v>
      </c>
      <c r="I4443" s="636" t="s">
        <v>11349</v>
      </c>
      <c r="J4443" s="635" t="s">
        <v>11349</v>
      </c>
      <c r="K4443" s="760">
        <v>12</v>
      </c>
      <c r="L4443" s="760">
        <v>12</v>
      </c>
      <c r="M4443" s="736">
        <f t="shared" si="7"/>
        <v>43318.8</v>
      </c>
      <c r="N4443" s="753">
        <v>6</v>
      </c>
      <c r="O4443" s="760">
        <v>6</v>
      </c>
      <c r="P4443" s="736">
        <f t="shared" si="8"/>
        <v>21659.4</v>
      </c>
      <c r="Q4443" s="214"/>
    </row>
    <row r="4444" spans="1:17" ht="12" customHeight="1" x14ac:dyDescent="0.2">
      <c r="A4444" s="646" t="s">
        <v>10266</v>
      </c>
      <c r="B4444" s="646" t="s">
        <v>11337</v>
      </c>
      <c r="C4444" s="646" t="s">
        <v>451</v>
      </c>
      <c r="D4444" s="636" t="s">
        <v>5948</v>
      </c>
      <c r="E4444" s="759">
        <v>3150</v>
      </c>
      <c r="F4444" s="638" t="s">
        <v>11352</v>
      </c>
      <c r="G4444" s="644" t="s">
        <v>11353</v>
      </c>
      <c r="H4444" s="636" t="s">
        <v>2174</v>
      </c>
      <c r="I4444" s="636" t="s">
        <v>11336</v>
      </c>
      <c r="J4444" s="635" t="s">
        <v>11336</v>
      </c>
      <c r="K4444" s="760">
        <v>12</v>
      </c>
      <c r="L4444" s="760">
        <v>12</v>
      </c>
      <c r="M4444" s="736">
        <f t="shared" si="7"/>
        <v>37800</v>
      </c>
      <c r="N4444" s="753">
        <v>6</v>
      </c>
      <c r="O4444" s="760">
        <v>6</v>
      </c>
      <c r="P4444" s="736">
        <f t="shared" si="8"/>
        <v>18900</v>
      </c>
      <c r="Q4444" s="214"/>
    </row>
    <row r="4445" spans="1:17" ht="12" customHeight="1" x14ac:dyDescent="0.2">
      <c r="A4445" s="646" t="s">
        <v>10266</v>
      </c>
      <c r="B4445" s="646" t="s">
        <v>11337</v>
      </c>
      <c r="C4445" s="646" t="s">
        <v>451</v>
      </c>
      <c r="D4445" s="636" t="s">
        <v>11354</v>
      </c>
      <c r="E4445" s="759">
        <v>6203.17</v>
      </c>
      <c r="F4445" s="638" t="s">
        <v>11355</v>
      </c>
      <c r="G4445" s="644" t="s">
        <v>11356</v>
      </c>
      <c r="H4445" s="636" t="s">
        <v>2174</v>
      </c>
      <c r="I4445" s="636" t="s">
        <v>11336</v>
      </c>
      <c r="J4445" s="635" t="s">
        <v>11336</v>
      </c>
      <c r="K4445" s="760">
        <v>12</v>
      </c>
      <c r="L4445" s="760">
        <v>12</v>
      </c>
      <c r="M4445" s="736">
        <f t="shared" si="7"/>
        <v>74438.040000000008</v>
      </c>
      <c r="N4445" s="753">
        <v>6</v>
      </c>
      <c r="O4445" s="760">
        <v>6</v>
      </c>
      <c r="P4445" s="736">
        <f t="shared" si="8"/>
        <v>37219.020000000004</v>
      </c>
      <c r="Q4445" s="214"/>
    </row>
    <row r="4446" spans="1:17" ht="12" customHeight="1" x14ac:dyDescent="0.2">
      <c r="A4446" s="646" t="s">
        <v>10266</v>
      </c>
      <c r="B4446" s="646" t="s">
        <v>11337</v>
      </c>
      <c r="C4446" s="646" t="s">
        <v>451</v>
      </c>
      <c r="D4446" s="636" t="s">
        <v>2261</v>
      </c>
      <c r="E4446" s="759">
        <v>2750</v>
      </c>
      <c r="F4446" s="638" t="s">
        <v>11357</v>
      </c>
      <c r="G4446" s="644" t="s">
        <v>11358</v>
      </c>
      <c r="H4446" s="636" t="s">
        <v>2174</v>
      </c>
      <c r="I4446" s="636" t="s">
        <v>11349</v>
      </c>
      <c r="J4446" s="635" t="s">
        <v>11349</v>
      </c>
      <c r="K4446" s="760">
        <v>12</v>
      </c>
      <c r="L4446" s="760">
        <v>12</v>
      </c>
      <c r="M4446" s="736">
        <f t="shared" si="7"/>
        <v>33000</v>
      </c>
      <c r="N4446" s="753">
        <v>6</v>
      </c>
      <c r="O4446" s="760">
        <v>6</v>
      </c>
      <c r="P4446" s="736">
        <f t="shared" si="8"/>
        <v>16500</v>
      </c>
      <c r="Q4446" s="214"/>
    </row>
    <row r="4447" spans="1:17" ht="12" customHeight="1" x14ac:dyDescent="0.2">
      <c r="A4447" s="646" t="s">
        <v>10266</v>
      </c>
      <c r="B4447" s="646" t="s">
        <v>11337</v>
      </c>
      <c r="C4447" s="646" t="s">
        <v>451</v>
      </c>
      <c r="D4447" s="636" t="s">
        <v>11359</v>
      </c>
      <c r="E4447" s="759">
        <v>6203.17</v>
      </c>
      <c r="F4447" s="638" t="s">
        <v>11360</v>
      </c>
      <c r="G4447" s="644" t="s">
        <v>11361</v>
      </c>
      <c r="H4447" s="636" t="s">
        <v>2174</v>
      </c>
      <c r="I4447" s="636" t="s">
        <v>11336</v>
      </c>
      <c r="J4447" s="635" t="s">
        <v>11336</v>
      </c>
      <c r="K4447" s="760">
        <v>12</v>
      </c>
      <c r="L4447" s="760">
        <v>12</v>
      </c>
      <c r="M4447" s="736">
        <f t="shared" si="7"/>
        <v>74438.040000000008</v>
      </c>
      <c r="N4447" s="753">
        <v>6</v>
      </c>
      <c r="O4447" s="760">
        <v>6</v>
      </c>
      <c r="P4447" s="736">
        <f t="shared" si="8"/>
        <v>37219.020000000004</v>
      </c>
      <c r="Q4447" s="214"/>
    </row>
    <row r="4448" spans="1:17" ht="12" customHeight="1" x14ac:dyDescent="0.2">
      <c r="A4448" s="646" t="s">
        <v>10266</v>
      </c>
      <c r="B4448" s="646" t="s">
        <v>11337</v>
      </c>
      <c r="C4448" s="646" t="s">
        <v>451</v>
      </c>
      <c r="D4448" s="636" t="s">
        <v>11362</v>
      </c>
      <c r="E4448" s="759">
        <v>3609.9</v>
      </c>
      <c r="F4448" s="638" t="s">
        <v>11363</v>
      </c>
      <c r="G4448" s="644" t="s">
        <v>11364</v>
      </c>
      <c r="H4448" s="636" t="s">
        <v>2174</v>
      </c>
      <c r="I4448" s="636" t="s">
        <v>11336</v>
      </c>
      <c r="J4448" s="635" t="s">
        <v>11336</v>
      </c>
      <c r="K4448" s="760">
        <v>12</v>
      </c>
      <c r="L4448" s="760">
        <v>12</v>
      </c>
      <c r="M4448" s="736">
        <f t="shared" si="7"/>
        <v>43318.8</v>
      </c>
      <c r="N4448" s="753">
        <v>6</v>
      </c>
      <c r="O4448" s="760">
        <v>6</v>
      </c>
      <c r="P4448" s="736">
        <f t="shared" si="8"/>
        <v>21659.4</v>
      </c>
      <c r="Q4448" s="214"/>
    </row>
    <row r="4449" spans="1:17" ht="12" customHeight="1" x14ac:dyDescent="0.2">
      <c r="A4449" s="646" t="s">
        <v>10266</v>
      </c>
      <c r="B4449" s="646" t="s">
        <v>11337</v>
      </c>
      <c r="C4449" s="646" t="s">
        <v>451</v>
      </c>
      <c r="D4449" s="636" t="s">
        <v>11365</v>
      </c>
      <c r="E4449" s="759">
        <v>3609.9</v>
      </c>
      <c r="F4449" s="638" t="s">
        <v>11366</v>
      </c>
      <c r="G4449" s="644" t="s">
        <v>11367</v>
      </c>
      <c r="H4449" s="636" t="s">
        <v>11040</v>
      </c>
      <c r="I4449" s="636" t="s">
        <v>11336</v>
      </c>
      <c r="J4449" s="635" t="s">
        <v>11336</v>
      </c>
      <c r="K4449" s="760">
        <v>12</v>
      </c>
      <c r="L4449" s="760">
        <v>12</v>
      </c>
      <c r="M4449" s="736">
        <f t="shared" si="7"/>
        <v>43318.8</v>
      </c>
      <c r="N4449" s="753">
        <v>6</v>
      </c>
      <c r="O4449" s="760">
        <v>6</v>
      </c>
      <c r="P4449" s="736">
        <f t="shared" si="8"/>
        <v>21659.4</v>
      </c>
      <c r="Q4449" s="214"/>
    </row>
    <row r="4450" spans="1:17" ht="12" customHeight="1" x14ac:dyDescent="0.2">
      <c r="A4450" s="646" t="s">
        <v>10266</v>
      </c>
      <c r="B4450" s="646" t="s">
        <v>11337</v>
      </c>
      <c r="C4450" s="646" t="s">
        <v>451</v>
      </c>
      <c r="D4450" s="636" t="s">
        <v>2247</v>
      </c>
      <c r="E4450" s="759">
        <v>3609.9</v>
      </c>
      <c r="F4450" s="638" t="s">
        <v>11368</v>
      </c>
      <c r="G4450" s="644" t="s">
        <v>11369</v>
      </c>
      <c r="H4450" s="636" t="s">
        <v>8644</v>
      </c>
      <c r="I4450" s="636" t="s">
        <v>11349</v>
      </c>
      <c r="J4450" s="635" t="s">
        <v>11349</v>
      </c>
      <c r="K4450" s="760">
        <v>12</v>
      </c>
      <c r="L4450" s="760">
        <v>12</v>
      </c>
      <c r="M4450" s="736">
        <f t="shared" si="7"/>
        <v>43318.8</v>
      </c>
      <c r="N4450" s="753">
        <v>6</v>
      </c>
      <c r="O4450" s="760">
        <v>6</v>
      </c>
      <c r="P4450" s="736">
        <f t="shared" si="8"/>
        <v>21659.4</v>
      </c>
      <c r="Q4450" s="214"/>
    </row>
    <row r="4451" spans="1:17" ht="12" customHeight="1" x14ac:dyDescent="0.2">
      <c r="A4451" s="646" t="s">
        <v>10266</v>
      </c>
      <c r="B4451" s="646" t="s">
        <v>11337</v>
      </c>
      <c r="C4451" s="646" t="s">
        <v>451</v>
      </c>
      <c r="D4451" s="636" t="s">
        <v>11370</v>
      </c>
      <c r="E4451" s="759">
        <v>3609.9</v>
      </c>
      <c r="F4451" s="638" t="s">
        <v>11371</v>
      </c>
      <c r="G4451" s="644" t="s">
        <v>11372</v>
      </c>
      <c r="H4451" s="636" t="s">
        <v>10174</v>
      </c>
      <c r="I4451" s="636" t="s">
        <v>11336</v>
      </c>
      <c r="J4451" s="635" t="s">
        <v>11336</v>
      </c>
      <c r="K4451" s="760">
        <v>12</v>
      </c>
      <c r="L4451" s="760">
        <v>12</v>
      </c>
      <c r="M4451" s="736">
        <f t="shared" si="7"/>
        <v>43318.8</v>
      </c>
      <c r="N4451" s="753">
        <v>6</v>
      </c>
      <c r="O4451" s="760">
        <v>6</v>
      </c>
      <c r="P4451" s="736">
        <f t="shared" si="8"/>
        <v>21659.4</v>
      </c>
      <c r="Q4451" s="214"/>
    </row>
    <row r="4452" spans="1:17" ht="12" customHeight="1" x14ac:dyDescent="0.2">
      <c r="A4452" s="646" t="s">
        <v>10266</v>
      </c>
      <c r="B4452" s="646" t="s">
        <v>11337</v>
      </c>
      <c r="C4452" s="646" t="s">
        <v>451</v>
      </c>
      <c r="D4452" s="636" t="s">
        <v>11373</v>
      </c>
      <c r="E4452" s="759">
        <v>10000</v>
      </c>
      <c r="F4452" s="638" t="s">
        <v>11002</v>
      </c>
      <c r="G4452" s="644" t="s">
        <v>11003</v>
      </c>
      <c r="H4452" s="636" t="s">
        <v>2174</v>
      </c>
      <c r="I4452" s="636" t="s">
        <v>11336</v>
      </c>
      <c r="J4452" s="635" t="s">
        <v>11336</v>
      </c>
      <c r="K4452" s="760">
        <v>12</v>
      </c>
      <c r="L4452" s="760">
        <v>12</v>
      </c>
      <c r="M4452" s="736">
        <f t="shared" si="7"/>
        <v>120000</v>
      </c>
      <c r="N4452" s="753">
        <v>6</v>
      </c>
      <c r="O4452" s="760">
        <v>6</v>
      </c>
      <c r="P4452" s="736">
        <f t="shared" si="8"/>
        <v>60000</v>
      </c>
      <c r="Q4452" s="214"/>
    </row>
    <row r="4453" spans="1:17" ht="12" customHeight="1" x14ac:dyDescent="0.2">
      <c r="A4453" s="646" t="s">
        <v>10266</v>
      </c>
      <c r="B4453" s="646" t="s">
        <v>11337</v>
      </c>
      <c r="C4453" s="646" t="s">
        <v>451</v>
      </c>
      <c r="D4453" s="636" t="s">
        <v>5538</v>
      </c>
      <c r="E4453" s="759">
        <v>5000</v>
      </c>
      <c r="F4453" s="638" t="s">
        <v>11374</v>
      </c>
      <c r="G4453" s="644" t="s">
        <v>11375</v>
      </c>
      <c r="H4453" s="636" t="s">
        <v>11376</v>
      </c>
      <c r="I4453" s="636" t="s">
        <v>11336</v>
      </c>
      <c r="J4453" s="635" t="s">
        <v>11336</v>
      </c>
      <c r="K4453" s="760">
        <v>12</v>
      </c>
      <c r="L4453" s="760">
        <v>12</v>
      </c>
      <c r="M4453" s="736">
        <f t="shared" si="7"/>
        <v>60000</v>
      </c>
      <c r="N4453" s="753">
        <v>6</v>
      </c>
      <c r="O4453" s="760">
        <v>6</v>
      </c>
      <c r="P4453" s="736">
        <f t="shared" si="8"/>
        <v>30000</v>
      </c>
      <c r="Q4453" s="214"/>
    </row>
    <row r="4454" spans="1:17" ht="12" customHeight="1" x14ac:dyDescent="0.2">
      <c r="A4454" s="646" t="s">
        <v>10266</v>
      </c>
      <c r="B4454" s="646" t="s">
        <v>11337</v>
      </c>
      <c r="C4454" s="646" t="s">
        <v>451</v>
      </c>
      <c r="D4454" s="636" t="s">
        <v>5538</v>
      </c>
      <c r="E4454" s="759">
        <v>5000</v>
      </c>
      <c r="F4454" s="638">
        <v>46098507</v>
      </c>
      <c r="G4454" s="644" t="s">
        <v>11377</v>
      </c>
      <c r="H4454" s="636" t="s">
        <v>2625</v>
      </c>
      <c r="I4454" s="636" t="s">
        <v>11336</v>
      </c>
      <c r="J4454" s="635" t="s">
        <v>11336</v>
      </c>
      <c r="K4454" s="760">
        <v>12</v>
      </c>
      <c r="L4454" s="760">
        <v>12</v>
      </c>
      <c r="M4454" s="736">
        <f t="shared" si="7"/>
        <v>60000</v>
      </c>
      <c r="N4454" s="753"/>
      <c r="O4454" s="760"/>
      <c r="P4454" s="736">
        <f t="shared" si="8"/>
        <v>0</v>
      </c>
      <c r="Q4454" s="214"/>
    </row>
    <row r="4455" spans="1:17" ht="12" customHeight="1" x14ac:dyDescent="0.2">
      <c r="A4455" s="646" t="s">
        <v>10266</v>
      </c>
      <c r="B4455" s="646" t="s">
        <v>11337</v>
      </c>
      <c r="C4455" s="646" t="s">
        <v>451</v>
      </c>
      <c r="D4455" s="636" t="s">
        <v>2737</v>
      </c>
      <c r="E4455" s="759">
        <v>2250</v>
      </c>
      <c r="F4455" s="638">
        <v>75910672</v>
      </c>
      <c r="G4455" s="644" t="s">
        <v>11378</v>
      </c>
      <c r="H4455" s="636" t="s">
        <v>3522</v>
      </c>
      <c r="I4455" s="636" t="s">
        <v>5515</v>
      </c>
      <c r="J4455" s="635" t="s">
        <v>5515</v>
      </c>
      <c r="K4455" s="760">
        <v>12</v>
      </c>
      <c r="L4455" s="760">
        <v>12</v>
      </c>
      <c r="M4455" s="736">
        <f t="shared" si="7"/>
        <v>27000</v>
      </c>
      <c r="N4455" s="753">
        <v>6</v>
      </c>
      <c r="O4455" s="760">
        <v>6</v>
      </c>
      <c r="P4455" s="736">
        <f t="shared" si="8"/>
        <v>13500</v>
      </c>
      <c r="Q4455" s="214"/>
    </row>
    <row r="4456" spans="1:17" ht="12" customHeight="1" x14ac:dyDescent="0.2">
      <c r="A4456" s="646" t="s">
        <v>10266</v>
      </c>
      <c r="B4456" s="646" t="s">
        <v>11337</v>
      </c>
      <c r="C4456" s="646" t="s">
        <v>451</v>
      </c>
      <c r="D4456" s="636" t="s">
        <v>2737</v>
      </c>
      <c r="E4456" s="759">
        <v>2250</v>
      </c>
      <c r="F4456" s="638" t="s">
        <v>11379</v>
      </c>
      <c r="G4456" s="644" t="s">
        <v>11380</v>
      </c>
      <c r="H4456" s="636" t="s">
        <v>7939</v>
      </c>
      <c r="I4456" s="636" t="s">
        <v>5515</v>
      </c>
      <c r="J4456" s="635" t="s">
        <v>5515</v>
      </c>
      <c r="K4456" s="760">
        <v>12</v>
      </c>
      <c r="L4456" s="760">
        <v>12</v>
      </c>
      <c r="M4456" s="736">
        <f t="shared" si="7"/>
        <v>27000</v>
      </c>
      <c r="N4456" s="753">
        <v>6</v>
      </c>
      <c r="O4456" s="760">
        <v>6</v>
      </c>
      <c r="P4456" s="736">
        <f t="shared" si="8"/>
        <v>13500</v>
      </c>
      <c r="Q4456" s="214"/>
    </row>
    <row r="4457" spans="1:17" ht="12" customHeight="1" x14ac:dyDescent="0.2">
      <c r="A4457" s="646" t="s">
        <v>10266</v>
      </c>
      <c r="B4457" s="646" t="s">
        <v>11337</v>
      </c>
      <c r="C4457" s="646" t="s">
        <v>451</v>
      </c>
      <c r="D4457" s="636" t="s">
        <v>5534</v>
      </c>
      <c r="E4457" s="759">
        <v>2250</v>
      </c>
      <c r="F4457" s="638" t="s">
        <v>11381</v>
      </c>
      <c r="G4457" s="644" t="s">
        <v>11382</v>
      </c>
      <c r="H4457" s="636" t="s">
        <v>11383</v>
      </c>
      <c r="I4457" s="636" t="s">
        <v>11384</v>
      </c>
      <c r="J4457" s="635" t="s">
        <v>11384</v>
      </c>
      <c r="K4457" s="760">
        <v>12</v>
      </c>
      <c r="L4457" s="760">
        <v>12</v>
      </c>
      <c r="M4457" s="736">
        <f t="shared" si="7"/>
        <v>27000</v>
      </c>
      <c r="N4457" s="753">
        <v>6</v>
      </c>
      <c r="O4457" s="760">
        <v>6</v>
      </c>
      <c r="P4457" s="736">
        <f t="shared" si="8"/>
        <v>13500</v>
      </c>
      <c r="Q4457" s="214"/>
    </row>
    <row r="4458" spans="1:17" ht="12" customHeight="1" x14ac:dyDescent="0.2">
      <c r="A4458" s="646" t="s">
        <v>10266</v>
      </c>
      <c r="B4458" s="646" t="s">
        <v>11337</v>
      </c>
      <c r="C4458" s="646" t="s">
        <v>451</v>
      </c>
      <c r="D4458" s="636" t="s">
        <v>11385</v>
      </c>
      <c r="E4458" s="759">
        <v>2400</v>
      </c>
      <c r="F4458" s="638" t="s">
        <v>11386</v>
      </c>
      <c r="G4458" s="644" t="s">
        <v>11387</v>
      </c>
      <c r="H4458" s="636" t="s">
        <v>2253</v>
      </c>
      <c r="I4458" s="636" t="s">
        <v>11384</v>
      </c>
      <c r="J4458" s="635" t="s">
        <v>11384</v>
      </c>
      <c r="K4458" s="760">
        <v>12</v>
      </c>
      <c r="L4458" s="760">
        <v>12</v>
      </c>
      <c r="M4458" s="736">
        <f t="shared" si="7"/>
        <v>28800</v>
      </c>
      <c r="N4458" s="753">
        <v>6</v>
      </c>
      <c r="O4458" s="760">
        <v>6</v>
      </c>
      <c r="P4458" s="736">
        <f t="shared" si="8"/>
        <v>14400</v>
      </c>
      <c r="Q4458" s="214"/>
    </row>
    <row r="4459" spans="1:17" ht="12" customHeight="1" x14ac:dyDescent="0.2">
      <c r="A4459" s="646" t="s">
        <v>10266</v>
      </c>
      <c r="B4459" s="646" t="s">
        <v>11337</v>
      </c>
      <c r="C4459" s="646" t="s">
        <v>451</v>
      </c>
      <c r="D4459" s="636" t="s">
        <v>11385</v>
      </c>
      <c r="E4459" s="759">
        <v>2400</v>
      </c>
      <c r="F4459" s="638" t="s">
        <v>11388</v>
      </c>
      <c r="G4459" s="644" t="s">
        <v>11389</v>
      </c>
      <c r="H4459" s="636" t="s">
        <v>2253</v>
      </c>
      <c r="I4459" s="636" t="s">
        <v>11384</v>
      </c>
      <c r="J4459" s="635" t="s">
        <v>11384</v>
      </c>
      <c r="K4459" s="760">
        <v>12</v>
      </c>
      <c r="L4459" s="760">
        <v>12</v>
      </c>
      <c r="M4459" s="736">
        <f t="shared" si="7"/>
        <v>28800</v>
      </c>
      <c r="N4459" s="753">
        <v>6</v>
      </c>
      <c r="O4459" s="760">
        <v>6</v>
      </c>
      <c r="P4459" s="736">
        <f t="shared" si="8"/>
        <v>14400</v>
      </c>
      <c r="Q4459" s="214"/>
    </row>
    <row r="4460" spans="1:17" ht="12" customHeight="1" x14ac:dyDescent="0.2">
      <c r="A4460" s="646" t="s">
        <v>10266</v>
      </c>
      <c r="B4460" s="646" t="s">
        <v>11337</v>
      </c>
      <c r="C4460" s="646" t="s">
        <v>451</v>
      </c>
      <c r="D4460" s="636" t="s">
        <v>11390</v>
      </c>
      <c r="E4460" s="759">
        <v>2400</v>
      </c>
      <c r="F4460" s="638" t="s">
        <v>11391</v>
      </c>
      <c r="G4460" s="644" t="s">
        <v>11392</v>
      </c>
      <c r="H4460" s="636" t="s">
        <v>2253</v>
      </c>
      <c r="I4460" s="636" t="s">
        <v>11384</v>
      </c>
      <c r="J4460" s="635" t="s">
        <v>11384</v>
      </c>
      <c r="K4460" s="760">
        <v>12</v>
      </c>
      <c r="L4460" s="760">
        <v>12</v>
      </c>
      <c r="M4460" s="736">
        <f t="shared" si="7"/>
        <v>28800</v>
      </c>
      <c r="N4460" s="753">
        <v>6</v>
      </c>
      <c r="O4460" s="760">
        <v>6</v>
      </c>
      <c r="P4460" s="736">
        <f t="shared" si="8"/>
        <v>14400</v>
      </c>
      <c r="Q4460" s="214"/>
    </row>
    <row r="4461" spans="1:17" ht="12" customHeight="1" x14ac:dyDescent="0.2">
      <c r="A4461" s="646" t="s">
        <v>10266</v>
      </c>
      <c r="B4461" s="646" t="s">
        <v>11337</v>
      </c>
      <c r="C4461" s="646" t="s">
        <v>451</v>
      </c>
      <c r="D4461" s="636" t="s">
        <v>11393</v>
      </c>
      <c r="E4461" s="759">
        <v>6203.17</v>
      </c>
      <c r="F4461" s="638" t="s">
        <v>11394</v>
      </c>
      <c r="G4461" s="644" t="s">
        <v>11395</v>
      </c>
      <c r="H4461" s="636" t="s">
        <v>2416</v>
      </c>
      <c r="I4461" s="636" t="s">
        <v>11336</v>
      </c>
      <c r="J4461" s="635" t="s">
        <v>11336</v>
      </c>
      <c r="K4461" s="760">
        <v>12</v>
      </c>
      <c r="L4461" s="760">
        <v>12</v>
      </c>
      <c r="M4461" s="736">
        <f t="shared" si="7"/>
        <v>74438.040000000008</v>
      </c>
      <c r="N4461" s="753">
        <v>6</v>
      </c>
      <c r="O4461" s="760">
        <v>6</v>
      </c>
      <c r="P4461" s="736">
        <f t="shared" si="8"/>
        <v>37219.020000000004</v>
      </c>
      <c r="Q4461" s="214"/>
    </row>
    <row r="4462" spans="1:17" ht="12" customHeight="1" x14ac:dyDescent="0.2">
      <c r="A4462" s="646" t="s">
        <v>10266</v>
      </c>
      <c r="B4462" s="646" t="s">
        <v>11337</v>
      </c>
      <c r="C4462" s="646" t="s">
        <v>451</v>
      </c>
      <c r="D4462" s="636" t="s">
        <v>11396</v>
      </c>
      <c r="E4462" s="759">
        <v>3609.9</v>
      </c>
      <c r="F4462" s="638" t="s">
        <v>11397</v>
      </c>
      <c r="G4462" s="644" t="s">
        <v>11398</v>
      </c>
      <c r="H4462" s="636" t="s">
        <v>2543</v>
      </c>
      <c r="I4462" s="636" t="s">
        <v>11336</v>
      </c>
      <c r="J4462" s="635" t="s">
        <v>11336</v>
      </c>
      <c r="K4462" s="760">
        <v>12</v>
      </c>
      <c r="L4462" s="760">
        <v>12</v>
      </c>
      <c r="M4462" s="736">
        <f t="shared" si="7"/>
        <v>43318.8</v>
      </c>
      <c r="N4462" s="753">
        <v>6</v>
      </c>
      <c r="O4462" s="760">
        <v>6</v>
      </c>
      <c r="P4462" s="736">
        <f t="shared" si="8"/>
        <v>21659.4</v>
      </c>
      <c r="Q4462" s="214"/>
    </row>
    <row r="4463" spans="1:17" ht="12" customHeight="1" x14ac:dyDescent="0.2">
      <c r="A4463" s="646" t="s">
        <v>10266</v>
      </c>
      <c r="B4463" s="646" t="s">
        <v>11337</v>
      </c>
      <c r="C4463" s="646" t="s">
        <v>451</v>
      </c>
      <c r="D4463" s="636" t="s">
        <v>10297</v>
      </c>
      <c r="E4463" s="759">
        <v>12000</v>
      </c>
      <c r="F4463" s="638" t="s">
        <v>11399</v>
      </c>
      <c r="G4463" s="644" t="s">
        <v>11400</v>
      </c>
      <c r="H4463" s="636" t="s">
        <v>3070</v>
      </c>
      <c r="I4463" s="636" t="s">
        <v>11336</v>
      </c>
      <c r="J4463" s="635" t="s">
        <v>11336</v>
      </c>
      <c r="K4463" s="760">
        <v>12</v>
      </c>
      <c r="L4463" s="760">
        <v>12</v>
      </c>
      <c r="M4463" s="736">
        <f t="shared" si="7"/>
        <v>144000</v>
      </c>
      <c r="N4463" s="753">
        <v>6</v>
      </c>
      <c r="O4463" s="760">
        <v>6</v>
      </c>
      <c r="P4463" s="736">
        <f t="shared" si="8"/>
        <v>72000</v>
      </c>
      <c r="Q4463" s="214"/>
    </row>
    <row r="4464" spans="1:17" ht="12" customHeight="1" x14ac:dyDescent="0.2">
      <c r="A4464" s="646" t="s">
        <v>10266</v>
      </c>
      <c r="B4464" s="646" t="s">
        <v>11337</v>
      </c>
      <c r="C4464" s="646" t="s">
        <v>451</v>
      </c>
      <c r="D4464" s="636" t="s">
        <v>11401</v>
      </c>
      <c r="E4464" s="759">
        <v>6203.17</v>
      </c>
      <c r="F4464" s="638" t="s">
        <v>11402</v>
      </c>
      <c r="G4464" s="644" t="s">
        <v>11403</v>
      </c>
      <c r="H4464" s="636" t="s">
        <v>11151</v>
      </c>
      <c r="I4464" s="636" t="s">
        <v>5515</v>
      </c>
      <c r="J4464" s="635" t="s">
        <v>5515</v>
      </c>
      <c r="K4464" s="760">
        <v>12</v>
      </c>
      <c r="L4464" s="760">
        <v>12</v>
      </c>
      <c r="M4464" s="736">
        <f t="shared" si="7"/>
        <v>74438.040000000008</v>
      </c>
      <c r="N4464" s="753">
        <v>6</v>
      </c>
      <c r="O4464" s="760">
        <v>6</v>
      </c>
      <c r="P4464" s="736">
        <f t="shared" si="8"/>
        <v>37219.020000000004</v>
      </c>
      <c r="Q4464" s="214"/>
    </row>
    <row r="4465" spans="1:17" ht="12" customHeight="1" x14ac:dyDescent="0.2">
      <c r="A4465" s="646" t="s">
        <v>10266</v>
      </c>
      <c r="B4465" s="646" t="s">
        <v>11337</v>
      </c>
      <c r="C4465" s="646" t="s">
        <v>451</v>
      </c>
      <c r="D4465" s="636" t="s">
        <v>11404</v>
      </c>
      <c r="E4465" s="759">
        <v>3609.9</v>
      </c>
      <c r="F4465" s="638" t="s">
        <v>11405</v>
      </c>
      <c r="G4465" s="644" t="s">
        <v>11406</v>
      </c>
      <c r="H4465" s="636" t="s">
        <v>11407</v>
      </c>
      <c r="I4465" s="636" t="s">
        <v>5515</v>
      </c>
      <c r="J4465" s="635" t="s">
        <v>5515</v>
      </c>
      <c r="K4465" s="760">
        <v>12</v>
      </c>
      <c r="L4465" s="760">
        <v>12</v>
      </c>
      <c r="M4465" s="736">
        <f t="shared" si="7"/>
        <v>43318.8</v>
      </c>
      <c r="N4465" s="753">
        <v>6</v>
      </c>
      <c r="O4465" s="760">
        <v>6</v>
      </c>
      <c r="P4465" s="736">
        <f t="shared" si="8"/>
        <v>21659.4</v>
      </c>
      <c r="Q4465" s="214"/>
    </row>
    <row r="4466" spans="1:17" ht="12" customHeight="1" x14ac:dyDescent="0.2">
      <c r="A4466" s="646" t="s">
        <v>10266</v>
      </c>
      <c r="B4466" s="646" t="s">
        <v>11337</v>
      </c>
      <c r="C4466" s="646" t="s">
        <v>451</v>
      </c>
      <c r="D4466" s="636" t="s">
        <v>11408</v>
      </c>
      <c r="E4466" s="759">
        <v>3609.9</v>
      </c>
      <c r="F4466" s="638" t="s">
        <v>11409</v>
      </c>
      <c r="G4466" s="644" t="s">
        <v>11410</v>
      </c>
      <c r="H4466" s="636" t="s">
        <v>11411</v>
      </c>
      <c r="I4466" s="636" t="s">
        <v>5515</v>
      </c>
      <c r="J4466" s="635" t="s">
        <v>5515</v>
      </c>
      <c r="K4466" s="760">
        <v>12</v>
      </c>
      <c r="L4466" s="760">
        <v>12</v>
      </c>
      <c r="M4466" s="736">
        <f t="shared" si="7"/>
        <v>43318.8</v>
      </c>
      <c r="N4466" s="753">
        <v>6</v>
      </c>
      <c r="O4466" s="760">
        <v>6</v>
      </c>
      <c r="P4466" s="736">
        <f t="shared" si="8"/>
        <v>21659.4</v>
      </c>
      <c r="Q4466" s="214"/>
    </row>
    <row r="4467" spans="1:17" ht="12" customHeight="1" x14ac:dyDescent="0.2">
      <c r="A4467" s="646" t="s">
        <v>10266</v>
      </c>
      <c r="B4467" s="646" t="s">
        <v>11337</v>
      </c>
      <c r="C4467" s="646" t="s">
        <v>451</v>
      </c>
      <c r="D4467" s="636" t="s">
        <v>11412</v>
      </c>
      <c r="E4467" s="759">
        <v>3150</v>
      </c>
      <c r="F4467" s="638" t="s">
        <v>11413</v>
      </c>
      <c r="G4467" s="644" t="s">
        <v>11414</v>
      </c>
      <c r="H4467" s="636" t="s">
        <v>11415</v>
      </c>
      <c r="I4467" s="636" t="s">
        <v>11416</v>
      </c>
      <c r="J4467" s="635" t="s">
        <v>11416</v>
      </c>
      <c r="K4467" s="760">
        <v>12</v>
      </c>
      <c r="L4467" s="760">
        <v>12</v>
      </c>
      <c r="M4467" s="736">
        <f t="shared" si="7"/>
        <v>37800</v>
      </c>
      <c r="N4467" s="753">
        <v>6</v>
      </c>
      <c r="O4467" s="760">
        <v>6</v>
      </c>
      <c r="P4467" s="736">
        <f t="shared" si="8"/>
        <v>18900</v>
      </c>
      <c r="Q4467" s="214"/>
    </row>
    <row r="4468" spans="1:17" ht="12" customHeight="1" x14ac:dyDescent="0.2">
      <c r="A4468" s="646" t="s">
        <v>10266</v>
      </c>
      <c r="B4468" s="646" t="s">
        <v>11337</v>
      </c>
      <c r="C4468" s="646" t="s">
        <v>451</v>
      </c>
      <c r="D4468" s="636" t="s">
        <v>11417</v>
      </c>
      <c r="E4468" s="759">
        <v>2250</v>
      </c>
      <c r="F4468" s="638" t="s">
        <v>11418</v>
      </c>
      <c r="G4468" s="644" t="s">
        <v>11419</v>
      </c>
      <c r="H4468" s="636" t="s">
        <v>2253</v>
      </c>
      <c r="I4468" s="636" t="s">
        <v>11384</v>
      </c>
      <c r="J4468" s="635" t="s">
        <v>11384</v>
      </c>
      <c r="K4468" s="760">
        <v>12</v>
      </c>
      <c r="L4468" s="760">
        <v>12</v>
      </c>
      <c r="M4468" s="736">
        <f t="shared" si="7"/>
        <v>27000</v>
      </c>
      <c r="N4468" s="753">
        <v>6</v>
      </c>
      <c r="O4468" s="760">
        <v>6</v>
      </c>
      <c r="P4468" s="736">
        <f t="shared" si="8"/>
        <v>13500</v>
      </c>
      <c r="Q4468" s="214"/>
    </row>
    <row r="4469" spans="1:17" ht="12" customHeight="1" x14ac:dyDescent="0.2">
      <c r="A4469" s="646" t="s">
        <v>10266</v>
      </c>
      <c r="B4469" s="646" t="s">
        <v>11337</v>
      </c>
      <c r="C4469" s="646" t="s">
        <v>451</v>
      </c>
      <c r="D4469" s="636" t="s">
        <v>11417</v>
      </c>
      <c r="E4469" s="759">
        <v>2250</v>
      </c>
      <c r="F4469" s="638" t="s">
        <v>11420</v>
      </c>
      <c r="G4469" s="644" t="s">
        <v>11421</v>
      </c>
      <c r="H4469" s="636" t="s">
        <v>2253</v>
      </c>
      <c r="I4469" s="636" t="s">
        <v>11384</v>
      </c>
      <c r="J4469" s="635" t="s">
        <v>11384</v>
      </c>
      <c r="K4469" s="760">
        <v>12</v>
      </c>
      <c r="L4469" s="760">
        <v>12</v>
      </c>
      <c r="M4469" s="736">
        <f t="shared" si="7"/>
        <v>27000</v>
      </c>
      <c r="N4469" s="753">
        <v>6</v>
      </c>
      <c r="O4469" s="760">
        <v>6</v>
      </c>
      <c r="P4469" s="736">
        <f t="shared" si="8"/>
        <v>13500</v>
      </c>
      <c r="Q4469" s="214"/>
    </row>
    <row r="4470" spans="1:17" ht="12" customHeight="1" x14ac:dyDescent="0.2">
      <c r="A4470" s="646" t="s">
        <v>10266</v>
      </c>
      <c r="B4470" s="646" t="s">
        <v>11337</v>
      </c>
      <c r="C4470" s="646" t="s">
        <v>451</v>
      </c>
      <c r="D4470" s="636" t="s">
        <v>11417</v>
      </c>
      <c r="E4470" s="759">
        <v>2250</v>
      </c>
      <c r="F4470" s="638" t="s">
        <v>11422</v>
      </c>
      <c r="G4470" s="644" t="s">
        <v>11423</v>
      </c>
      <c r="H4470" s="636" t="s">
        <v>2253</v>
      </c>
      <c r="I4470" s="636" t="s">
        <v>11384</v>
      </c>
      <c r="J4470" s="635" t="s">
        <v>11384</v>
      </c>
      <c r="K4470" s="760">
        <v>12</v>
      </c>
      <c r="L4470" s="760">
        <v>12</v>
      </c>
      <c r="M4470" s="736">
        <f t="shared" si="7"/>
        <v>27000</v>
      </c>
      <c r="N4470" s="753">
        <v>6</v>
      </c>
      <c r="O4470" s="760">
        <v>6</v>
      </c>
      <c r="P4470" s="736">
        <f t="shared" si="8"/>
        <v>13500</v>
      </c>
      <c r="Q4470" s="214"/>
    </row>
    <row r="4471" spans="1:17" ht="12" customHeight="1" x14ac:dyDescent="0.2">
      <c r="A4471" s="646" t="s">
        <v>10266</v>
      </c>
      <c r="B4471" s="646" t="s">
        <v>11337</v>
      </c>
      <c r="C4471" s="646" t="s">
        <v>451</v>
      </c>
      <c r="D4471" s="636" t="s">
        <v>11417</v>
      </c>
      <c r="E4471" s="759">
        <v>2250</v>
      </c>
      <c r="F4471" s="638" t="s">
        <v>11424</v>
      </c>
      <c r="G4471" s="644" t="s">
        <v>11425</v>
      </c>
      <c r="H4471" s="636" t="s">
        <v>2253</v>
      </c>
      <c r="I4471" s="636" t="s">
        <v>11384</v>
      </c>
      <c r="J4471" s="635" t="s">
        <v>11384</v>
      </c>
      <c r="K4471" s="760">
        <v>12</v>
      </c>
      <c r="L4471" s="760">
        <v>12</v>
      </c>
      <c r="M4471" s="736">
        <f t="shared" si="7"/>
        <v>27000</v>
      </c>
      <c r="N4471" s="753">
        <v>6</v>
      </c>
      <c r="O4471" s="760">
        <v>6</v>
      </c>
      <c r="P4471" s="736">
        <f t="shared" si="8"/>
        <v>13500</v>
      </c>
      <c r="Q4471" s="214"/>
    </row>
    <row r="4472" spans="1:17" ht="12" customHeight="1" x14ac:dyDescent="0.2">
      <c r="A4472" s="646" t="s">
        <v>10266</v>
      </c>
      <c r="B4472" s="646" t="s">
        <v>11337</v>
      </c>
      <c r="C4472" s="646" t="s">
        <v>451</v>
      </c>
      <c r="D4472" s="636" t="s">
        <v>11417</v>
      </c>
      <c r="E4472" s="759">
        <v>2250</v>
      </c>
      <c r="F4472" s="638" t="s">
        <v>11426</v>
      </c>
      <c r="G4472" s="644" t="s">
        <v>11427</v>
      </c>
      <c r="H4472" s="636" t="s">
        <v>2253</v>
      </c>
      <c r="I4472" s="636" t="s">
        <v>11384</v>
      </c>
      <c r="J4472" s="635" t="s">
        <v>11384</v>
      </c>
      <c r="K4472" s="760">
        <v>12</v>
      </c>
      <c r="L4472" s="760">
        <v>12</v>
      </c>
      <c r="M4472" s="736">
        <f t="shared" si="7"/>
        <v>27000</v>
      </c>
      <c r="N4472" s="753">
        <v>6</v>
      </c>
      <c r="O4472" s="760">
        <v>6</v>
      </c>
      <c r="P4472" s="736">
        <f t="shared" si="8"/>
        <v>13500</v>
      </c>
      <c r="Q4472" s="214"/>
    </row>
    <row r="4473" spans="1:17" ht="12" customHeight="1" x14ac:dyDescent="0.2">
      <c r="A4473" s="646" t="s">
        <v>10266</v>
      </c>
      <c r="B4473" s="646" t="s">
        <v>11337</v>
      </c>
      <c r="C4473" s="646" t="s">
        <v>451</v>
      </c>
      <c r="D4473" s="636" t="s">
        <v>11417</v>
      </c>
      <c r="E4473" s="759">
        <v>2250</v>
      </c>
      <c r="F4473" s="638" t="s">
        <v>11428</v>
      </c>
      <c r="G4473" s="644" t="s">
        <v>11429</v>
      </c>
      <c r="H4473" s="636" t="s">
        <v>2253</v>
      </c>
      <c r="I4473" s="636" t="s">
        <v>11384</v>
      </c>
      <c r="J4473" s="635" t="s">
        <v>11384</v>
      </c>
      <c r="K4473" s="760">
        <v>12</v>
      </c>
      <c r="L4473" s="760">
        <v>12</v>
      </c>
      <c r="M4473" s="736">
        <f t="shared" si="7"/>
        <v>27000</v>
      </c>
      <c r="N4473" s="753">
        <v>6</v>
      </c>
      <c r="O4473" s="760">
        <v>6</v>
      </c>
      <c r="P4473" s="736">
        <f t="shared" si="8"/>
        <v>13500</v>
      </c>
      <c r="Q4473" s="214"/>
    </row>
    <row r="4474" spans="1:17" ht="12" customHeight="1" x14ac:dyDescent="0.2">
      <c r="A4474" s="646" t="s">
        <v>10266</v>
      </c>
      <c r="B4474" s="646" t="s">
        <v>11337</v>
      </c>
      <c r="C4474" s="646" t="s">
        <v>451</v>
      </c>
      <c r="D4474" s="636" t="s">
        <v>11417</v>
      </c>
      <c r="E4474" s="759">
        <v>2250</v>
      </c>
      <c r="F4474" s="638" t="s">
        <v>11430</v>
      </c>
      <c r="G4474" s="644" t="s">
        <v>11431</v>
      </c>
      <c r="H4474" s="636" t="s">
        <v>2253</v>
      </c>
      <c r="I4474" s="636" t="s">
        <v>11384</v>
      </c>
      <c r="J4474" s="635" t="s">
        <v>11384</v>
      </c>
      <c r="K4474" s="760">
        <v>12</v>
      </c>
      <c r="L4474" s="760">
        <v>12</v>
      </c>
      <c r="M4474" s="736">
        <f t="shared" si="7"/>
        <v>27000</v>
      </c>
      <c r="N4474" s="753">
        <v>6</v>
      </c>
      <c r="O4474" s="760">
        <v>6</v>
      </c>
      <c r="P4474" s="736">
        <f t="shared" si="8"/>
        <v>13500</v>
      </c>
      <c r="Q4474" s="214"/>
    </row>
    <row r="4475" spans="1:17" ht="12" customHeight="1" x14ac:dyDescent="0.2">
      <c r="A4475" s="646" t="s">
        <v>10266</v>
      </c>
      <c r="B4475" s="646" t="s">
        <v>11337</v>
      </c>
      <c r="C4475" s="646" t="s">
        <v>451</v>
      </c>
      <c r="D4475" s="636" t="s">
        <v>11417</v>
      </c>
      <c r="E4475" s="759">
        <v>2250</v>
      </c>
      <c r="F4475" s="638" t="s">
        <v>11432</v>
      </c>
      <c r="G4475" s="644" t="s">
        <v>11433</v>
      </c>
      <c r="H4475" s="636" t="s">
        <v>2253</v>
      </c>
      <c r="I4475" s="636" t="s">
        <v>11384</v>
      </c>
      <c r="J4475" s="635" t="s">
        <v>11384</v>
      </c>
      <c r="K4475" s="760">
        <v>12</v>
      </c>
      <c r="L4475" s="760">
        <v>12</v>
      </c>
      <c r="M4475" s="736">
        <f t="shared" si="7"/>
        <v>27000</v>
      </c>
      <c r="N4475" s="753">
        <v>6</v>
      </c>
      <c r="O4475" s="760">
        <v>6</v>
      </c>
      <c r="P4475" s="736">
        <f t="shared" si="8"/>
        <v>13500</v>
      </c>
      <c r="Q4475" s="214"/>
    </row>
    <row r="4476" spans="1:17" ht="12" customHeight="1" x14ac:dyDescent="0.2">
      <c r="A4476" s="646" t="s">
        <v>10266</v>
      </c>
      <c r="B4476" s="646" t="s">
        <v>11337</v>
      </c>
      <c r="C4476" s="646" t="s">
        <v>451</v>
      </c>
      <c r="D4476" s="636" t="s">
        <v>11417</v>
      </c>
      <c r="E4476" s="759">
        <v>2250</v>
      </c>
      <c r="F4476" s="638" t="s">
        <v>11434</v>
      </c>
      <c r="G4476" s="644" t="s">
        <v>11435</v>
      </c>
      <c r="H4476" s="636" t="s">
        <v>2253</v>
      </c>
      <c r="I4476" s="636" t="s">
        <v>11384</v>
      </c>
      <c r="J4476" s="635" t="s">
        <v>11384</v>
      </c>
      <c r="K4476" s="760">
        <v>12</v>
      </c>
      <c r="L4476" s="760">
        <v>12</v>
      </c>
      <c r="M4476" s="736">
        <f t="shared" si="7"/>
        <v>27000</v>
      </c>
      <c r="N4476" s="753">
        <v>6</v>
      </c>
      <c r="O4476" s="760">
        <v>6</v>
      </c>
      <c r="P4476" s="736">
        <f t="shared" si="8"/>
        <v>13500</v>
      </c>
      <c r="Q4476" s="214"/>
    </row>
    <row r="4477" spans="1:17" ht="12" customHeight="1" x14ac:dyDescent="0.2">
      <c r="A4477" s="646" t="s">
        <v>10266</v>
      </c>
      <c r="B4477" s="646" t="s">
        <v>11337</v>
      </c>
      <c r="C4477" s="646" t="s">
        <v>451</v>
      </c>
      <c r="D4477" s="636" t="s">
        <v>11417</v>
      </c>
      <c r="E4477" s="759">
        <v>2250</v>
      </c>
      <c r="F4477" s="638" t="s">
        <v>11436</v>
      </c>
      <c r="G4477" s="644" t="s">
        <v>11437</v>
      </c>
      <c r="H4477" s="636" t="s">
        <v>2253</v>
      </c>
      <c r="I4477" s="636" t="s">
        <v>11384</v>
      </c>
      <c r="J4477" s="635" t="s">
        <v>11384</v>
      </c>
      <c r="K4477" s="760">
        <v>12</v>
      </c>
      <c r="L4477" s="760">
        <v>12</v>
      </c>
      <c r="M4477" s="736">
        <f t="shared" si="7"/>
        <v>27000</v>
      </c>
      <c r="N4477" s="753">
        <v>6</v>
      </c>
      <c r="O4477" s="760">
        <v>6</v>
      </c>
      <c r="P4477" s="736">
        <f t="shared" si="8"/>
        <v>13500</v>
      </c>
      <c r="Q4477" s="214"/>
    </row>
    <row r="4478" spans="1:17" ht="12" customHeight="1" x14ac:dyDescent="0.2">
      <c r="A4478" s="646" t="s">
        <v>10266</v>
      </c>
      <c r="B4478" s="646" t="s">
        <v>11337</v>
      </c>
      <c r="C4478" s="646" t="s">
        <v>451</v>
      </c>
      <c r="D4478" s="636" t="s">
        <v>11438</v>
      </c>
      <c r="E4478" s="759">
        <v>6203.17</v>
      </c>
      <c r="F4478" s="638" t="s">
        <v>11439</v>
      </c>
      <c r="G4478" s="644" t="s">
        <v>11440</v>
      </c>
      <c r="H4478" s="636" t="s">
        <v>8559</v>
      </c>
      <c r="I4478" s="636" t="s">
        <v>11336</v>
      </c>
      <c r="J4478" s="635" t="s">
        <v>11336</v>
      </c>
      <c r="K4478" s="760">
        <v>12</v>
      </c>
      <c r="L4478" s="760">
        <v>12</v>
      </c>
      <c r="M4478" s="736">
        <f t="shared" si="7"/>
        <v>74438.040000000008</v>
      </c>
      <c r="N4478" s="753">
        <v>6</v>
      </c>
      <c r="O4478" s="760">
        <v>6</v>
      </c>
      <c r="P4478" s="736">
        <f t="shared" si="8"/>
        <v>37219.020000000004</v>
      </c>
      <c r="Q4478" s="214"/>
    </row>
    <row r="4479" spans="1:17" ht="12" customHeight="1" x14ac:dyDescent="0.2">
      <c r="A4479" s="646" t="s">
        <v>10266</v>
      </c>
      <c r="B4479" s="646" t="s">
        <v>11337</v>
      </c>
      <c r="C4479" s="646" t="s">
        <v>451</v>
      </c>
      <c r="D4479" s="636" t="s">
        <v>11441</v>
      </c>
      <c r="E4479" s="759">
        <v>3609.9</v>
      </c>
      <c r="F4479" s="638" t="s">
        <v>11442</v>
      </c>
      <c r="G4479" s="644" t="s">
        <v>11443</v>
      </c>
      <c r="H4479" s="636" t="s">
        <v>11444</v>
      </c>
      <c r="I4479" s="636" t="s">
        <v>11336</v>
      </c>
      <c r="J4479" s="635" t="s">
        <v>11336</v>
      </c>
      <c r="K4479" s="760">
        <v>12</v>
      </c>
      <c r="L4479" s="760">
        <v>12</v>
      </c>
      <c r="M4479" s="736">
        <f t="shared" si="7"/>
        <v>43318.8</v>
      </c>
      <c r="N4479" s="753">
        <v>6</v>
      </c>
      <c r="O4479" s="760">
        <v>6</v>
      </c>
      <c r="P4479" s="736">
        <f t="shared" si="8"/>
        <v>21659.4</v>
      </c>
      <c r="Q4479" s="214"/>
    </row>
    <row r="4480" spans="1:17" ht="12" customHeight="1" x14ac:dyDescent="0.2">
      <c r="A4480" s="646" t="s">
        <v>10266</v>
      </c>
      <c r="B4480" s="646" t="s">
        <v>11337</v>
      </c>
      <c r="C4480" s="646" t="s">
        <v>451</v>
      </c>
      <c r="D4480" s="636" t="s">
        <v>11445</v>
      </c>
      <c r="E4480" s="759">
        <v>3150</v>
      </c>
      <c r="F4480" s="638" t="s">
        <v>11446</v>
      </c>
      <c r="G4480" s="644" t="s">
        <v>11447</v>
      </c>
      <c r="H4480" s="636" t="s">
        <v>11448</v>
      </c>
      <c r="I4480" s="636" t="s">
        <v>5515</v>
      </c>
      <c r="J4480" s="635" t="s">
        <v>5515</v>
      </c>
      <c r="K4480" s="760">
        <v>12</v>
      </c>
      <c r="L4480" s="760">
        <v>12</v>
      </c>
      <c r="M4480" s="736">
        <f t="shared" si="7"/>
        <v>37800</v>
      </c>
      <c r="N4480" s="753">
        <v>6</v>
      </c>
      <c r="O4480" s="760">
        <v>6</v>
      </c>
      <c r="P4480" s="736">
        <f t="shared" si="8"/>
        <v>18900</v>
      </c>
      <c r="Q4480" s="214"/>
    </row>
    <row r="4481" spans="1:17" ht="12" customHeight="1" x14ac:dyDescent="0.2">
      <c r="A4481" s="646" t="s">
        <v>10266</v>
      </c>
      <c r="B4481" s="646" t="s">
        <v>11337</v>
      </c>
      <c r="C4481" s="646" t="s">
        <v>451</v>
      </c>
      <c r="D4481" s="636" t="s">
        <v>11445</v>
      </c>
      <c r="E4481" s="759">
        <v>3150</v>
      </c>
      <c r="F4481" s="638" t="s">
        <v>11449</v>
      </c>
      <c r="G4481" s="644" t="s">
        <v>11450</v>
      </c>
      <c r="H4481" s="636" t="s">
        <v>11451</v>
      </c>
      <c r="I4481" s="636" t="s">
        <v>11452</v>
      </c>
      <c r="J4481" s="635" t="s">
        <v>11452</v>
      </c>
      <c r="K4481" s="760">
        <v>12</v>
      </c>
      <c r="L4481" s="760">
        <v>12</v>
      </c>
      <c r="M4481" s="736">
        <f t="shared" si="7"/>
        <v>37800</v>
      </c>
      <c r="N4481" s="753">
        <v>6</v>
      </c>
      <c r="O4481" s="760">
        <v>6</v>
      </c>
      <c r="P4481" s="736">
        <f t="shared" si="8"/>
        <v>18900</v>
      </c>
      <c r="Q4481" s="214"/>
    </row>
    <row r="4482" spans="1:17" ht="12" customHeight="1" x14ac:dyDescent="0.2">
      <c r="A4482" s="646" t="s">
        <v>10266</v>
      </c>
      <c r="B4482" s="646" t="s">
        <v>11337</v>
      </c>
      <c r="C4482" s="646" t="s">
        <v>451</v>
      </c>
      <c r="D4482" s="636" t="s">
        <v>11445</v>
      </c>
      <c r="E4482" s="759">
        <v>3150</v>
      </c>
      <c r="F4482" s="638" t="s">
        <v>11453</v>
      </c>
      <c r="G4482" s="644" t="s">
        <v>11454</v>
      </c>
      <c r="H4482" s="636" t="s">
        <v>11455</v>
      </c>
      <c r="I4482" s="636" t="s">
        <v>11452</v>
      </c>
      <c r="J4482" s="635" t="s">
        <v>11452</v>
      </c>
      <c r="K4482" s="760">
        <v>12</v>
      </c>
      <c r="L4482" s="760">
        <v>12</v>
      </c>
      <c r="M4482" s="736">
        <f t="shared" si="7"/>
        <v>37800</v>
      </c>
      <c r="N4482" s="753">
        <v>6</v>
      </c>
      <c r="O4482" s="760">
        <v>6</v>
      </c>
      <c r="P4482" s="736">
        <f t="shared" si="8"/>
        <v>18900</v>
      </c>
      <c r="Q4482" s="214"/>
    </row>
    <row r="4483" spans="1:17" ht="12" customHeight="1" x14ac:dyDescent="0.2">
      <c r="A4483" s="646" t="s">
        <v>10266</v>
      </c>
      <c r="B4483" s="646" t="s">
        <v>11337</v>
      </c>
      <c r="C4483" s="646" t="s">
        <v>451</v>
      </c>
      <c r="D4483" s="636" t="s">
        <v>11456</v>
      </c>
      <c r="E4483" s="759">
        <v>3150</v>
      </c>
      <c r="F4483" s="638" t="s">
        <v>11457</v>
      </c>
      <c r="G4483" s="644" t="s">
        <v>11458</v>
      </c>
      <c r="H4483" s="636" t="s">
        <v>2179</v>
      </c>
      <c r="I4483" s="636" t="s">
        <v>11336</v>
      </c>
      <c r="J4483" s="635" t="s">
        <v>11336</v>
      </c>
      <c r="K4483" s="760">
        <v>12</v>
      </c>
      <c r="L4483" s="760">
        <v>12</v>
      </c>
      <c r="M4483" s="736">
        <f t="shared" si="7"/>
        <v>37800</v>
      </c>
      <c r="N4483" s="753">
        <v>6</v>
      </c>
      <c r="O4483" s="760">
        <v>6</v>
      </c>
      <c r="P4483" s="736">
        <f t="shared" si="8"/>
        <v>18900</v>
      </c>
      <c r="Q4483" s="214"/>
    </row>
    <row r="4484" spans="1:17" ht="12" customHeight="1" x14ac:dyDescent="0.2">
      <c r="A4484" s="646" t="s">
        <v>10266</v>
      </c>
      <c r="B4484" s="646" t="s">
        <v>11337</v>
      </c>
      <c r="C4484" s="646" t="s">
        <v>451</v>
      </c>
      <c r="D4484" s="636" t="s">
        <v>11459</v>
      </c>
      <c r="E4484" s="759">
        <v>6203.17</v>
      </c>
      <c r="F4484" s="638" t="s">
        <v>11460</v>
      </c>
      <c r="G4484" s="644" t="s">
        <v>11461</v>
      </c>
      <c r="H4484" s="636" t="s">
        <v>11462</v>
      </c>
      <c r="I4484" s="636" t="s">
        <v>11336</v>
      </c>
      <c r="J4484" s="635" t="s">
        <v>11336</v>
      </c>
      <c r="K4484" s="760">
        <v>12</v>
      </c>
      <c r="L4484" s="760">
        <v>12</v>
      </c>
      <c r="M4484" s="736">
        <f t="shared" si="7"/>
        <v>74438.040000000008</v>
      </c>
      <c r="N4484" s="753">
        <v>6</v>
      </c>
      <c r="O4484" s="760">
        <v>6</v>
      </c>
      <c r="P4484" s="736">
        <f t="shared" si="8"/>
        <v>37219.020000000004</v>
      </c>
      <c r="Q4484" s="214"/>
    </row>
    <row r="4485" spans="1:17" ht="12" customHeight="1" x14ac:dyDescent="0.2">
      <c r="A4485" s="646" t="s">
        <v>10266</v>
      </c>
      <c r="B4485" s="646" t="s">
        <v>11337</v>
      </c>
      <c r="C4485" s="646" t="s">
        <v>451</v>
      </c>
      <c r="D4485" s="636" t="s">
        <v>7736</v>
      </c>
      <c r="E4485" s="759">
        <v>2750</v>
      </c>
      <c r="F4485" s="638" t="s">
        <v>11463</v>
      </c>
      <c r="G4485" s="644" t="s">
        <v>11464</v>
      </c>
      <c r="H4485" s="636" t="s">
        <v>11465</v>
      </c>
      <c r="I4485" s="636" t="s">
        <v>5515</v>
      </c>
      <c r="J4485" s="635" t="s">
        <v>5515</v>
      </c>
      <c r="K4485" s="760">
        <v>12</v>
      </c>
      <c r="L4485" s="760">
        <v>12</v>
      </c>
      <c r="M4485" s="736">
        <f t="shared" si="7"/>
        <v>33000</v>
      </c>
      <c r="N4485" s="753">
        <v>6</v>
      </c>
      <c r="O4485" s="760">
        <v>6</v>
      </c>
      <c r="P4485" s="736">
        <f t="shared" si="8"/>
        <v>16500</v>
      </c>
      <c r="Q4485" s="214"/>
    </row>
    <row r="4486" spans="1:17" ht="12" customHeight="1" x14ac:dyDescent="0.2">
      <c r="A4486" s="646" t="s">
        <v>10266</v>
      </c>
      <c r="B4486" s="646" t="s">
        <v>11337</v>
      </c>
      <c r="C4486" s="646" t="s">
        <v>451</v>
      </c>
      <c r="D4486" s="636" t="s">
        <v>11466</v>
      </c>
      <c r="E4486" s="759">
        <v>6203.17</v>
      </c>
      <c r="F4486" s="638" t="s">
        <v>11467</v>
      </c>
      <c r="G4486" s="644" t="s">
        <v>11468</v>
      </c>
      <c r="H4486" s="636" t="s">
        <v>11040</v>
      </c>
      <c r="I4486" s="636" t="s">
        <v>11336</v>
      </c>
      <c r="J4486" s="635" t="s">
        <v>11336</v>
      </c>
      <c r="K4486" s="760">
        <v>12</v>
      </c>
      <c r="L4486" s="760">
        <v>12</v>
      </c>
      <c r="M4486" s="736">
        <f t="shared" si="7"/>
        <v>74438.040000000008</v>
      </c>
      <c r="N4486" s="753">
        <v>6</v>
      </c>
      <c r="O4486" s="760">
        <v>6</v>
      </c>
      <c r="P4486" s="736">
        <f t="shared" si="8"/>
        <v>37219.020000000004</v>
      </c>
      <c r="Q4486" s="214"/>
    </row>
    <row r="4487" spans="1:17" ht="12" customHeight="1" x14ac:dyDescent="0.2">
      <c r="A4487" s="646" t="s">
        <v>10266</v>
      </c>
      <c r="B4487" s="646" t="s">
        <v>11337</v>
      </c>
      <c r="C4487" s="646" t="s">
        <v>451</v>
      </c>
      <c r="D4487" s="636" t="s">
        <v>11469</v>
      </c>
      <c r="E4487" s="759">
        <v>3609.9</v>
      </c>
      <c r="F4487" s="638" t="s">
        <v>11470</v>
      </c>
      <c r="G4487" s="644" t="s">
        <v>11471</v>
      </c>
      <c r="H4487" s="636" t="s">
        <v>11472</v>
      </c>
      <c r="I4487" s="636" t="s">
        <v>11384</v>
      </c>
      <c r="J4487" s="635" t="s">
        <v>11384</v>
      </c>
      <c r="K4487" s="760">
        <v>12</v>
      </c>
      <c r="L4487" s="760">
        <v>12</v>
      </c>
      <c r="M4487" s="736">
        <f t="shared" si="7"/>
        <v>43318.8</v>
      </c>
      <c r="N4487" s="753">
        <v>6</v>
      </c>
      <c r="O4487" s="760">
        <v>6</v>
      </c>
      <c r="P4487" s="736">
        <f t="shared" si="8"/>
        <v>21659.4</v>
      </c>
      <c r="Q4487" s="214"/>
    </row>
    <row r="4488" spans="1:17" ht="12" customHeight="1" x14ac:dyDescent="0.2">
      <c r="A4488" s="646" t="s">
        <v>10266</v>
      </c>
      <c r="B4488" s="646" t="s">
        <v>11337</v>
      </c>
      <c r="C4488" s="646" t="s">
        <v>451</v>
      </c>
      <c r="D4488" s="636" t="s">
        <v>11473</v>
      </c>
      <c r="E4488" s="759">
        <v>3609.9</v>
      </c>
      <c r="F4488" s="638" t="s">
        <v>11474</v>
      </c>
      <c r="G4488" s="644" t="s">
        <v>11475</v>
      </c>
      <c r="H4488" s="636" t="s">
        <v>11476</v>
      </c>
      <c r="I4488" s="636" t="s">
        <v>5515</v>
      </c>
      <c r="J4488" s="635" t="s">
        <v>5515</v>
      </c>
      <c r="K4488" s="760">
        <v>12</v>
      </c>
      <c r="L4488" s="760">
        <v>12</v>
      </c>
      <c r="M4488" s="736">
        <f t="shared" si="7"/>
        <v>43318.8</v>
      </c>
      <c r="N4488" s="753">
        <v>6</v>
      </c>
      <c r="O4488" s="760">
        <v>6</v>
      </c>
      <c r="P4488" s="736">
        <f t="shared" si="8"/>
        <v>21659.4</v>
      </c>
      <c r="Q4488" s="214"/>
    </row>
    <row r="4489" spans="1:17" ht="12" customHeight="1" x14ac:dyDescent="0.2">
      <c r="A4489" s="646" t="s">
        <v>10266</v>
      </c>
      <c r="B4489" s="646" t="s">
        <v>11337</v>
      </c>
      <c r="C4489" s="646" t="s">
        <v>451</v>
      </c>
      <c r="D4489" s="636" t="s">
        <v>11477</v>
      </c>
      <c r="E4489" s="759">
        <v>3150</v>
      </c>
      <c r="F4489" s="638" t="s">
        <v>11478</v>
      </c>
      <c r="G4489" s="644" t="s">
        <v>11479</v>
      </c>
      <c r="H4489" s="636" t="s">
        <v>2979</v>
      </c>
      <c r="I4489" s="636" t="s">
        <v>5515</v>
      </c>
      <c r="J4489" s="635" t="s">
        <v>5515</v>
      </c>
      <c r="K4489" s="760">
        <v>12</v>
      </c>
      <c r="L4489" s="760">
        <v>12</v>
      </c>
      <c r="M4489" s="736">
        <f t="shared" si="7"/>
        <v>37800</v>
      </c>
      <c r="N4489" s="753">
        <v>6</v>
      </c>
      <c r="O4489" s="760">
        <v>6</v>
      </c>
      <c r="P4489" s="736">
        <f t="shared" si="8"/>
        <v>18900</v>
      </c>
      <c r="Q4489" s="214"/>
    </row>
    <row r="4490" spans="1:17" ht="12" customHeight="1" x14ac:dyDescent="0.2">
      <c r="A4490" s="646" t="s">
        <v>10266</v>
      </c>
      <c r="B4490" s="646" t="s">
        <v>11337</v>
      </c>
      <c r="C4490" s="646" t="s">
        <v>451</v>
      </c>
      <c r="D4490" s="636" t="s">
        <v>11480</v>
      </c>
      <c r="E4490" s="759">
        <v>2600</v>
      </c>
      <c r="F4490" s="638" t="s">
        <v>11481</v>
      </c>
      <c r="G4490" s="644" t="s">
        <v>11482</v>
      </c>
      <c r="H4490" s="636" t="s">
        <v>11483</v>
      </c>
      <c r="I4490" s="636" t="s">
        <v>11484</v>
      </c>
      <c r="J4490" s="635" t="s">
        <v>11484</v>
      </c>
      <c r="K4490" s="760">
        <v>12</v>
      </c>
      <c r="L4490" s="760">
        <v>12</v>
      </c>
      <c r="M4490" s="736">
        <f t="shared" si="7"/>
        <v>31200</v>
      </c>
      <c r="N4490" s="753">
        <v>6</v>
      </c>
      <c r="O4490" s="760">
        <v>6</v>
      </c>
      <c r="P4490" s="736">
        <f t="shared" si="8"/>
        <v>15600</v>
      </c>
      <c r="Q4490" s="214"/>
    </row>
    <row r="4491" spans="1:17" ht="12" customHeight="1" x14ac:dyDescent="0.2">
      <c r="A4491" s="646" t="s">
        <v>10266</v>
      </c>
      <c r="B4491" s="646" t="s">
        <v>11337</v>
      </c>
      <c r="C4491" s="646" t="s">
        <v>451</v>
      </c>
      <c r="D4491" s="636" t="s">
        <v>11485</v>
      </c>
      <c r="E4491" s="759">
        <v>2250</v>
      </c>
      <c r="F4491" s="638" t="s">
        <v>11486</v>
      </c>
      <c r="G4491" s="644" t="s">
        <v>11487</v>
      </c>
      <c r="H4491" s="636" t="s">
        <v>2253</v>
      </c>
      <c r="I4491" s="636" t="s">
        <v>11384</v>
      </c>
      <c r="J4491" s="635" t="s">
        <v>11384</v>
      </c>
      <c r="K4491" s="760">
        <v>12</v>
      </c>
      <c r="L4491" s="760">
        <v>12</v>
      </c>
      <c r="M4491" s="736">
        <f t="shared" si="7"/>
        <v>27000</v>
      </c>
      <c r="N4491" s="753">
        <v>6</v>
      </c>
      <c r="O4491" s="760">
        <v>6</v>
      </c>
      <c r="P4491" s="736">
        <f t="shared" si="8"/>
        <v>13500</v>
      </c>
      <c r="Q4491" s="214"/>
    </row>
    <row r="4492" spans="1:17" ht="12" customHeight="1" x14ac:dyDescent="0.2">
      <c r="A4492" s="646" t="s">
        <v>10266</v>
      </c>
      <c r="B4492" s="646" t="s">
        <v>11337</v>
      </c>
      <c r="C4492" s="646" t="s">
        <v>451</v>
      </c>
      <c r="D4492" s="636" t="s">
        <v>11485</v>
      </c>
      <c r="E4492" s="759">
        <v>2250</v>
      </c>
      <c r="F4492" s="638" t="s">
        <v>11488</v>
      </c>
      <c r="G4492" s="644" t="s">
        <v>11489</v>
      </c>
      <c r="H4492" s="636" t="s">
        <v>2518</v>
      </c>
      <c r="I4492" s="636" t="s">
        <v>11490</v>
      </c>
      <c r="J4492" s="635" t="s">
        <v>11490</v>
      </c>
      <c r="K4492" s="760">
        <v>12</v>
      </c>
      <c r="L4492" s="760">
        <v>12</v>
      </c>
      <c r="M4492" s="736">
        <f t="shared" si="7"/>
        <v>27000</v>
      </c>
      <c r="N4492" s="753">
        <v>6</v>
      </c>
      <c r="O4492" s="760">
        <v>6</v>
      </c>
      <c r="P4492" s="736">
        <f t="shared" si="8"/>
        <v>13500</v>
      </c>
      <c r="Q4492" s="214"/>
    </row>
    <row r="4493" spans="1:17" ht="12" customHeight="1" x14ac:dyDescent="0.2">
      <c r="A4493" s="646" t="s">
        <v>10266</v>
      </c>
      <c r="B4493" s="646" t="s">
        <v>11337</v>
      </c>
      <c r="C4493" s="646" t="s">
        <v>451</v>
      </c>
      <c r="D4493" s="636" t="s">
        <v>11485</v>
      </c>
      <c r="E4493" s="759">
        <v>2250</v>
      </c>
      <c r="F4493" s="638" t="s">
        <v>11491</v>
      </c>
      <c r="G4493" s="644" t="s">
        <v>11492</v>
      </c>
      <c r="H4493" s="636" t="s">
        <v>2253</v>
      </c>
      <c r="I4493" s="636" t="s">
        <v>11384</v>
      </c>
      <c r="J4493" s="635" t="s">
        <v>11384</v>
      </c>
      <c r="K4493" s="760">
        <v>12</v>
      </c>
      <c r="L4493" s="760">
        <v>12</v>
      </c>
      <c r="M4493" s="736">
        <f t="shared" si="7"/>
        <v>27000</v>
      </c>
      <c r="N4493" s="753">
        <v>6</v>
      </c>
      <c r="O4493" s="760">
        <v>6</v>
      </c>
      <c r="P4493" s="736">
        <f t="shared" si="8"/>
        <v>13500</v>
      </c>
      <c r="Q4493" s="214"/>
    </row>
    <row r="4494" spans="1:17" ht="12" customHeight="1" x14ac:dyDescent="0.2">
      <c r="A4494" s="646" t="s">
        <v>10266</v>
      </c>
      <c r="B4494" s="646" t="s">
        <v>11337</v>
      </c>
      <c r="C4494" s="646" t="s">
        <v>451</v>
      </c>
      <c r="D4494" s="636" t="s">
        <v>11485</v>
      </c>
      <c r="E4494" s="759">
        <v>2250</v>
      </c>
      <c r="F4494" s="638" t="s">
        <v>11493</v>
      </c>
      <c r="G4494" s="644" t="s">
        <v>11494</v>
      </c>
      <c r="H4494" s="636" t="s">
        <v>11483</v>
      </c>
      <c r="I4494" s="636" t="s">
        <v>11484</v>
      </c>
      <c r="J4494" s="635" t="s">
        <v>11484</v>
      </c>
      <c r="K4494" s="760">
        <v>12</v>
      </c>
      <c r="L4494" s="760">
        <v>12</v>
      </c>
      <c r="M4494" s="736">
        <f t="shared" si="7"/>
        <v>27000</v>
      </c>
      <c r="N4494" s="753">
        <v>6</v>
      </c>
      <c r="O4494" s="760">
        <v>6</v>
      </c>
      <c r="P4494" s="736">
        <f t="shared" si="8"/>
        <v>13500</v>
      </c>
      <c r="Q4494" s="214"/>
    </row>
    <row r="4495" spans="1:17" ht="12" customHeight="1" x14ac:dyDescent="0.2">
      <c r="A4495" s="646" t="s">
        <v>10266</v>
      </c>
      <c r="B4495" s="646" t="s">
        <v>11337</v>
      </c>
      <c r="C4495" s="646" t="s">
        <v>451</v>
      </c>
      <c r="D4495" s="636" t="s">
        <v>11485</v>
      </c>
      <c r="E4495" s="759">
        <v>2250</v>
      </c>
      <c r="F4495" s="638" t="s">
        <v>11495</v>
      </c>
      <c r="G4495" s="644" t="s">
        <v>11496</v>
      </c>
      <c r="H4495" s="636" t="s">
        <v>2253</v>
      </c>
      <c r="I4495" s="636" t="s">
        <v>11384</v>
      </c>
      <c r="J4495" s="635" t="s">
        <v>11384</v>
      </c>
      <c r="K4495" s="760">
        <v>12</v>
      </c>
      <c r="L4495" s="760">
        <v>12</v>
      </c>
      <c r="M4495" s="736">
        <f t="shared" si="7"/>
        <v>27000</v>
      </c>
      <c r="N4495" s="753">
        <v>6</v>
      </c>
      <c r="O4495" s="760">
        <v>6</v>
      </c>
      <c r="P4495" s="736">
        <f t="shared" si="8"/>
        <v>13500</v>
      </c>
      <c r="Q4495" s="214"/>
    </row>
    <row r="4496" spans="1:17" ht="12" customHeight="1" x14ac:dyDescent="0.2">
      <c r="A4496" s="646" t="s">
        <v>10266</v>
      </c>
      <c r="B4496" s="646" t="s">
        <v>11337</v>
      </c>
      <c r="C4496" s="646" t="s">
        <v>451</v>
      </c>
      <c r="D4496" s="636" t="s">
        <v>11485</v>
      </c>
      <c r="E4496" s="759">
        <v>2250</v>
      </c>
      <c r="F4496" s="638" t="s">
        <v>11497</v>
      </c>
      <c r="G4496" s="644" t="s">
        <v>11498</v>
      </c>
      <c r="H4496" s="636" t="s">
        <v>2253</v>
      </c>
      <c r="I4496" s="636" t="s">
        <v>11384</v>
      </c>
      <c r="J4496" s="635" t="s">
        <v>11384</v>
      </c>
      <c r="K4496" s="760">
        <v>12</v>
      </c>
      <c r="L4496" s="760">
        <v>12</v>
      </c>
      <c r="M4496" s="736">
        <f t="shared" si="7"/>
        <v>27000</v>
      </c>
      <c r="N4496" s="753">
        <v>6</v>
      </c>
      <c r="O4496" s="760">
        <v>6</v>
      </c>
      <c r="P4496" s="736">
        <f t="shared" si="8"/>
        <v>13500</v>
      </c>
      <c r="Q4496" s="214"/>
    </row>
    <row r="4497" spans="1:17" ht="12" customHeight="1" x14ac:dyDescent="0.2">
      <c r="A4497" s="646" t="s">
        <v>10266</v>
      </c>
      <c r="B4497" s="646" t="s">
        <v>11337</v>
      </c>
      <c r="C4497" s="646" t="s">
        <v>451</v>
      </c>
      <c r="D4497" s="636" t="s">
        <v>11485</v>
      </c>
      <c r="E4497" s="759">
        <v>2250</v>
      </c>
      <c r="F4497" s="638" t="s">
        <v>11499</v>
      </c>
      <c r="G4497" s="644" t="s">
        <v>11500</v>
      </c>
      <c r="H4497" s="636" t="s">
        <v>2253</v>
      </c>
      <c r="I4497" s="636" t="s">
        <v>11384</v>
      </c>
      <c r="J4497" s="635" t="s">
        <v>11384</v>
      </c>
      <c r="K4497" s="760">
        <v>12</v>
      </c>
      <c r="L4497" s="760">
        <v>12</v>
      </c>
      <c r="M4497" s="736">
        <f t="shared" si="7"/>
        <v>27000</v>
      </c>
      <c r="N4497" s="753">
        <v>6</v>
      </c>
      <c r="O4497" s="760">
        <v>6</v>
      </c>
      <c r="P4497" s="736">
        <f t="shared" si="8"/>
        <v>13500</v>
      </c>
      <c r="Q4497" s="214"/>
    </row>
    <row r="4498" spans="1:17" ht="12" customHeight="1" x14ac:dyDescent="0.2">
      <c r="A4498" s="646" t="s">
        <v>10266</v>
      </c>
      <c r="B4498" s="646" t="s">
        <v>11337</v>
      </c>
      <c r="C4498" s="646" t="s">
        <v>451</v>
      </c>
      <c r="D4498" s="636" t="s">
        <v>11485</v>
      </c>
      <c r="E4498" s="759">
        <v>2250</v>
      </c>
      <c r="F4498" s="638" t="s">
        <v>11501</v>
      </c>
      <c r="G4498" s="644" t="s">
        <v>11502</v>
      </c>
      <c r="H4498" s="636" t="s">
        <v>2253</v>
      </c>
      <c r="I4498" s="636" t="s">
        <v>11384</v>
      </c>
      <c r="J4498" s="635" t="s">
        <v>11384</v>
      </c>
      <c r="K4498" s="760">
        <v>12</v>
      </c>
      <c r="L4498" s="760">
        <v>12</v>
      </c>
      <c r="M4498" s="736">
        <f t="shared" si="7"/>
        <v>27000</v>
      </c>
      <c r="N4498" s="753">
        <v>6</v>
      </c>
      <c r="O4498" s="760">
        <v>6</v>
      </c>
      <c r="P4498" s="736">
        <f t="shared" si="8"/>
        <v>13500</v>
      </c>
      <c r="Q4498" s="214"/>
    </row>
    <row r="4499" spans="1:17" ht="12" customHeight="1" x14ac:dyDescent="0.2">
      <c r="A4499" s="646" t="s">
        <v>10266</v>
      </c>
      <c r="B4499" s="646" t="s">
        <v>11337</v>
      </c>
      <c r="C4499" s="646" t="s">
        <v>451</v>
      </c>
      <c r="D4499" s="636" t="s">
        <v>11485</v>
      </c>
      <c r="E4499" s="759">
        <v>2250</v>
      </c>
      <c r="F4499" s="638" t="s">
        <v>11503</v>
      </c>
      <c r="G4499" s="644" t="s">
        <v>11504</v>
      </c>
      <c r="H4499" s="636" t="s">
        <v>2253</v>
      </c>
      <c r="I4499" s="636" t="s">
        <v>11384</v>
      </c>
      <c r="J4499" s="635" t="s">
        <v>11384</v>
      </c>
      <c r="K4499" s="760">
        <v>12</v>
      </c>
      <c r="L4499" s="760">
        <v>12</v>
      </c>
      <c r="M4499" s="736">
        <f t="shared" si="7"/>
        <v>27000</v>
      </c>
      <c r="N4499" s="753">
        <v>6</v>
      </c>
      <c r="O4499" s="760">
        <v>6</v>
      </c>
      <c r="P4499" s="736">
        <f t="shared" si="8"/>
        <v>13500</v>
      </c>
      <c r="Q4499" s="214"/>
    </row>
    <row r="4500" spans="1:17" ht="12" customHeight="1" x14ac:dyDescent="0.2">
      <c r="A4500" s="646" t="s">
        <v>10266</v>
      </c>
      <c r="B4500" s="646" t="s">
        <v>11337</v>
      </c>
      <c r="C4500" s="646" t="s">
        <v>451</v>
      </c>
      <c r="D4500" s="636" t="s">
        <v>11505</v>
      </c>
      <c r="E4500" s="759">
        <v>6203.17</v>
      </c>
      <c r="F4500" s="638" t="s">
        <v>11506</v>
      </c>
      <c r="G4500" s="644" t="s">
        <v>11507</v>
      </c>
      <c r="H4500" s="636" t="s">
        <v>3070</v>
      </c>
      <c r="I4500" s="636" t="s">
        <v>11336</v>
      </c>
      <c r="J4500" s="635" t="s">
        <v>11336</v>
      </c>
      <c r="K4500" s="760">
        <v>12</v>
      </c>
      <c r="L4500" s="760">
        <v>12</v>
      </c>
      <c r="M4500" s="736">
        <f t="shared" si="7"/>
        <v>74438.040000000008</v>
      </c>
      <c r="N4500" s="753">
        <v>6</v>
      </c>
      <c r="O4500" s="760">
        <v>6</v>
      </c>
      <c r="P4500" s="736">
        <f t="shared" si="8"/>
        <v>37219.020000000004</v>
      </c>
      <c r="Q4500" s="214"/>
    </row>
    <row r="4501" spans="1:17" ht="12" customHeight="1" x14ac:dyDescent="0.2">
      <c r="A4501" s="646" t="s">
        <v>10266</v>
      </c>
      <c r="B4501" s="646" t="s">
        <v>11337</v>
      </c>
      <c r="C4501" s="646" t="s">
        <v>451</v>
      </c>
      <c r="D4501" s="636" t="s">
        <v>11508</v>
      </c>
      <c r="E4501" s="759">
        <v>3609.9</v>
      </c>
      <c r="F4501" s="638" t="s">
        <v>11509</v>
      </c>
      <c r="G4501" s="644" t="s">
        <v>11510</v>
      </c>
      <c r="H4501" s="636" t="s">
        <v>11511</v>
      </c>
      <c r="I4501" s="636" t="s">
        <v>11384</v>
      </c>
      <c r="J4501" s="635" t="s">
        <v>11384</v>
      </c>
      <c r="K4501" s="760">
        <v>12</v>
      </c>
      <c r="L4501" s="760">
        <v>12</v>
      </c>
      <c r="M4501" s="736">
        <f t="shared" si="7"/>
        <v>43318.8</v>
      </c>
      <c r="N4501" s="753">
        <v>6</v>
      </c>
      <c r="O4501" s="760">
        <v>6</v>
      </c>
      <c r="P4501" s="736">
        <f t="shared" si="8"/>
        <v>21659.4</v>
      </c>
      <c r="Q4501" s="214"/>
    </row>
    <row r="4502" spans="1:17" ht="12" customHeight="1" x14ac:dyDescent="0.2">
      <c r="A4502" s="646" t="s">
        <v>10266</v>
      </c>
      <c r="B4502" s="646" t="s">
        <v>11337</v>
      </c>
      <c r="C4502" s="646" t="s">
        <v>451</v>
      </c>
      <c r="D4502" s="636" t="s">
        <v>11512</v>
      </c>
      <c r="E4502" s="759">
        <v>2600</v>
      </c>
      <c r="F4502" s="638" t="s">
        <v>11513</v>
      </c>
      <c r="G4502" s="644" t="s">
        <v>11514</v>
      </c>
      <c r="H4502" s="636" t="s">
        <v>11515</v>
      </c>
      <c r="I4502" s="636" t="s">
        <v>11384</v>
      </c>
      <c r="J4502" s="635" t="s">
        <v>11384</v>
      </c>
      <c r="K4502" s="760">
        <v>12</v>
      </c>
      <c r="L4502" s="760">
        <v>12</v>
      </c>
      <c r="M4502" s="736">
        <f t="shared" si="7"/>
        <v>31200</v>
      </c>
      <c r="N4502" s="753">
        <v>6</v>
      </c>
      <c r="O4502" s="760">
        <v>6</v>
      </c>
      <c r="P4502" s="736">
        <f t="shared" si="8"/>
        <v>15600</v>
      </c>
      <c r="Q4502" s="214"/>
    </row>
    <row r="4503" spans="1:17" ht="12" customHeight="1" x14ac:dyDescent="0.2">
      <c r="A4503" s="646" t="s">
        <v>10266</v>
      </c>
      <c r="B4503" s="646" t="s">
        <v>11337</v>
      </c>
      <c r="C4503" s="646" t="s">
        <v>451</v>
      </c>
      <c r="D4503" s="636" t="s">
        <v>11512</v>
      </c>
      <c r="E4503" s="759">
        <v>2600</v>
      </c>
      <c r="F4503" s="638" t="s">
        <v>11516</v>
      </c>
      <c r="G4503" s="644" t="s">
        <v>11517</v>
      </c>
      <c r="H4503" s="636" t="s">
        <v>11518</v>
      </c>
      <c r="I4503" s="636" t="s">
        <v>5515</v>
      </c>
      <c r="J4503" s="635" t="s">
        <v>5515</v>
      </c>
      <c r="K4503" s="760">
        <v>12</v>
      </c>
      <c r="L4503" s="760">
        <v>12</v>
      </c>
      <c r="M4503" s="736">
        <f t="shared" si="7"/>
        <v>31200</v>
      </c>
      <c r="N4503" s="753">
        <v>6</v>
      </c>
      <c r="O4503" s="760">
        <v>6</v>
      </c>
      <c r="P4503" s="736">
        <f t="shared" si="8"/>
        <v>15600</v>
      </c>
      <c r="Q4503" s="214"/>
    </row>
    <row r="4504" spans="1:17" ht="12" customHeight="1" x14ac:dyDescent="0.2">
      <c r="A4504" s="646" t="s">
        <v>10266</v>
      </c>
      <c r="B4504" s="646" t="s">
        <v>11337</v>
      </c>
      <c r="C4504" s="646" t="s">
        <v>451</v>
      </c>
      <c r="D4504" s="636" t="s">
        <v>11512</v>
      </c>
      <c r="E4504" s="759">
        <v>2600</v>
      </c>
      <c r="F4504" s="638" t="s">
        <v>11519</v>
      </c>
      <c r="G4504" s="644" t="s">
        <v>11520</v>
      </c>
      <c r="H4504" s="636" t="s">
        <v>11521</v>
      </c>
      <c r="I4504" s="636" t="s">
        <v>11384</v>
      </c>
      <c r="J4504" s="635" t="s">
        <v>11384</v>
      </c>
      <c r="K4504" s="760">
        <v>12</v>
      </c>
      <c r="L4504" s="760">
        <v>12</v>
      </c>
      <c r="M4504" s="736">
        <f t="shared" si="7"/>
        <v>31200</v>
      </c>
      <c r="N4504" s="753">
        <v>6</v>
      </c>
      <c r="O4504" s="760">
        <v>6</v>
      </c>
      <c r="P4504" s="736">
        <f t="shared" si="8"/>
        <v>15600</v>
      </c>
      <c r="Q4504" s="214"/>
    </row>
    <row r="4505" spans="1:17" ht="12" customHeight="1" x14ac:dyDescent="0.2">
      <c r="A4505" s="646" t="s">
        <v>10266</v>
      </c>
      <c r="B4505" s="646" t="s">
        <v>11337</v>
      </c>
      <c r="C4505" s="646" t="s">
        <v>451</v>
      </c>
      <c r="D4505" s="636" t="s">
        <v>11522</v>
      </c>
      <c r="E4505" s="759">
        <v>12000</v>
      </c>
      <c r="F4505" s="638" t="s">
        <v>11523</v>
      </c>
      <c r="G4505" s="644" t="s">
        <v>11524</v>
      </c>
      <c r="H4505" s="636" t="s">
        <v>2317</v>
      </c>
      <c r="I4505" s="636" t="s">
        <v>11336</v>
      </c>
      <c r="J4505" s="635" t="s">
        <v>11336</v>
      </c>
      <c r="K4505" s="760">
        <v>12</v>
      </c>
      <c r="L4505" s="760">
        <v>12</v>
      </c>
      <c r="M4505" s="736">
        <f t="shared" si="7"/>
        <v>144000</v>
      </c>
      <c r="N4505" s="753">
        <v>6</v>
      </c>
      <c r="O4505" s="760">
        <v>6</v>
      </c>
      <c r="P4505" s="736">
        <f t="shared" si="8"/>
        <v>72000</v>
      </c>
      <c r="Q4505" s="214"/>
    </row>
    <row r="4506" spans="1:17" ht="12" customHeight="1" x14ac:dyDescent="0.2">
      <c r="A4506" s="646" t="s">
        <v>10266</v>
      </c>
      <c r="B4506" s="646" t="s">
        <v>11337</v>
      </c>
      <c r="C4506" s="646" t="s">
        <v>451</v>
      </c>
      <c r="D4506" s="636" t="s">
        <v>11525</v>
      </c>
      <c r="E4506" s="759">
        <v>3609.9</v>
      </c>
      <c r="F4506" s="638" t="s">
        <v>11526</v>
      </c>
      <c r="G4506" s="644" t="s">
        <v>11527</v>
      </c>
      <c r="H4506" s="636" t="s">
        <v>2317</v>
      </c>
      <c r="I4506" s="636" t="s">
        <v>11336</v>
      </c>
      <c r="J4506" s="635" t="s">
        <v>11336</v>
      </c>
      <c r="K4506" s="760">
        <v>12</v>
      </c>
      <c r="L4506" s="760">
        <v>12</v>
      </c>
      <c r="M4506" s="736">
        <f t="shared" si="7"/>
        <v>43318.8</v>
      </c>
      <c r="N4506" s="753">
        <v>6</v>
      </c>
      <c r="O4506" s="760">
        <v>6</v>
      </c>
      <c r="P4506" s="736">
        <f t="shared" si="8"/>
        <v>21659.4</v>
      </c>
      <c r="Q4506" s="214"/>
    </row>
    <row r="4507" spans="1:17" ht="12" customHeight="1" x14ac:dyDescent="0.2">
      <c r="A4507" s="646" t="s">
        <v>10266</v>
      </c>
      <c r="B4507" s="646" t="s">
        <v>11337</v>
      </c>
      <c r="C4507" s="646" t="s">
        <v>451</v>
      </c>
      <c r="D4507" s="636" t="s">
        <v>11528</v>
      </c>
      <c r="E4507" s="759">
        <v>6203.17</v>
      </c>
      <c r="F4507" s="638" t="s">
        <v>11529</v>
      </c>
      <c r="G4507" s="644" t="s">
        <v>11530</v>
      </c>
      <c r="H4507" s="636" t="s">
        <v>11531</v>
      </c>
      <c r="I4507" s="636" t="s">
        <v>11336</v>
      </c>
      <c r="J4507" s="635" t="s">
        <v>11336</v>
      </c>
      <c r="K4507" s="760">
        <v>12</v>
      </c>
      <c r="L4507" s="760">
        <v>12</v>
      </c>
      <c r="M4507" s="736">
        <f t="shared" si="7"/>
        <v>74438.040000000008</v>
      </c>
      <c r="N4507" s="753">
        <v>6</v>
      </c>
      <c r="O4507" s="760">
        <v>6</v>
      </c>
      <c r="P4507" s="736">
        <f t="shared" si="8"/>
        <v>37219.020000000004</v>
      </c>
      <c r="Q4507" s="214"/>
    </row>
    <row r="4508" spans="1:17" ht="12" customHeight="1" x14ac:dyDescent="0.2">
      <c r="A4508" s="646" t="s">
        <v>10266</v>
      </c>
      <c r="B4508" s="646" t="s">
        <v>11337</v>
      </c>
      <c r="C4508" s="646" t="s">
        <v>451</v>
      </c>
      <c r="D4508" s="636" t="s">
        <v>11525</v>
      </c>
      <c r="E4508" s="759">
        <v>3609.9</v>
      </c>
      <c r="F4508" s="638" t="s">
        <v>11532</v>
      </c>
      <c r="G4508" s="644" t="s">
        <v>11533</v>
      </c>
      <c r="H4508" s="636" t="s">
        <v>11534</v>
      </c>
      <c r="I4508" s="636" t="s">
        <v>11336</v>
      </c>
      <c r="J4508" s="635" t="s">
        <v>11336</v>
      </c>
      <c r="K4508" s="760">
        <v>12</v>
      </c>
      <c r="L4508" s="760">
        <v>12</v>
      </c>
      <c r="M4508" s="736">
        <f t="shared" si="7"/>
        <v>43318.8</v>
      </c>
      <c r="N4508" s="753">
        <v>6</v>
      </c>
      <c r="O4508" s="760">
        <v>6</v>
      </c>
      <c r="P4508" s="736">
        <f t="shared" si="8"/>
        <v>21659.4</v>
      </c>
      <c r="Q4508" s="214"/>
    </row>
    <row r="4509" spans="1:17" ht="12" customHeight="1" x14ac:dyDescent="0.2">
      <c r="A4509" s="646" t="s">
        <v>10266</v>
      </c>
      <c r="B4509" s="646" t="s">
        <v>11337</v>
      </c>
      <c r="C4509" s="646" t="s">
        <v>451</v>
      </c>
      <c r="D4509" s="636" t="s">
        <v>11535</v>
      </c>
      <c r="E4509" s="759">
        <v>6203.17</v>
      </c>
      <c r="F4509" s="638">
        <v>46448467</v>
      </c>
      <c r="G4509" s="644" t="s">
        <v>11536</v>
      </c>
      <c r="H4509" s="636" t="s">
        <v>2317</v>
      </c>
      <c r="I4509" s="636" t="s">
        <v>11336</v>
      </c>
      <c r="J4509" s="635" t="s">
        <v>11336</v>
      </c>
      <c r="K4509" s="760">
        <v>12</v>
      </c>
      <c r="L4509" s="760">
        <v>12</v>
      </c>
      <c r="M4509" s="736">
        <f t="shared" si="7"/>
        <v>74438.040000000008</v>
      </c>
      <c r="N4509" s="753">
        <v>6</v>
      </c>
      <c r="O4509" s="760">
        <v>6</v>
      </c>
      <c r="P4509" s="736">
        <f t="shared" si="8"/>
        <v>37219.020000000004</v>
      </c>
      <c r="Q4509" s="214"/>
    </row>
    <row r="4510" spans="1:17" ht="12" customHeight="1" x14ac:dyDescent="0.2">
      <c r="A4510" s="646" t="s">
        <v>10266</v>
      </c>
      <c r="B4510" s="646" t="s">
        <v>11337</v>
      </c>
      <c r="C4510" s="646" t="s">
        <v>451</v>
      </c>
      <c r="D4510" s="636" t="s">
        <v>11537</v>
      </c>
      <c r="E4510" s="759">
        <v>3609.9</v>
      </c>
      <c r="F4510" s="638" t="s">
        <v>11538</v>
      </c>
      <c r="G4510" s="644" t="s">
        <v>11539</v>
      </c>
      <c r="H4510" s="636" t="s">
        <v>11540</v>
      </c>
      <c r="I4510" s="636" t="s">
        <v>11349</v>
      </c>
      <c r="J4510" s="635" t="s">
        <v>11349</v>
      </c>
      <c r="K4510" s="760">
        <v>12</v>
      </c>
      <c r="L4510" s="760">
        <v>12</v>
      </c>
      <c r="M4510" s="736">
        <f t="shared" si="7"/>
        <v>43318.8</v>
      </c>
      <c r="N4510" s="753">
        <v>6</v>
      </c>
      <c r="O4510" s="760">
        <v>6</v>
      </c>
      <c r="P4510" s="736">
        <f t="shared" si="8"/>
        <v>21659.4</v>
      </c>
      <c r="Q4510" s="214"/>
    </row>
    <row r="4511" spans="1:17" ht="12" customHeight="1" x14ac:dyDescent="0.2">
      <c r="A4511" s="646" t="s">
        <v>10266</v>
      </c>
      <c r="B4511" s="646" t="s">
        <v>11337</v>
      </c>
      <c r="C4511" s="646" t="s">
        <v>451</v>
      </c>
      <c r="D4511" s="636" t="s">
        <v>5507</v>
      </c>
      <c r="E4511" s="759">
        <v>4500</v>
      </c>
      <c r="F4511" s="638" t="s">
        <v>11541</v>
      </c>
      <c r="G4511" s="644" t="s">
        <v>11542</v>
      </c>
      <c r="H4511" s="636" t="s">
        <v>2317</v>
      </c>
      <c r="I4511" s="636" t="s">
        <v>11336</v>
      </c>
      <c r="J4511" s="635" t="s">
        <v>11336</v>
      </c>
      <c r="K4511" s="760">
        <v>12</v>
      </c>
      <c r="L4511" s="760">
        <v>12</v>
      </c>
      <c r="M4511" s="736">
        <f t="shared" si="7"/>
        <v>54000</v>
      </c>
      <c r="N4511" s="753"/>
      <c r="O4511" s="760"/>
      <c r="P4511" s="736">
        <f t="shared" si="8"/>
        <v>0</v>
      </c>
      <c r="Q4511" s="214"/>
    </row>
    <row r="4512" spans="1:17" ht="12" customHeight="1" x14ac:dyDescent="0.2">
      <c r="A4512" s="646" t="s">
        <v>10266</v>
      </c>
      <c r="B4512" s="646" t="s">
        <v>11337</v>
      </c>
      <c r="C4512" s="646" t="s">
        <v>451</v>
      </c>
      <c r="D4512" s="636" t="s">
        <v>11543</v>
      </c>
      <c r="E4512" s="759">
        <v>12000</v>
      </c>
      <c r="F4512" s="638" t="s">
        <v>11544</v>
      </c>
      <c r="G4512" s="644" t="s">
        <v>11545</v>
      </c>
      <c r="H4512" s="636" t="s">
        <v>3843</v>
      </c>
      <c r="I4512" s="636" t="s">
        <v>11336</v>
      </c>
      <c r="J4512" s="635" t="s">
        <v>11336</v>
      </c>
      <c r="K4512" s="760">
        <v>12</v>
      </c>
      <c r="L4512" s="760">
        <v>12</v>
      </c>
      <c r="M4512" s="736">
        <f t="shared" si="7"/>
        <v>144000</v>
      </c>
      <c r="N4512" s="753"/>
      <c r="O4512" s="760"/>
      <c r="P4512" s="736">
        <f t="shared" si="8"/>
        <v>0</v>
      </c>
      <c r="Q4512" s="214"/>
    </row>
    <row r="4513" spans="1:17" ht="12" customHeight="1" x14ac:dyDescent="0.2">
      <c r="A4513" s="646" t="s">
        <v>10266</v>
      </c>
      <c r="B4513" s="646" t="s">
        <v>11337</v>
      </c>
      <c r="C4513" s="646" t="s">
        <v>451</v>
      </c>
      <c r="D4513" s="636" t="s">
        <v>11546</v>
      </c>
      <c r="E4513" s="759">
        <v>3609.9</v>
      </c>
      <c r="F4513" s="638" t="s">
        <v>11547</v>
      </c>
      <c r="G4513" s="644" t="s">
        <v>11548</v>
      </c>
      <c r="H4513" s="636" t="s">
        <v>11549</v>
      </c>
      <c r="I4513" s="636" t="s">
        <v>11336</v>
      </c>
      <c r="J4513" s="635" t="s">
        <v>11336</v>
      </c>
      <c r="K4513" s="760">
        <v>12</v>
      </c>
      <c r="L4513" s="760">
        <v>12</v>
      </c>
      <c r="M4513" s="736">
        <f t="shared" si="7"/>
        <v>43318.8</v>
      </c>
      <c r="N4513" s="753">
        <v>6</v>
      </c>
      <c r="O4513" s="760">
        <v>6</v>
      </c>
      <c r="P4513" s="736">
        <f t="shared" si="8"/>
        <v>21659.4</v>
      </c>
      <c r="Q4513" s="214"/>
    </row>
    <row r="4514" spans="1:17" ht="12" customHeight="1" x14ac:dyDescent="0.2">
      <c r="A4514" s="646" t="s">
        <v>10266</v>
      </c>
      <c r="B4514" s="646" t="s">
        <v>11337</v>
      </c>
      <c r="C4514" s="646" t="s">
        <v>451</v>
      </c>
      <c r="D4514" s="636" t="s">
        <v>7822</v>
      </c>
      <c r="E4514" s="759">
        <v>3150</v>
      </c>
      <c r="F4514" s="638" t="s">
        <v>11550</v>
      </c>
      <c r="G4514" s="644" t="s">
        <v>11551</v>
      </c>
      <c r="H4514" s="636" t="s">
        <v>11552</v>
      </c>
      <c r="I4514" s="636" t="s">
        <v>11553</v>
      </c>
      <c r="J4514" s="635" t="s">
        <v>11553</v>
      </c>
      <c r="K4514" s="760">
        <v>12</v>
      </c>
      <c r="L4514" s="760">
        <v>12</v>
      </c>
      <c r="M4514" s="736">
        <f t="shared" si="7"/>
        <v>37800</v>
      </c>
      <c r="N4514" s="753">
        <v>6</v>
      </c>
      <c r="O4514" s="760">
        <v>6</v>
      </c>
      <c r="P4514" s="736">
        <f t="shared" si="8"/>
        <v>18900</v>
      </c>
      <c r="Q4514" s="214"/>
    </row>
    <row r="4515" spans="1:17" ht="12" customHeight="1" x14ac:dyDescent="0.2">
      <c r="A4515" s="646" t="s">
        <v>10266</v>
      </c>
      <c r="B4515" s="646" t="s">
        <v>11337</v>
      </c>
      <c r="C4515" s="646" t="s">
        <v>451</v>
      </c>
      <c r="D4515" s="636" t="s">
        <v>11554</v>
      </c>
      <c r="E4515" s="759">
        <v>6203.17</v>
      </c>
      <c r="F4515" s="638" t="s">
        <v>11555</v>
      </c>
      <c r="G4515" s="644" t="s">
        <v>11556</v>
      </c>
      <c r="H4515" s="636" t="s">
        <v>2317</v>
      </c>
      <c r="I4515" s="636" t="s">
        <v>11336</v>
      </c>
      <c r="J4515" s="635" t="s">
        <v>11336</v>
      </c>
      <c r="K4515" s="760">
        <v>12</v>
      </c>
      <c r="L4515" s="760">
        <v>12</v>
      </c>
      <c r="M4515" s="736">
        <f t="shared" si="7"/>
        <v>74438.040000000008</v>
      </c>
      <c r="N4515" s="753">
        <v>6</v>
      </c>
      <c r="O4515" s="760">
        <v>6</v>
      </c>
      <c r="P4515" s="736">
        <f t="shared" si="8"/>
        <v>37219.020000000004</v>
      </c>
      <c r="Q4515" s="214"/>
    </row>
    <row r="4516" spans="1:17" ht="12" customHeight="1" x14ac:dyDescent="0.2">
      <c r="A4516" s="646" t="s">
        <v>10266</v>
      </c>
      <c r="B4516" s="646" t="s">
        <v>11337</v>
      </c>
      <c r="C4516" s="646" t="s">
        <v>451</v>
      </c>
      <c r="D4516" s="636" t="s">
        <v>11557</v>
      </c>
      <c r="E4516" s="759">
        <v>3609.9</v>
      </c>
      <c r="F4516" s="638" t="s">
        <v>11558</v>
      </c>
      <c r="G4516" s="644" t="s">
        <v>11559</v>
      </c>
      <c r="H4516" s="636" t="s">
        <v>11560</v>
      </c>
      <c r="I4516" s="636" t="s">
        <v>11349</v>
      </c>
      <c r="J4516" s="635" t="s">
        <v>11349</v>
      </c>
      <c r="K4516" s="760">
        <v>12</v>
      </c>
      <c r="L4516" s="760">
        <v>12</v>
      </c>
      <c r="M4516" s="736">
        <f t="shared" si="7"/>
        <v>43318.8</v>
      </c>
      <c r="N4516" s="753"/>
      <c r="O4516" s="760"/>
      <c r="P4516" s="736">
        <f t="shared" si="8"/>
        <v>0</v>
      </c>
      <c r="Q4516" s="214"/>
    </row>
    <row r="4517" spans="1:17" ht="12" customHeight="1" x14ac:dyDescent="0.2">
      <c r="A4517" s="646" t="s">
        <v>10266</v>
      </c>
      <c r="B4517" s="646" t="s">
        <v>11337</v>
      </c>
      <c r="C4517" s="646" t="s">
        <v>451</v>
      </c>
      <c r="D4517" s="636" t="s">
        <v>11561</v>
      </c>
      <c r="E4517" s="759">
        <v>2250</v>
      </c>
      <c r="F4517" s="638" t="s">
        <v>11562</v>
      </c>
      <c r="G4517" s="644" t="s">
        <v>11563</v>
      </c>
      <c r="H4517" s="636" t="s">
        <v>11564</v>
      </c>
      <c r="I4517" s="636" t="s">
        <v>5515</v>
      </c>
      <c r="J4517" s="635" t="s">
        <v>5515</v>
      </c>
      <c r="K4517" s="760">
        <v>12</v>
      </c>
      <c r="L4517" s="760">
        <v>12</v>
      </c>
      <c r="M4517" s="736">
        <f t="shared" si="7"/>
        <v>27000</v>
      </c>
      <c r="N4517" s="753">
        <v>6</v>
      </c>
      <c r="O4517" s="760">
        <v>6</v>
      </c>
      <c r="P4517" s="736">
        <f t="shared" si="8"/>
        <v>13500</v>
      </c>
      <c r="Q4517" s="214"/>
    </row>
    <row r="4518" spans="1:17" ht="12" customHeight="1" x14ac:dyDescent="0.2">
      <c r="A4518" s="646" t="s">
        <v>10266</v>
      </c>
      <c r="B4518" s="646" t="s">
        <v>11337</v>
      </c>
      <c r="C4518" s="646" t="s">
        <v>451</v>
      </c>
      <c r="D4518" s="636" t="s">
        <v>11565</v>
      </c>
      <c r="E4518" s="759">
        <v>2250</v>
      </c>
      <c r="F4518" s="638" t="s">
        <v>11566</v>
      </c>
      <c r="G4518" s="644" t="s">
        <v>11567</v>
      </c>
      <c r="H4518" s="636" t="s">
        <v>2518</v>
      </c>
      <c r="I4518" s="636" t="s">
        <v>11490</v>
      </c>
      <c r="J4518" s="635" t="s">
        <v>11490</v>
      </c>
      <c r="K4518" s="760">
        <v>12</v>
      </c>
      <c r="L4518" s="760">
        <v>12</v>
      </c>
      <c r="M4518" s="736">
        <f t="shared" si="7"/>
        <v>27000</v>
      </c>
      <c r="N4518" s="753">
        <v>6</v>
      </c>
      <c r="O4518" s="760">
        <v>6</v>
      </c>
      <c r="P4518" s="736">
        <f t="shared" si="8"/>
        <v>13500</v>
      </c>
      <c r="Q4518" s="214"/>
    </row>
    <row r="4519" spans="1:17" ht="12" customHeight="1" x14ac:dyDescent="0.2">
      <c r="A4519" s="646" t="s">
        <v>10266</v>
      </c>
      <c r="B4519" s="646" t="s">
        <v>11337</v>
      </c>
      <c r="C4519" s="646" t="s">
        <v>451</v>
      </c>
      <c r="D4519" s="636" t="s">
        <v>11568</v>
      </c>
      <c r="E4519" s="759">
        <v>2250</v>
      </c>
      <c r="F4519" s="638" t="s">
        <v>11569</v>
      </c>
      <c r="G4519" s="644" t="s">
        <v>11570</v>
      </c>
      <c r="H4519" s="636" t="s">
        <v>2504</v>
      </c>
      <c r="I4519" s="636" t="s">
        <v>11571</v>
      </c>
      <c r="J4519" s="635" t="s">
        <v>11571</v>
      </c>
      <c r="K4519" s="760">
        <v>12</v>
      </c>
      <c r="L4519" s="760">
        <v>12</v>
      </c>
      <c r="M4519" s="736">
        <f t="shared" si="7"/>
        <v>27000</v>
      </c>
      <c r="N4519" s="753">
        <v>6</v>
      </c>
      <c r="O4519" s="760">
        <v>6</v>
      </c>
      <c r="P4519" s="736">
        <f t="shared" si="8"/>
        <v>13500</v>
      </c>
      <c r="Q4519" s="214"/>
    </row>
    <row r="4520" spans="1:17" ht="12" customHeight="1" x14ac:dyDescent="0.2">
      <c r="A4520" s="646" t="s">
        <v>10266</v>
      </c>
      <c r="B4520" s="646" t="s">
        <v>11337</v>
      </c>
      <c r="C4520" s="646" t="s">
        <v>451</v>
      </c>
      <c r="D4520" s="636" t="s">
        <v>11568</v>
      </c>
      <c r="E4520" s="759">
        <v>2250</v>
      </c>
      <c r="F4520" s="638" t="s">
        <v>11572</v>
      </c>
      <c r="G4520" s="644" t="s">
        <v>11573</v>
      </c>
      <c r="H4520" s="636" t="s">
        <v>11483</v>
      </c>
      <c r="I4520" s="636" t="s">
        <v>11484</v>
      </c>
      <c r="J4520" s="635" t="s">
        <v>11484</v>
      </c>
      <c r="K4520" s="760">
        <v>12</v>
      </c>
      <c r="L4520" s="760">
        <v>12</v>
      </c>
      <c r="M4520" s="736">
        <f t="shared" si="7"/>
        <v>27000</v>
      </c>
      <c r="N4520" s="753">
        <v>6</v>
      </c>
      <c r="O4520" s="760">
        <v>6</v>
      </c>
      <c r="P4520" s="736">
        <f t="shared" si="8"/>
        <v>13500</v>
      </c>
      <c r="Q4520" s="214"/>
    </row>
    <row r="4521" spans="1:17" ht="12" customHeight="1" x14ac:dyDescent="0.2">
      <c r="A4521" s="646" t="s">
        <v>10266</v>
      </c>
      <c r="B4521" s="646" t="s">
        <v>11337</v>
      </c>
      <c r="C4521" s="646" t="s">
        <v>451</v>
      </c>
      <c r="D4521" s="636" t="s">
        <v>11574</v>
      </c>
      <c r="E4521" s="759">
        <v>2250</v>
      </c>
      <c r="F4521" s="638" t="s">
        <v>11575</v>
      </c>
      <c r="G4521" s="644" t="s">
        <v>11576</v>
      </c>
      <c r="H4521" s="636" t="s">
        <v>2253</v>
      </c>
      <c r="I4521" s="636" t="s">
        <v>11384</v>
      </c>
      <c r="J4521" s="635" t="s">
        <v>11384</v>
      </c>
      <c r="K4521" s="760">
        <v>12</v>
      </c>
      <c r="L4521" s="760">
        <v>12</v>
      </c>
      <c r="M4521" s="736">
        <f t="shared" si="7"/>
        <v>27000</v>
      </c>
      <c r="N4521" s="753">
        <v>6</v>
      </c>
      <c r="O4521" s="760">
        <v>6</v>
      </c>
      <c r="P4521" s="736">
        <f t="shared" si="8"/>
        <v>13500</v>
      </c>
      <c r="Q4521" s="214"/>
    </row>
    <row r="4522" spans="1:17" ht="12" customHeight="1" x14ac:dyDescent="0.2">
      <c r="A4522" s="646" t="s">
        <v>10266</v>
      </c>
      <c r="B4522" s="646" t="s">
        <v>11337</v>
      </c>
      <c r="C4522" s="646" t="s">
        <v>451</v>
      </c>
      <c r="D4522" s="636" t="s">
        <v>11568</v>
      </c>
      <c r="E4522" s="759">
        <v>2250</v>
      </c>
      <c r="F4522" s="638" t="s">
        <v>11577</v>
      </c>
      <c r="G4522" s="644" t="s">
        <v>11578</v>
      </c>
      <c r="H4522" s="636" t="s">
        <v>11483</v>
      </c>
      <c r="I4522" s="636" t="s">
        <v>11484</v>
      </c>
      <c r="J4522" s="635" t="s">
        <v>11484</v>
      </c>
      <c r="K4522" s="760">
        <v>12</v>
      </c>
      <c r="L4522" s="760">
        <v>12</v>
      </c>
      <c r="M4522" s="736">
        <f t="shared" si="7"/>
        <v>27000</v>
      </c>
      <c r="N4522" s="753">
        <v>6</v>
      </c>
      <c r="O4522" s="760">
        <v>6</v>
      </c>
      <c r="P4522" s="736">
        <f t="shared" si="8"/>
        <v>13500</v>
      </c>
      <c r="Q4522" s="214"/>
    </row>
    <row r="4523" spans="1:17" ht="12" customHeight="1" x14ac:dyDescent="0.2">
      <c r="A4523" s="646" t="s">
        <v>10266</v>
      </c>
      <c r="B4523" s="646" t="s">
        <v>11337</v>
      </c>
      <c r="C4523" s="646" t="s">
        <v>451</v>
      </c>
      <c r="D4523" s="636" t="s">
        <v>11579</v>
      </c>
      <c r="E4523" s="759">
        <v>2250</v>
      </c>
      <c r="F4523" s="638" t="s">
        <v>11580</v>
      </c>
      <c r="G4523" s="644" t="s">
        <v>11581</v>
      </c>
      <c r="H4523" s="636" t="s">
        <v>2253</v>
      </c>
      <c r="I4523" s="636" t="s">
        <v>11384</v>
      </c>
      <c r="J4523" s="635" t="s">
        <v>11384</v>
      </c>
      <c r="K4523" s="760">
        <v>12</v>
      </c>
      <c r="L4523" s="760">
        <v>12</v>
      </c>
      <c r="M4523" s="736">
        <f t="shared" si="7"/>
        <v>27000</v>
      </c>
      <c r="N4523" s="753">
        <v>6</v>
      </c>
      <c r="O4523" s="760">
        <v>6</v>
      </c>
      <c r="P4523" s="736">
        <f t="shared" si="8"/>
        <v>13500</v>
      </c>
      <c r="Q4523" s="214"/>
    </row>
    <row r="4524" spans="1:17" ht="12" customHeight="1" x14ac:dyDescent="0.2">
      <c r="A4524" s="646" t="s">
        <v>10266</v>
      </c>
      <c r="B4524" s="646" t="s">
        <v>11337</v>
      </c>
      <c r="C4524" s="646" t="s">
        <v>451</v>
      </c>
      <c r="D4524" s="636" t="s">
        <v>11579</v>
      </c>
      <c r="E4524" s="759">
        <v>2250</v>
      </c>
      <c r="F4524" s="638" t="s">
        <v>11582</v>
      </c>
      <c r="G4524" s="644" t="s">
        <v>11583</v>
      </c>
      <c r="H4524" s="636" t="s">
        <v>3754</v>
      </c>
      <c r="I4524" s="636" t="s">
        <v>5515</v>
      </c>
      <c r="J4524" s="635" t="s">
        <v>5515</v>
      </c>
      <c r="K4524" s="760">
        <v>12</v>
      </c>
      <c r="L4524" s="760">
        <v>12</v>
      </c>
      <c r="M4524" s="736">
        <f t="shared" si="7"/>
        <v>27000</v>
      </c>
      <c r="N4524" s="753">
        <v>6</v>
      </c>
      <c r="O4524" s="760">
        <v>6</v>
      </c>
      <c r="P4524" s="736">
        <f t="shared" si="8"/>
        <v>13500</v>
      </c>
      <c r="Q4524" s="214"/>
    </row>
    <row r="4525" spans="1:17" ht="12" customHeight="1" x14ac:dyDescent="0.2">
      <c r="A4525" s="646" t="s">
        <v>10266</v>
      </c>
      <c r="B4525" s="646" t="s">
        <v>11337</v>
      </c>
      <c r="C4525" s="646" t="s">
        <v>451</v>
      </c>
      <c r="D4525" s="636" t="s">
        <v>11579</v>
      </c>
      <c r="E4525" s="759">
        <v>2250</v>
      </c>
      <c r="F4525" s="638" t="s">
        <v>11584</v>
      </c>
      <c r="G4525" s="644" t="s">
        <v>11585</v>
      </c>
      <c r="H4525" s="636" t="s">
        <v>2504</v>
      </c>
      <c r="I4525" s="636" t="s">
        <v>11571</v>
      </c>
      <c r="J4525" s="635" t="s">
        <v>11571</v>
      </c>
      <c r="K4525" s="760">
        <v>12</v>
      </c>
      <c r="L4525" s="760">
        <v>12</v>
      </c>
      <c r="M4525" s="736">
        <f t="shared" si="7"/>
        <v>27000</v>
      </c>
      <c r="N4525" s="753">
        <v>6</v>
      </c>
      <c r="O4525" s="760">
        <v>6</v>
      </c>
      <c r="P4525" s="736">
        <f t="shared" si="8"/>
        <v>13500</v>
      </c>
      <c r="Q4525" s="214"/>
    </row>
    <row r="4526" spans="1:17" ht="12" customHeight="1" x14ac:dyDescent="0.2">
      <c r="A4526" s="646" t="s">
        <v>10266</v>
      </c>
      <c r="B4526" s="646" t="s">
        <v>11337</v>
      </c>
      <c r="C4526" s="646" t="s">
        <v>451</v>
      </c>
      <c r="D4526" s="636" t="s">
        <v>11579</v>
      </c>
      <c r="E4526" s="759">
        <v>2250</v>
      </c>
      <c r="F4526" s="638" t="s">
        <v>11586</v>
      </c>
      <c r="G4526" s="644" t="s">
        <v>11587</v>
      </c>
      <c r="H4526" s="636" t="s">
        <v>11588</v>
      </c>
      <c r="I4526" s="636" t="s">
        <v>5515</v>
      </c>
      <c r="J4526" s="635" t="s">
        <v>5515</v>
      </c>
      <c r="K4526" s="760">
        <v>12</v>
      </c>
      <c r="L4526" s="760">
        <v>12</v>
      </c>
      <c r="M4526" s="736">
        <f t="shared" si="7"/>
        <v>27000</v>
      </c>
      <c r="N4526" s="753">
        <v>6</v>
      </c>
      <c r="O4526" s="760">
        <v>6</v>
      </c>
      <c r="P4526" s="736">
        <f t="shared" si="8"/>
        <v>13500</v>
      </c>
      <c r="Q4526" s="214"/>
    </row>
    <row r="4527" spans="1:17" ht="12" customHeight="1" x14ac:dyDescent="0.2">
      <c r="A4527" s="646" t="s">
        <v>10266</v>
      </c>
      <c r="B4527" s="646" t="s">
        <v>11337</v>
      </c>
      <c r="C4527" s="646" t="s">
        <v>451</v>
      </c>
      <c r="D4527" s="636" t="s">
        <v>11589</v>
      </c>
      <c r="E4527" s="759">
        <v>6203.17</v>
      </c>
      <c r="F4527" s="638" t="s">
        <v>11590</v>
      </c>
      <c r="G4527" s="644" t="s">
        <v>11591</v>
      </c>
      <c r="H4527" s="636" t="s">
        <v>2317</v>
      </c>
      <c r="I4527" s="636" t="s">
        <v>11336</v>
      </c>
      <c r="J4527" s="635" t="s">
        <v>11336</v>
      </c>
      <c r="K4527" s="760">
        <v>12</v>
      </c>
      <c r="L4527" s="760">
        <v>12</v>
      </c>
      <c r="M4527" s="736">
        <f t="shared" si="7"/>
        <v>74438.040000000008</v>
      </c>
      <c r="N4527" s="753"/>
      <c r="O4527" s="760"/>
      <c r="P4527" s="736">
        <f t="shared" si="8"/>
        <v>0</v>
      </c>
      <c r="Q4527" s="214"/>
    </row>
    <row r="4528" spans="1:17" ht="12" customHeight="1" x14ac:dyDescent="0.2">
      <c r="A4528" s="646" t="s">
        <v>10266</v>
      </c>
      <c r="B4528" s="646" t="s">
        <v>11337</v>
      </c>
      <c r="C4528" s="646" t="s">
        <v>451</v>
      </c>
      <c r="D4528" s="636" t="s">
        <v>11390</v>
      </c>
      <c r="E4528" s="759">
        <v>2400</v>
      </c>
      <c r="F4528" s="638" t="s">
        <v>11592</v>
      </c>
      <c r="G4528" s="644" t="s">
        <v>11593</v>
      </c>
      <c r="H4528" s="636" t="s">
        <v>11594</v>
      </c>
      <c r="I4528" s="636" t="s">
        <v>11595</v>
      </c>
      <c r="J4528" s="635" t="s">
        <v>11595</v>
      </c>
      <c r="K4528" s="760">
        <v>12</v>
      </c>
      <c r="L4528" s="760">
        <v>12</v>
      </c>
      <c r="M4528" s="736">
        <f t="shared" si="7"/>
        <v>28800</v>
      </c>
      <c r="N4528" s="753">
        <v>6</v>
      </c>
      <c r="O4528" s="760">
        <v>6</v>
      </c>
      <c r="P4528" s="736">
        <f t="shared" si="8"/>
        <v>14400</v>
      </c>
      <c r="Q4528" s="214"/>
    </row>
    <row r="4529" spans="1:17" ht="12" customHeight="1" x14ac:dyDescent="0.2">
      <c r="A4529" s="646" t="s">
        <v>10266</v>
      </c>
      <c r="B4529" s="646" t="s">
        <v>11337</v>
      </c>
      <c r="C4529" s="646" t="s">
        <v>451</v>
      </c>
      <c r="D4529" s="636" t="s">
        <v>11390</v>
      </c>
      <c r="E4529" s="759">
        <v>2250</v>
      </c>
      <c r="F4529" s="638" t="s">
        <v>11596</v>
      </c>
      <c r="G4529" s="644" t="s">
        <v>11597</v>
      </c>
      <c r="H4529" s="636" t="s">
        <v>2253</v>
      </c>
      <c r="I4529" s="636" t="s">
        <v>11384</v>
      </c>
      <c r="J4529" s="635" t="s">
        <v>11384</v>
      </c>
      <c r="K4529" s="760">
        <v>12</v>
      </c>
      <c r="L4529" s="760">
        <v>12</v>
      </c>
      <c r="M4529" s="736">
        <f t="shared" si="7"/>
        <v>27000</v>
      </c>
      <c r="N4529" s="753">
        <v>6</v>
      </c>
      <c r="O4529" s="760">
        <v>6</v>
      </c>
      <c r="P4529" s="736">
        <f t="shared" si="8"/>
        <v>13500</v>
      </c>
      <c r="Q4529" s="214"/>
    </row>
    <row r="4530" spans="1:17" ht="12" customHeight="1" x14ac:dyDescent="0.2">
      <c r="A4530" s="646" t="s">
        <v>10266</v>
      </c>
      <c r="B4530" s="646" t="s">
        <v>11337</v>
      </c>
      <c r="C4530" s="646" t="s">
        <v>451</v>
      </c>
      <c r="D4530" s="636" t="s">
        <v>11598</v>
      </c>
      <c r="E4530" s="759">
        <v>2250</v>
      </c>
      <c r="F4530" s="638" t="s">
        <v>11599</v>
      </c>
      <c r="G4530" s="644" t="s">
        <v>11600</v>
      </c>
      <c r="H4530" s="636" t="s">
        <v>2253</v>
      </c>
      <c r="I4530" s="636" t="s">
        <v>11384</v>
      </c>
      <c r="J4530" s="635" t="s">
        <v>11384</v>
      </c>
      <c r="K4530" s="760">
        <v>12</v>
      </c>
      <c r="L4530" s="760">
        <v>12</v>
      </c>
      <c r="M4530" s="736">
        <f t="shared" si="7"/>
        <v>27000</v>
      </c>
      <c r="N4530" s="753">
        <v>6</v>
      </c>
      <c r="O4530" s="760">
        <v>6</v>
      </c>
      <c r="P4530" s="736">
        <f t="shared" si="8"/>
        <v>13500</v>
      </c>
      <c r="Q4530" s="214"/>
    </row>
    <row r="4531" spans="1:17" ht="12" customHeight="1" x14ac:dyDescent="0.2">
      <c r="A4531" s="646" t="s">
        <v>10266</v>
      </c>
      <c r="B4531" s="646" t="s">
        <v>11337</v>
      </c>
      <c r="C4531" s="646" t="s">
        <v>451</v>
      </c>
      <c r="D4531" s="636" t="s">
        <v>11601</v>
      </c>
      <c r="E4531" s="759">
        <v>2400</v>
      </c>
      <c r="F4531" s="638" t="s">
        <v>11602</v>
      </c>
      <c r="G4531" s="644" t="s">
        <v>11603</v>
      </c>
      <c r="H4531" s="636" t="s">
        <v>2253</v>
      </c>
      <c r="I4531" s="636" t="s">
        <v>11384</v>
      </c>
      <c r="J4531" s="635" t="s">
        <v>11384</v>
      </c>
      <c r="K4531" s="760">
        <v>12</v>
      </c>
      <c r="L4531" s="760">
        <v>12</v>
      </c>
      <c r="M4531" s="736">
        <f t="shared" si="7"/>
        <v>28800</v>
      </c>
      <c r="N4531" s="753">
        <v>6</v>
      </c>
      <c r="O4531" s="760">
        <v>6</v>
      </c>
      <c r="P4531" s="736">
        <f t="shared" si="8"/>
        <v>14400</v>
      </c>
      <c r="Q4531" s="214"/>
    </row>
    <row r="4532" spans="1:17" ht="12" customHeight="1" x14ac:dyDescent="0.2">
      <c r="A4532" s="646" t="s">
        <v>10266</v>
      </c>
      <c r="B4532" s="646" t="s">
        <v>11337</v>
      </c>
      <c r="C4532" s="646" t="s">
        <v>451</v>
      </c>
      <c r="D4532" s="636" t="s">
        <v>11601</v>
      </c>
      <c r="E4532" s="759">
        <v>2400</v>
      </c>
      <c r="F4532" s="638" t="s">
        <v>11604</v>
      </c>
      <c r="G4532" s="644" t="s">
        <v>11605</v>
      </c>
      <c r="H4532" s="636" t="s">
        <v>2504</v>
      </c>
      <c r="I4532" s="636" t="s">
        <v>11571</v>
      </c>
      <c r="J4532" s="635" t="s">
        <v>11571</v>
      </c>
      <c r="K4532" s="760">
        <v>12</v>
      </c>
      <c r="L4532" s="760">
        <v>12</v>
      </c>
      <c r="M4532" s="736">
        <f t="shared" si="7"/>
        <v>28800</v>
      </c>
      <c r="N4532" s="753">
        <v>6</v>
      </c>
      <c r="O4532" s="760">
        <v>6</v>
      </c>
      <c r="P4532" s="736">
        <f t="shared" si="8"/>
        <v>14400</v>
      </c>
      <c r="Q4532" s="214"/>
    </row>
    <row r="4533" spans="1:17" ht="12" customHeight="1" x14ac:dyDescent="0.2">
      <c r="A4533" s="646" t="s">
        <v>10266</v>
      </c>
      <c r="B4533" s="646" t="s">
        <v>11337</v>
      </c>
      <c r="C4533" s="646" t="s">
        <v>451</v>
      </c>
      <c r="D4533" s="636" t="s">
        <v>11601</v>
      </c>
      <c r="E4533" s="759">
        <v>2400</v>
      </c>
      <c r="F4533" s="638" t="s">
        <v>11606</v>
      </c>
      <c r="G4533" s="644" t="s">
        <v>11607</v>
      </c>
      <c r="H4533" s="636" t="s">
        <v>2504</v>
      </c>
      <c r="I4533" s="636" t="s">
        <v>11571</v>
      </c>
      <c r="J4533" s="635" t="s">
        <v>11571</v>
      </c>
      <c r="K4533" s="760">
        <v>12</v>
      </c>
      <c r="L4533" s="760">
        <v>12</v>
      </c>
      <c r="M4533" s="736">
        <f t="shared" si="7"/>
        <v>28800</v>
      </c>
      <c r="N4533" s="753">
        <v>6</v>
      </c>
      <c r="O4533" s="760">
        <v>6</v>
      </c>
      <c r="P4533" s="736">
        <f t="shared" si="8"/>
        <v>14400</v>
      </c>
      <c r="Q4533" s="214"/>
    </row>
    <row r="4534" spans="1:17" ht="12" customHeight="1" x14ac:dyDescent="0.2">
      <c r="A4534" s="646" t="s">
        <v>10266</v>
      </c>
      <c r="B4534" s="646" t="s">
        <v>11337</v>
      </c>
      <c r="C4534" s="646" t="s">
        <v>451</v>
      </c>
      <c r="D4534" s="636" t="s">
        <v>11608</v>
      </c>
      <c r="E4534" s="759">
        <v>2250</v>
      </c>
      <c r="F4534" s="638" t="s">
        <v>11609</v>
      </c>
      <c r="G4534" s="644" t="s">
        <v>11610</v>
      </c>
      <c r="H4534" s="636" t="s">
        <v>2253</v>
      </c>
      <c r="I4534" s="636" t="s">
        <v>11384</v>
      </c>
      <c r="J4534" s="635" t="s">
        <v>11384</v>
      </c>
      <c r="K4534" s="760">
        <v>12</v>
      </c>
      <c r="L4534" s="760">
        <v>12</v>
      </c>
      <c r="M4534" s="736">
        <f t="shared" si="7"/>
        <v>27000</v>
      </c>
      <c r="N4534" s="753">
        <v>6</v>
      </c>
      <c r="O4534" s="760">
        <v>6</v>
      </c>
      <c r="P4534" s="736">
        <f t="shared" si="8"/>
        <v>13500</v>
      </c>
      <c r="Q4534" s="214"/>
    </row>
    <row r="4535" spans="1:17" ht="12" customHeight="1" x14ac:dyDescent="0.2">
      <c r="A4535" s="646" t="s">
        <v>10266</v>
      </c>
      <c r="B4535" s="646" t="s">
        <v>11337</v>
      </c>
      <c r="C4535" s="646" t="s">
        <v>451</v>
      </c>
      <c r="D4535" s="636" t="s">
        <v>11608</v>
      </c>
      <c r="E4535" s="759">
        <v>2250</v>
      </c>
      <c r="F4535" s="638" t="s">
        <v>11611</v>
      </c>
      <c r="G4535" s="644" t="s">
        <v>11612</v>
      </c>
      <c r="H4535" s="636" t="s">
        <v>2518</v>
      </c>
      <c r="I4535" s="636" t="s">
        <v>11490</v>
      </c>
      <c r="J4535" s="635" t="s">
        <v>11490</v>
      </c>
      <c r="K4535" s="760">
        <v>12</v>
      </c>
      <c r="L4535" s="760">
        <v>12</v>
      </c>
      <c r="M4535" s="736">
        <f t="shared" si="7"/>
        <v>27000</v>
      </c>
      <c r="N4535" s="753">
        <v>6</v>
      </c>
      <c r="O4535" s="760">
        <v>6</v>
      </c>
      <c r="P4535" s="736">
        <f t="shared" si="8"/>
        <v>13500</v>
      </c>
      <c r="Q4535" s="214"/>
    </row>
    <row r="4536" spans="1:17" ht="12" customHeight="1" x14ac:dyDescent="0.2">
      <c r="A4536" s="646" t="s">
        <v>10266</v>
      </c>
      <c r="B4536" s="646" t="s">
        <v>11337</v>
      </c>
      <c r="C4536" s="646" t="s">
        <v>451</v>
      </c>
      <c r="D4536" s="636" t="s">
        <v>11608</v>
      </c>
      <c r="E4536" s="759">
        <v>2250</v>
      </c>
      <c r="F4536" s="638" t="s">
        <v>11613</v>
      </c>
      <c r="G4536" s="644" t="s">
        <v>11614</v>
      </c>
      <c r="H4536" s="636" t="s">
        <v>2518</v>
      </c>
      <c r="I4536" s="636" t="s">
        <v>11490</v>
      </c>
      <c r="J4536" s="635" t="s">
        <v>11490</v>
      </c>
      <c r="K4536" s="760">
        <v>12</v>
      </c>
      <c r="L4536" s="760">
        <v>12</v>
      </c>
      <c r="M4536" s="736">
        <f t="shared" si="7"/>
        <v>27000</v>
      </c>
      <c r="N4536" s="753">
        <v>6</v>
      </c>
      <c r="O4536" s="760">
        <v>6</v>
      </c>
      <c r="P4536" s="736">
        <f t="shared" si="8"/>
        <v>13500</v>
      </c>
      <c r="Q4536" s="214"/>
    </row>
    <row r="4537" spans="1:17" ht="12" customHeight="1" x14ac:dyDescent="0.2">
      <c r="A4537" s="646" t="s">
        <v>10266</v>
      </c>
      <c r="B4537" s="646" t="s">
        <v>11337</v>
      </c>
      <c r="C4537" s="646" t="s">
        <v>451</v>
      </c>
      <c r="D4537" s="636" t="s">
        <v>11608</v>
      </c>
      <c r="E4537" s="759">
        <v>2250</v>
      </c>
      <c r="F4537" s="638" t="s">
        <v>11615</v>
      </c>
      <c r="G4537" s="644" t="s">
        <v>11616</v>
      </c>
      <c r="H4537" s="636" t="s">
        <v>11483</v>
      </c>
      <c r="I4537" s="636" t="s">
        <v>11484</v>
      </c>
      <c r="J4537" s="635" t="s">
        <v>11484</v>
      </c>
      <c r="K4537" s="760">
        <v>12</v>
      </c>
      <c r="L4537" s="760">
        <v>12</v>
      </c>
      <c r="M4537" s="736">
        <f t="shared" si="7"/>
        <v>27000</v>
      </c>
      <c r="N4537" s="753">
        <v>6</v>
      </c>
      <c r="O4537" s="760">
        <v>6</v>
      </c>
      <c r="P4537" s="736">
        <f t="shared" si="8"/>
        <v>13500</v>
      </c>
      <c r="Q4537" s="214"/>
    </row>
    <row r="4538" spans="1:17" ht="12" customHeight="1" x14ac:dyDescent="0.2">
      <c r="A4538" s="646" t="s">
        <v>10266</v>
      </c>
      <c r="B4538" s="646" t="s">
        <v>11337</v>
      </c>
      <c r="C4538" s="646" t="s">
        <v>451</v>
      </c>
      <c r="D4538" s="636" t="s">
        <v>11608</v>
      </c>
      <c r="E4538" s="759">
        <v>2250</v>
      </c>
      <c r="F4538" s="638" t="s">
        <v>11617</v>
      </c>
      <c r="G4538" s="644" t="s">
        <v>11618</v>
      </c>
      <c r="H4538" s="636" t="s">
        <v>2518</v>
      </c>
      <c r="I4538" s="636" t="s">
        <v>11490</v>
      </c>
      <c r="J4538" s="635" t="s">
        <v>11490</v>
      </c>
      <c r="K4538" s="760">
        <v>12</v>
      </c>
      <c r="L4538" s="760">
        <v>12</v>
      </c>
      <c r="M4538" s="736">
        <f t="shared" si="7"/>
        <v>27000</v>
      </c>
      <c r="N4538" s="753">
        <v>6</v>
      </c>
      <c r="O4538" s="760">
        <v>6</v>
      </c>
      <c r="P4538" s="736">
        <f t="shared" si="8"/>
        <v>13500</v>
      </c>
      <c r="Q4538" s="214"/>
    </row>
    <row r="4539" spans="1:17" ht="12" customHeight="1" x14ac:dyDescent="0.2">
      <c r="A4539" s="646" t="s">
        <v>10266</v>
      </c>
      <c r="B4539" s="646" t="s">
        <v>11337</v>
      </c>
      <c r="C4539" s="646" t="s">
        <v>451</v>
      </c>
      <c r="D4539" s="636" t="s">
        <v>11608</v>
      </c>
      <c r="E4539" s="759">
        <v>2250</v>
      </c>
      <c r="F4539" s="638" t="s">
        <v>11619</v>
      </c>
      <c r="G4539" s="644" t="s">
        <v>11620</v>
      </c>
      <c r="H4539" s="636" t="s">
        <v>2504</v>
      </c>
      <c r="I4539" s="636" t="s">
        <v>11571</v>
      </c>
      <c r="J4539" s="635" t="s">
        <v>11571</v>
      </c>
      <c r="K4539" s="760">
        <v>12</v>
      </c>
      <c r="L4539" s="760">
        <v>12</v>
      </c>
      <c r="M4539" s="736">
        <f t="shared" si="7"/>
        <v>27000</v>
      </c>
      <c r="N4539" s="753">
        <v>6</v>
      </c>
      <c r="O4539" s="760">
        <v>6</v>
      </c>
      <c r="P4539" s="736">
        <f t="shared" si="8"/>
        <v>13500</v>
      </c>
      <c r="Q4539" s="214"/>
    </row>
    <row r="4540" spans="1:17" ht="12" customHeight="1" x14ac:dyDescent="0.2">
      <c r="A4540" s="646" t="s">
        <v>10266</v>
      </c>
      <c r="B4540" s="646" t="s">
        <v>11337</v>
      </c>
      <c r="C4540" s="646" t="s">
        <v>451</v>
      </c>
      <c r="D4540" s="636" t="s">
        <v>11608</v>
      </c>
      <c r="E4540" s="759">
        <v>2250</v>
      </c>
      <c r="F4540" s="638" t="s">
        <v>11621</v>
      </c>
      <c r="G4540" s="644" t="s">
        <v>11622</v>
      </c>
      <c r="H4540" s="636" t="s">
        <v>2253</v>
      </c>
      <c r="I4540" s="636" t="s">
        <v>11384</v>
      </c>
      <c r="J4540" s="635" t="s">
        <v>11384</v>
      </c>
      <c r="K4540" s="760">
        <v>12</v>
      </c>
      <c r="L4540" s="760">
        <v>12</v>
      </c>
      <c r="M4540" s="736">
        <f t="shared" si="7"/>
        <v>27000</v>
      </c>
      <c r="N4540" s="753">
        <v>6</v>
      </c>
      <c r="O4540" s="760">
        <v>6</v>
      </c>
      <c r="P4540" s="736">
        <f t="shared" si="8"/>
        <v>13500</v>
      </c>
      <c r="Q4540" s="214"/>
    </row>
    <row r="4541" spans="1:17" ht="12" customHeight="1" x14ac:dyDescent="0.2">
      <c r="A4541" s="646" t="s">
        <v>10266</v>
      </c>
      <c r="B4541" s="646" t="s">
        <v>11337</v>
      </c>
      <c r="C4541" s="646" t="s">
        <v>451</v>
      </c>
      <c r="D4541" s="636" t="s">
        <v>11608</v>
      </c>
      <c r="E4541" s="759">
        <v>2250</v>
      </c>
      <c r="F4541" s="638" t="s">
        <v>11623</v>
      </c>
      <c r="G4541" s="644" t="s">
        <v>11624</v>
      </c>
      <c r="H4541" s="636" t="s">
        <v>2253</v>
      </c>
      <c r="I4541" s="636" t="s">
        <v>11384</v>
      </c>
      <c r="J4541" s="635" t="s">
        <v>11384</v>
      </c>
      <c r="K4541" s="760">
        <v>12</v>
      </c>
      <c r="L4541" s="760">
        <v>12</v>
      </c>
      <c r="M4541" s="736">
        <f t="shared" si="7"/>
        <v>27000</v>
      </c>
      <c r="N4541" s="753">
        <v>6</v>
      </c>
      <c r="O4541" s="760">
        <v>6</v>
      </c>
      <c r="P4541" s="736">
        <f t="shared" si="8"/>
        <v>13500</v>
      </c>
      <c r="Q4541" s="214"/>
    </row>
    <row r="4542" spans="1:17" ht="12" customHeight="1" x14ac:dyDescent="0.2">
      <c r="A4542" s="646" t="s">
        <v>10266</v>
      </c>
      <c r="B4542" s="646" t="s">
        <v>11337</v>
      </c>
      <c r="C4542" s="646" t="s">
        <v>451</v>
      </c>
      <c r="D4542" s="636" t="s">
        <v>11608</v>
      </c>
      <c r="E4542" s="759">
        <v>2250</v>
      </c>
      <c r="F4542" s="638" t="s">
        <v>11625</v>
      </c>
      <c r="G4542" s="644" t="s">
        <v>11626</v>
      </c>
      <c r="H4542" s="636" t="s">
        <v>2253</v>
      </c>
      <c r="I4542" s="636" t="s">
        <v>11384</v>
      </c>
      <c r="J4542" s="635" t="s">
        <v>11384</v>
      </c>
      <c r="K4542" s="760">
        <v>12</v>
      </c>
      <c r="L4542" s="760">
        <v>12</v>
      </c>
      <c r="M4542" s="736">
        <f t="shared" si="7"/>
        <v>27000</v>
      </c>
      <c r="N4542" s="753">
        <v>6</v>
      </c>
      <c r="O4542" s="760">
        <v>6</v>
      </c>
      <c r="P4542" s="736">
        <f t="shared" si="8"/>
        <v>13500</v>
      </c>
      <c r="Q4542" s="214"/>
    </row>
    <row r="4543" spans="1:17" ht="12" customHeight="1" x14ac:dyDescent="0.2">
      <c r="A4543" s="646" t="s">
        <v>10266</v>
      </c>
      <c r="B4543" s="646" t="s">
        <v>11337</v>
      </c>
      <c r="C4543" s="646" t="s">
        <v>451</v>
      </c>
      <c r="D4543" s="636" t="s">
        <v>11608</v>
      </c>
      <c r="E4543" s="759">
        <v>2250</v>
      </c>
      <c r="F4543" s="638" t="s">
        <v>11627</v>
      </c>
      <c r="G4543" s="644" t="s">
        <v>11628</v>
      </c>
      <c r="H4543" s="636" t="s">
        <v>2253</v>
      </c>
      <c r="I4543" s="636" t="s">
        <v>11384</v>
      </c>
      <c r="J4543" s="635" t="s">
        <v>11384</v>
      </c>
      <c r="K4543" s="760">
        <v>12</v>
      </c>
      <c r="L4543" s="760">
        <v>12</v>
      </c>
      <c r="M4543" s="736">
        <f t="shared" si="7"/>
        <v>27000</v>
      </c>
      <c r="N4543" s="753">
        <v>6</v>
      </c>
      <c r="O4543" s="760">
        <v>6</v>
      </c>
      <c r="P4543" s="736">
        <f t="shared" si="8"/>
        <v>13500</v>
      </c>
      <c r="Q4543" s="214"/>
    </row>
    <row r="4544" spans="1:17" ht="12" customHeight="1" x14ac:dyDescent="0.2">
      <c r="A4544" s="646" t="s">
        <v>10266</v>
      </c>
      <c r="B4544" s="646" t="s">
        <v>11337</v>
      </c>
      <c r="C4544" s="646" t="s">
        <v>451</v>
      </c>
      <c r="D4544" s="636" t="s">
        <v>11608</v>
      </c>
      <c r="E4544" s="759">
        <v>2250</v>
      </c>
      <c r="F4544" s="638" t="s">
        <v>11629</v>
      </c>
      <c r="G4544" s="644" t="s">
        <v>11630</v>
      </c>
      <c r="H4544" s="636" t="s">
        <v>11483</v>
      </c>
      <c r="I4544" s="636" t="s">
        <v>11484</v>
      </c>
      <c r="J4544" s="635" t="s">
        <v>11484</v>
      </c>
      <c r="K4544" s="760">
        <v>12</v>
      </c>
      <c r="L4544" s="760">
        <v>12</v>
      </c>
      <c r="M4544" s="736">
        <f t="shared" si="7"/>
        <v>27000</v>
      </c>
      <c r="N4544" s="753">
        <v>6</v>
      </c>
      <c r="O4544" s="760">
        <v>6</v>
      </c>
      <c r="P4544" s="736">
        <f t="shared" si="8"/>
        <v>13500</v>
      </c>
      <c r="Q4544" s="214"/>
    </row>
    <row r="4545" spans="1:17" ht="12" customHeight="1" x14ac:dyDescent="0.2">
      <c r="A4545" s="646" t="s">
        <v>10266</v>
      </c>
      <c r="B4545" s="646" t="s">
        <v>11337</v>
      </c>
      <c r="C4545" s="646" t="s">
        <v>451</v>
      </c>
      <c r="D4545" s="636" t="s">
        <v>11608</v>
      </c>
      <c r="E4545" s="759">
        <v>2250</v>
      </c>
      <c r="F4545" s="638">
        <v>45512423</v>
      </c>
      <c r="G4545" s="644" t="s">
        <v>11631</v>
      </c>
      <c r="H4545" s="636" t="s">
        <v>2253</v>
      </c>
      <c r="I4545" s="636" t="s">
        <v>11384</v>
      </c>
      <c r="J4545" s="635" t="s">
        <v>11384</v>
      </c>
      <c r="K4545" s="760">
        <v>12</v>
      </c>
      <c r="L4545" s="760">
        <v>12</v>
      </c>
      <c r="M4545" s="736">
        <f t="shared" si="7"/>
        <v>27000</v>
      </c>
      <c r="N4545" s="753">
        <v>6</v>
      </c>
      <c r="O4545" s="760">
        <v>6</v>
      </c>
      <c r="P4545" s="736">
        <f t="shared" si="8"/>
        <v>13500</v>
      </c>
      <c r="Q4545" s="214"/>
    </row>
    <row r="4546" spans="1:17" ht="12" customHeight="1" x14ac:dyDescent="0.2">
      <c r="A4546" s="646" t="s">
        <v>10266</v>
      </c>
      <c r="B4546" s="646" t="s">
        <v>11337</v>
      </c>
      <c r="C4546" s="646" t="s">
        <v>451</v>
      </c>
      <c r="D4546" s="636" t="s">
        <v>11608</v>
      </c>
      <c r="E4546" s="759">
        <v>2250</v>
      </c>
      <c r="F4546" s="638" t="s">
        <v>11632</v>
      </c>
      <c r="G4546" s="644" t="s">
        <v>11633</v>
      </c>
      <c r="H4546" s="636" t="s">
        <v>11483</v>
      </c>
      <c r="I4546" s="636" t="s">
        <v>11484</v>
      </c>
      <c r="J4546" s="635" t="s">
        <v>11484</v>
      </c>
      <c r="K4546" s="760">
        <v>12</v>
      </c>
      <c r="L4546" s="760">
        <v>12</v>
      </c>
      <c r="M4546" s="736">
        <f t="shared" si="7"/>
        <v>27000</v>
      </c>
      <c r="N4546" s="753">
        <v>6</v>
      </c>
      <c r="O4546" s="760">
        <v>6</v>
      </c>
      <c r="P4546" s="736">
        <f t="shared" si="8"/>
        <v>13500</v>
      </c>
      <c r="Q4546" s="214"/>
    </row>
    <row r="4547" spans="1:17" ht="12" customHeight="1" x14ac:dyDescent="0.2">
      <c r="A4547" s="646" t="s">
        <v>10266</v>
      </c>
      <c r="B4547" s="646" t="s">
        <v>11337</v>
      </c>
      <c r="C4547" s="646" t="s">
        <v>451</v>
      </c>
      <c r="D4547" s="636" t="s">
        <v>11608</v>
      </c>
      <c r="E4547" s="759">
        <v>2250</v>
      </c>
      <c r="F4547" s="638" t="s">
        <v>11634</v>
      </c>
      <c r="G4547" s="644" t="s">
        <v>11635</v>
      </c>
      <c r="H4547" s="636" t="s">
        <v>2253</v>
      </c>
      <c r="I4547" s="636" t="s">
        <v>11384</v>
      </c>
      <c r="J4547" s="635" t="s">
        <v>11384</v>
      </c>
      <c r="K4547" s="760">
        <v>12</v>
      </c>
      <c r="L4547" s="760">
        <v>12</v>
      </c>
      <c r="M4547" s="736">
        <f t="shared" si="7"/>
        <v>27000</v>
      </c>
      <c r="N4547" s="753">
        <v>6</v>
      </c>
      <c r="O4547" s="760">
        <v>6</v>
      </c>
      <c r="P4547" s="736">
        <f t="shared" si="8"/>
        <v>13500</v>
      </c>
      <c r="Q4547" s="214"/>
    </row>
    <row r="4548" spans="1:17" ht="12" customHeight="1" x14ac:dyDescent="0.2">
      <c r="A4548" s="646" t="s">
        <v>10266</v>
      </c>
      <c r="B4548" s="646" t="s">
        <v>11337</v>
      </c>
      <c r="C4548" s="646" t="s">
        <v>451</v>
      </c>
      <c r="D4548" s="636" t="s">
        <v>11636</v>
      </c>
      <c r="E4548" s="759">
        <v>6203.17</v>
      </c>
      <c r="F4548" s="638">
        <v>22319015</v>
      </c>
      <c r="G4548" s="644" t="s">
        <v>11637</v>
      </c>
      <c r="H4548" s="636" t="s">
        <v>2806</v>
      </c>
      <c r="I4548" s="636" t="s">
        <v>11336</v>
      </c>
      <c r="J4548" s="635" t="s">
        <v>11336</v>
      </c>
      <c r="K4548" s="760">
        <v>12</v>
      </c>
      <c r="L4548" s="760">
        <v>12</v>
      </c>
      <c r="M4548" s="736">
        <f t="shared" si="7"/>
        <v>74438.040000000008</v>
      </c>
      <c r="N4548" s="753">
        <v>6</v>
      </c>
      <c r="O4548" s="760">
        <v>6</v>
      </c>
      <c r="P4548" s="736">
        <f t="shared" si="8"/>
        <v>37219.020000000004</v>
      </c>
      <c r="Q4548" s="214"/>
    </row>
    <row r="4549" spans="1:17" ht="12" customHeight="1" x14ac:dyDescent="0.2">
      <c r="A4549" s="646" t="s">
        <v>10266</v>
      </c>
      <c r="B4549" s="646" t="s">
        <v>11337</v>
      </c>
      <c r="C4549" s="646" t="s">
        <v>451</v>
      </c>
      <c r="D4549" s="636" t="s">
        <v>11638</v>
      </c>
      <c r="E4549" s="759">
        <v>2600</v>
      </c>
      <c r="F4549" s="638" t="s">
        <v>11639</v>
      </c>
      <c r="G4549" s="644" t="s">
        <v>11640</v>
      </c>
      <c r="H4549" s="636" t="s">
        <v>11641</v>
      </c>
      <c r="I4549" s="636" t="s">
        <v>11595</v>
      </c>
      <c r="J4549" s="635" t="s">
        <v>11595</v>
      </c>
      <c r="K4549" s="760">
        <v>12</v>
      </c>
      <c r="L4549" s="760">
        <v>12</v>
      </c>
      <c r="M4549" s="736">
        <f t="shared" si="7"/>
        <v>31200</v>
      </c>
      <c r="N4549" s="753">
        <v>6</v>
      </c>
      <c r="O4549" s="760">
        <v>6</v>
      </c>
      <c r="P4549" s="736">
        <f t="shared" si="8"/>
        <v>15600</v>
      </c>
      <c r="Q4549" s="214"/>
    </row>
    <row r="4550" spans="1:17" ht="12" customHeight="1" x14ac:dyDescent="0.2">
      <c r="A4550" s="646" t="s">
        <v>10266</v>
      </c>
      <c r="B4550" s="646" t="s">
        <v>11337</v>
      </c>
      <c r="C4550" s="646" t="s">
        <v>451</v>
      </c>
      <c r="D4550" s="636" t="s">
        <v>11638</v>
      </c>
      <c r="E4550" s="759">
        <v>2600</v>
      </c>
      <c r="F4550" s="638">
        <v>43596415</v>
      </c>
      <c r="G4550" s="644" t="s">
        <v>11642</v>
      </c>
      <c r="H4550" s="636" t="s">
        <v>11643</v>
      </c>
      <c r="I4550" s="636" t="s">
        <v>11644</v>
      </c>
      <c r="J4550" s="635" t="s">
        <v>11644</v>
      </c>
      <c r="K4550" s="760">
        <v>12</v>
      </c>
      <c r="L4550" s="760">
        <v>12</v>
      </c>
      <c r="M4550" s="736">
        <f t="shared" si="7"/>
        <v>31200</v>
      </c>
      <c r="N4550" s="753">
        <v>6</v>
      </c>
      <c r="O4550" s="760">
        <v>6</v>
      </c>
      <c r="P4550" s="736">
        <f t="shared" si="8"/>
        <v>15600</v>
      </c>
      <c r="Q4550" s="214"/>
    </row>
    <row r="4551" spans="1:17" ht="12" customHeight="1" x14ac:dyDescent="0.2">
      <c r="A4551" s="646" t="s">
        <v>10266</v>
      </c>
      <c r="B4551" s="646" t="s">
        <v>11337</v>
      </c>
      <c r="C4551" s="646" t="s">
        <v>451</v>
      </c>
      <c r="D4551" s="636" t="s">
        <v>11638</v>
      </c>
      <c r="E4551" s="759">
        <v>2600</v>
      </c>
      <c r="F4551" s="638" t="s">
        <v>11645</v>
      </c>
      <c r="G4551" s="644" t="s">
        <v>11646</v>
      </c>
      <c r="H4551" s="636" t="s">
        <v>11643</v>
      </c>
      <c r="I4551" s="636" t="s">
        <v>11644</v>
      </c>
      <c r="J4551" s="635" t="s">
        <v>11644</v>
      </c>
      <c r="K4551" s="760">
        <v>12</v>
      </c>
      <c r="L4551" s="760">
        <v>12</v>
      </c>
      <c r="M4551" s="736">
        <f t="shared" si="7"/>
        <v>31200</v>
      </c>
      <c r="N4551" s="753">
        <v>6</v>
      </c>
      <c r="O4551" s="760">
        <v>6</v>
      </c>
      <c r="P4551" s="736">
        <f t="shared" si="8"/>
        <v>15600</v>
      </c>
      <c r="Q4551" s="214"/>
    </row>
    <row r="4552" spans="1:17" ht="12" customHeight="1" x14ac:dyDescent="0.2">
      <c r="A4552" s="646" t="s">
        <v>10266</v>
      </c>
      <c r="B4552" s="646" t="s">
        <v>11337</v>
      </c>
      <c r="C4552" s="646" t="s">
        <v>451</v>
      </c>
      <c r="D4552" s="636" t="s">
        <v>11647</v>
      </c>
      <c r="E4552" s="759">
        <v>2600</v>
      </c>
      <c r="F4552" s="638" t="s">
        <v>11648</v>
      </c>
      <c r="G4552" s="644" t="s">
        <v>11649</v>
      </c>
      <c r="H4552" s="636" t="s">
        <v>11564</v>
      </c>
      <c r="I4552" s="636" t="s">
        <v>5515</v>
      </c>
      <c r="J4552" s="635" t="s">
        <v>5515</v>
      </c>
      <c r="K4552" s="760">
        <v>12</v>
      </c>
      <c r="L4552" s="760">
        <v>12</v>
      </c>
      <c r="M4552" s="736">
        <f t="shared" si="7"/>
        <v>31200</v>
      </c>
      <c r="N4552" s="753">
        <v>6</v>
      </c>
      <c r="O4552" s="760">
        <v>6</v>
      </c>
      <c r="P4552" s="736">
        <f t="shared" si="8"/>
        <v>15600</v>
      </c>
      <c r="Q4552" s="214"/>
    </row>
    <row r="4553" spans="1:17" ht="12" customHeight="1" x14ac:dyDescent="0.2">
      <c r="A4553" s="646" t="s">
        <v>10266</v>
      </c>
      <c r="B4553" s="646" t="s">
        <v>11337</v>
      </c>
      <c r="C4553" s="646" t="s">
        <v>451</v>
      </c>
      <c r="D4553" s="636" t="s">
        <v>11647</v>
      </c>
      <c r="E4553" s="759">
        <v>2600</v>
      </c>
      <c r="F4553" s="638" t="s">
        <v>11650</v>
      </c>
      <c r="G4553" s="644" t="s">
        <v>11651</v>
      </c>
      <c r="H4553" s="636" t="s">
        <v>11652</v>
      </c>
      <c r="I4553" s="636" t="s">
        <v>11653</v>
      </c>
      <c r="J4553" s="635" t="s">
        <v>11653</v>
      </c>
      <c r="K4553" s="760">
        <v>12</v>
      </c>
      <c r="L4553" s="760">
        <v>12</v>
      </c>
      <c r="M4553" s="736">
        <f t="shared" si="7"/>
        <v>31200</v>
      </c>
      <c r="N4553" s="753">
        <v>6</v>
      </c>
      <c r="O4553" s="760">
        <v>6</v>
      </c>
      <c r="P4553" s="736">
        <f t="shared" si="8"/>
        <v>15600</v>
      </c>
      <c r="Q4553" s="214"/>
    </row>
    <row r="4554" spans="1:17" ht="12" customHeight="1" x14ac:dyDescent="0.2">
      <c r="A4554" s="646" t="s">
        <v>10266</v>
      </c>
      <c r="B4554" s="646" t="s">
        <v>11337</v>
      </c>
      <c r="C4554" s="646" t="s">
        <v>451</v>
      </c>
      <c r="D4554" s="636" t="s">
        <v>11647</v>
      </c>
      <c r="E4554" s="759">
        <v>2600</v>
      </c>
      <c r="F4554" s="638" t="s">
        <v>11654</v>
      </c>
      <c r="G4554" s="644" t="s">
        <v>11655</v>
      </c>
      <c r="H4554" s="636" t="s">
        <v>11656</v>
      </c>
      <c r="I4554" s="636" t="s">
        <v>11653</v>
      </c>
      <c r="J4554" s="635" t="s">
        <v>11653</v>
      </c>
      <c r="K4554" s="760">
        <v>12</v>
      </c>
      <c r="L4554" s="760">
        <v>12</v>
      </c>
      <c r="M4554" s="736">
        <f t="shared" si="7"/>
        <v>31200</v>
      </c>
      <c r="N4554" s="753">
        <v>6</v>
      </c>
      <c r="O4554" s="760">
        <v>6</v>
      </c>
      <c r="P4554" s="736">
        <f t="shared" si="8"/>
        <v>15600</v>
      </c>
      <c r="Q4554" s="214"/>
    </row>
    <row r="4555" spans="1:17" ht="12" customHeight="1" x14ac:dyDescent="0.2">
      <c r="A4555" s="646" t="s">
        <v>10266</v>
      </c>
      <c r="B4555" s="646" t="s">
        <v>11337</v>
      </c>
      <c r="C4555" s="646" t="s">
        <v>451</v>
      </c>
      <c r="D4555" s="636" t="s">
        <v>11657</v>
      </c>
      <c r="E4555" s="759">
        <v>6203.17</v>
      </c>
      <c r="F4555" s="638" t="s">
        <v>11658</v>
      </c>
      <c r="G4555" s="644" t="s">
        <v>11659</v>
      </c>
      <c r="H4555" s="636" t="s">
        <v>2323</v>
      </c>
      <c r="I4555" s="636" t="s">
        <v>11336</v>
      </c>
      <c r="J4555" s="635" t="s">
        <v>11336</v>
      </c>
      <c r="K4555" s="760">
        <v>12</v>
      </c>
      <c r="L4555" s="760">
        <v>12</v>
      </c>
      <c r="M4555" s="736">
        <f t="shared" si="7"/>
        <v>74438.040000000008</v>
      </c>
      <c r="N4555" s="753"/>
      <c r="O4555" s="760"/>
      <c r="P4555" s="736">
        <f t="shared" si="8"/>
        <v>0</v>
      </c>
      <c r="Q4555" s="214"/>
    </row>
    <row r="4556" spans="1:17" ht="12" customHeight="1" x14ac:dyDescent="0.2">
      <c r="A4556" s="646" t="s">
        <v>10266</v>
      </c>
      <c r="B4556" s="646" t="s">
        <v>11337</v>
      </c>
      <c r="C4556" s="646" t="s">
        <v>451</v>
      </c>
      <c r="D4556" s="636" t="s">
        <v>11660</v>
      </c>
      <c r="E4556" s="759">
        <v>2600</v>
      </c>
      <c r="F4556" s="638">
        <v>15428611</v>
      </c>
      <c r="G4556" s="644" t="s">
        <v>11661</v>
      </c>
      <c r="H4556" s="636" t="s">
        <v>11662</v>
      </c>
      <c r="I4556" s="636" t="s">
        <v>11553</v>
      </c>
      <c r="J4556" s="635" t="s">
        <v>11553</v>
      </c>
      <c r="K4556" s="760">
        <v>12</v>
      </c>
      <c r="L4556" s="760">
        <v>12</v>
      </c>
      <c r="M4556" s="736">
        <f t="shared" si="7"/>
        <v>31200</v>
      </c>
      <c r="N4556" s="753">
        <v>6</v>
      </c>
      <c r="O4556" s="760">
        <v>6</v>
      </c>
      <c r="P4556" s="736">
        <f t="shared" si="8"/>
        <v>15600</v>
      </c>
      <c r="Q4556" s="214"/>
    </row>
    <row r="4557" spans="1:17" ht="12" customHeight="1" x14ac:dyDescent="0.2">
      <c r="A4557" s="646" t="s">
        <v>10266</v>
      </c>
      <c r="B4557" s="646" t="s">
        <v>11337</v>
      </c>
      <c r="C4557" s="646" t="s">
        <v>451</v>
      </c>
      <c r="D4557" s="636" t="s">
        <v>11660</v>
      </c>
      <c r="E4557" s="759">
        <v>2600</v>
      </c>
      <c r="F4557" s="638" t="s">
        <v>11663</v>
      </c>
      <c r="G4557" s="644" t="s">
        <v>11664</v>
      </c>
      <c r="H4557" s="636" t="s">
        <v>11665</v>
      </c>
      <c r="I4557" s="636" t="s">
        <v>11349</v>
      </c>
      <c r="J4557" s="635" t="s">
        <v>11349</v>
      </c>
      <c r="K4557" s="760">
        <v>12</v>
      </c>
      <c r="L4557" s="760">
        <v>12</v>
      </c>
      <c r="M4557" s="736">
        <f t="shared" si="7"/>
        <v>31200</v>
      </c>
      <c r="N4557" s="753">
        <v>6</v>
      </c>
      <c r="O4557" s="760">
        <v>6</v>
      </c>
      <c r="P4557" s="736">
        <f t="shared" si="8"/>
        <v>15600</v>
      </c>
      <c r="Q4557" s="214"/>
    </row>
    <row r="4558" spans="1:17" ht="12" customHeight="1" x14ac:dyDescent="0.2">
      <c r="A4558" s="646" t="s">
        <v>10266</v>
      </c>
      <c r="B4558" s="646" t="s">
        <v>11337</v>
      </c>
      <c r="C4558" s="646" t="s">
        <v>451</v>
      </c>
      <c r="D4558" s="636" t="s">
        <v>11574</v>
      </c>
      <c r="E4558" s="759">
        <v>2250</v>
      </c>
      <c r="F4558" s="638" t="s">
        <v>11666</v>
      </c>
      <c r="G4558" s="644" t="s">
        <v>11667</v>
      </c>
      <c r="H4558" s="636" t="s">
        <v>2253</v>
      </c>
      <c r="I4558" s="636" t="s">
        <v>11384</v>
      </c>
      <c r="J4558" s="635" t="s">
        <v>11384</v>
      </c>
      <c r="K4558" s="760">
        <v>12</v>
      </c>
      <c r="L4558" s="760">
        <v>12</v>
      </c>
      <c r="M4558" s="736">
        <f t="shared" si="7"/>
        <v>27000</v>
      </c>
      <c r="N4558" s="753">
        <v>6</v>
      </c>
      <c r="O4558" s="760">
        <v>6</v>
      </c>
      <c r="P4558" s="736">
        <f t="shared" si="8"/>
        <v>13500</v>
      </c>
      <c r="Q4558" s="214"/>
    </row>
    <row r="4559" spans="1:17" ht="12" customHeight="1" x14ac:dyDescent="0.2">
      <c r="A4559" s="646" t="s">
        <v>10266</v>
      </c>
      <c r="B4559" s="646" t="s">
        <v>11337</v>
      </c>
      <c r="C4559" s="646" t="s">
        <v>451</v>
      </c>
      <c r="D4559" s="636" t="s">
        <v>11574</v>
      </c>
      <c r="E4559" s="759">
        <v>2250</v>
      </c>
      <c r="F4559" s="638" t="s">
        <v>11668</v>
      </c>
      <c r="G4559" s="644" t="s">
        <v>11669</v>
      </c>
      <c r="H4559" s="636" t="s">
        <v>2253</v>
      </c>
      <c r="I4559" s="636" t="s">
        <v>11384</v>
      </c>
      <c r="J4559" s="635" t="s">
        <v>11384</v>
      </c>
      <c r="K4559" s="760">
        <v>12</v>
      </c>
      <c r="L4559" s="760">
        <v>12</v>
      </c>
      <c r="M4559" s="736">
        <f t="shared" si="7"/>
        <v>27000</v>
      </c>
      <c r="N4559" s="753">
        <v>6</v>
      </c>
      <c r="O4559" s="760">
        <v>6</v>
      </c>
      <c r="P4559" s="736">
        <f t="shared" si="8"/>
        <v>13500</v>
      </c>
      <c r="Q4559" s="214"/>
    </row>
    <row r="4560" spans="1:17" ht="12" customHeight="1" x14ac:dyDescent="0.2">
      <c r="A4560" s="646" t="s">
        <v>10266</v>
      </c>
      <c r="B4560" s="646" t="s">
        <v>11337</v>
      </c>
      <c r="C4560" s="646" t="s">
        <v>451</v>
      </c>
      <c r="D4560" s="636" t="s">
        <v>11670</v>
      </c>
      <c r="E4560" s="759">
        <v>2250</v>
      </c>
      <c r="F4560" s="638" t="s">
        <v>11671</v>
      </c>
      <c r="G4560" s="644" t="s">
        <v>11672</v>
      </c>
      <c r="H4560" s="636" t="s">
        <v>2253</v>
      </c>
      <c r="I4560" s="636" t="s">
        <v>11384</v>
      </c>
      <c r="J4560" s="635" t="s">
        <v>11384</v>
      </c>
      <c r="K4560" s="760">
        <v>12</v>
      </c>
      <c r="L4560" s="760">
        <v>12</v>
      </c>
      <c r="M4560" s="736">
        <f t="shared" si="7"/>
        <v>27000</v>
      </c>
      <c r="N4560" s="753">
        <v>6</v>
      </c>
      <c r="O4560" s="760">
        <v>6</v>
      </c>
      <c r="P4560" s="736">
        <f t="shared" si="8"/>
        <v>13500</v>
      </c>
      <c r="Q4560" s="214"/>
    </row>
    <row r="4561" spans="1:17" ht="12" customHeight="1" x14ac:dyDescent="0.2">
      <c r="A4561" s="646" t="s">
        <v>10266</v>
      </c>
      <c r="B4561" s="646" t="s">
        <v>11337</v>
      </c>
      <c r="C4561" s="646" t="s">
        <v>451</v>
      </c>
      <c r="D4561" s="636" t="s">
        <v>11670</v>
      </c>
      <c r="E4561" s="759">
        <v>2250</v>
      </c>
      <c r="F4561" s="638" t="s">
        <v>11673</v>
      </c>
      <c r="G4561" s="644" t="s">
        <v>11674</v>
      </c>
      <c r="H4561" s="636" t="s">
        <v>2504</v>
      </c>
      <c r="I4561" s="636" t="s">
        <v>11571</v>
      </c>
      <c r="J4561" s="635" t="s">
        <v>11571</v>
      </c>
      <c r="K4561" s="760">
        <v>12</v>
      </c>
      <c r="L4561" s="760">
        <v>12</v>
      </c>
      <c r="M4561" s="736">
        <f t="shared" si="7"/>
        <v>27000</v>
      </c>
      <c r="N4561" s="753">
        <v>6</v>
      </c>
      <c r="O4561" s="760">
        <v>6</v>
      </c>
      <c r="P4561" s="736">
        <f t="shared" si="8"/>
        <v>13500</v>
      </c>
      <c r="Q4561" s="214"/>
    </row>
    <row r="4562" spans="1:17" ht="12" customHeight="1" x14ac:dyDescent="0.2">
      <c r="A4562" s="646" t="s">
        <v>10266</v>
      </c>
      <c r="B4562" s="646" t="s">
        <v>11337</v>
      </c>
      <c r="C4562" s="646" t="s">
        <v>451</v>
      </c>
      <c r="D4562" s="636" t="s">
        <v>11670</v>
      </c>
      <c r="E4562" s="759">
        <v>2250</v>
      </c>
      <c r="F4562" s="638" t="s">
        <v>11675</v>
      </c>
      <c r="G4562" s="644" t="s">
        <v>11676</v>
      </c>
      <c r="H4562" s="636" t="s">
        <v>2253</v>
      </c>
      <c r="I4562" s="636" t="s">
        <v>11384</v>
      </c>
      <c r="J4562" s="635" t="s">
        <v>11384</v>
      </c>
      <c r="K4562" s="760">
        <v>12</v>
      </c>
      <c r="L4562" s="760">
        <v>12</v>
      </c>
      <c r="M4562" s="736">
        <f t="shared" si="7"/>
        <v>27000</v>
      </c>
      <c r="N4562" s="753">
        <v>6</v>
      </c>
      <c r="O4562" s="760">
        <v>6</v>
      </c>
      <c r="P4562" s="736">
        <f t="shared" si="8"/>
        <v>13500</v>
      </c>
      <c r="Q4562" s="214"/>
    </row>
    <row r="4563" spans="1:17" ht="12" customHeight="1" x14ac:dyDescent="0.2">
      <c r="A4563" s="646" t="s">
        <v>10266</v>
      </c>
      <c r="B4563" s="646" t="s">
        <v>11337</v>
      </c>
      <c r="C4563" s="646" t="s">
        <v>451</v>
      </c>
      <c r="D4563" s="636" t="s">
        <v>11670</v>
      </c>
      <c r="E4563" s="759">
        <v>2250</v>
      </c>
      <c r="F4563" s="638" t="s">
        <v>11677</v>
      </c>
      <c r="G4563" s="644" t="s">
        <v>11678</v>
      </c>
      <c r="H4563" s="636" t="s">
        <v>11483</v>
      </c>
      <c r="I4563" s="636" t="s">
        <v>11484</v>
      </c>
      <c r="J4563" s="635" t="s">
        <v>11484</v>
      </c>
      <c r="K4563" s="760">
        <v>12</v>
      </c>
      <c r="L4563" s="760">
        <v>12</v>
      </c>
      <c r="M4563" s="736">
        <f t="shared" si="7"/>
        <v>27000</v>
      </c>
      <c r="N4563" s="753">
        <v>6</v>
      </c>
      <c r="O4563" s="760">
        <v>6</v>
      </c>
      <c r="P4563" s="736">
        <f t="shared" si="8"/>
        <v>13500</v>
      </c>
      <c r="Q4563" s="214"/>
    </row>
    <row r="4564" spans="1:17" ht="12" customHeight="1" x14ac:dyDescent="0.2">
      <c r="A4564" s="646" t="s">
        <v>10266</v>
      </c>
      <c r="B4564" s="646" t="s">
        <v>11337</v>
      </c>
      <c r="C4564" s="646" t="s">
        <v>451</v>
      </c>
      <c r="D4564" s="636" t="s">
        <v>11670</v>
      </c>
      <c r="E4564" s="759">
        <v>2250</v>
      </c>
      <c r="F4564" s="638" t="s">
        <v>11679</v>
      </c>
      <c r="G4564" s="644" t="s">
        <v>11680</v>
      </c>
      <c r="H4564" s="636" t="s">
        <v>2253</v>
      </c>
      <c r="I4564" s="636" t="s">
        <v>11384</v>
      </c>
      <c r="J4564" s="635" t="s">
        <v>11384</v>
      </c>
      <c r="K4564" s="760">
        <v>12</v>
      </c>
      <c r="L4564" s="760">
        <v>12</v>
      </c>
      <c r="M4564" s="736">
        <f t="shared" si="7"/>
        <v>27000</v>
      </c>
      <c r="N4564" s="753">
        <v>6</v>
      </c>
      <c r="O4564" s="760">
        <v>6</v>
      </c>
      <c r="P4564" s="736">
        <f t="shared" si="8"/>
        <v>13500</v>
      </c>
      <c r="Q4564" s="214"/>
    </row>
    <row r="4565" spans="1:17" ht="12" customHeight="1" x14ac:dyDescent="0.2">
      <c r="A4565" s="646" t="s">
        <v>10266</v>
      </c>
      <c r="B4565" s="646" t="s">
        <v>11337</v>
      </c>
      <c r="C4565" s="646" t="s">
        <v>451</v>
      </c>
      <c r="D4565" s="636" t="s">
        <v>11670</v>
      </c>
      <c r="E4565" s="759">
        <v>2250</v>
      </c>
      <c r="F4565" s="638">
        <v>47648206</v>
      </c>
      <c r="G4565" s="644" t="s">
        <v>11681</v>
      </c>
      <c r="H4565" s="636" t="s">
        <v>2253</v>
      </c>
      <c r="I4565" s="636" t="s">
        <v>11384</v>
      </c>
      <c r="J4565" s="635" t="s">
        <v>11384</v>
      </c>
      <c r="K4565" s="760">
        <v>12</v>
      </c>
      <c r="L4565" s="760">
        <v>12</v>
      </c>
      <c r="M4565" s="736">
        <f t="shared" si="7"/>
        <v>27000</v>
      </c>
      <c r="N4565" s="753">
        <v>6</v>
      </c>
      <c r="O4565" s="760">
        <v>6</v>
      </c>
      <c r="P4565" s="736">
        <f t="shared" si="8"/>
        <v>13500</v>
      </c>
      <c r="Q4565" s="214"/>
    </row>
    <row r="4566" spans="1:17" ht="12" customHeight="1" x14ac:dyDescent="0.2">
      <c r="A4566" s="646" t="s">
        <v>10266</v>
      </c>
      <c r="B4566" s="646" t="s">
        <v>11337</v>
      </c>
      <c r="C4566" s="646" t="s">
        <v>451</v>
      </c>
      <c r="D4566" s="636" t="s">
        <v>11670</v>
      </c>
      <c r="E4566" s="759">
        <v>2250</v>
      </c>
      <c r="F4566" s="638" t="s">
        <v>11682</v>
      </c>
      <c r="G4566" s="644" t="s">
        <v>11683</v>
      </c>
      <c r="H4566" s="636" t="s">
        <v>2253</v>
      </c>
      <c r="I4566" s="636" t="s">
        <v>11384</v>
      </c>
      <c r="J4566" s="635" t="s">
        <v>11384</v>
      </c>
      <c r="K4566" s="760">
        <v>12</v>
      </c>
      <c r="L4566" s="760">
        <v>12</v>
      </c>
      <c r="M4566" s="736">
        <f t="shared" si="7"/>
        <v>27000</v>
      </c>
      <c r="N4566" s="753">
        <v>6</v>
      </c>
      <c r="O4566" s="760">
        <v>6</v>
      </c>
      <c r="P4566" s="736">
        <f t="shared" si="8"/>
        <v>13500</v>
      </c>
      <c r="Q4566" s="214"/>
    </row>
    <row r="4567" spans="1:17" ht="12" customHeight="1" x14ac:dyDescent="0.2">
      <c r="A4567" s="646" t="s">
        <v>10266</v>
      </c>
      <c r="B4567" s="646" t="s">
        <v>11337</v>
      </c>
      <c r="C4567" s="646" t="s">
        <v>451</v>
      </c>
      <c r="D4567" s="636" t="s">
        <v>11684</v>
      </c>
      <c r="E4567" s="759">
        <v>2250</v>
      </c>
      <c r="F4567" s="638">
        <v>80534334</v>
      </c>
      <c r="G4567" s="644" t="s">
        <v>11685</v>
      </c>
      <c r="H4567" s="636" t="s">
        <v>2253</v>
      </c>
      <c r="I4567" s="636" t="s">
        <v>11384</v>
      </c>
      <c r="J4567" s="635" t="s">
        <v>11384</v>
      </c>
      <c r="K4567" s="760">
        <v>12</v>
      </c>
      <c r="L4567" s="760">
        <v>12</v>
      </c>
      <c r="M4567" s="736">
        <f t="shared" si="7"/>
        <v>27000</v>
      </c>
      <c r="N4567" s="753">
        <v>6</v>
      </c>
      <c r="O4567" s="760">
        <v>6</v>
      </c>
      <c r="P4567" s="736">
        <f t="shared" si="8"/>
        <v>13500</v>
      </c>
      <c r="Q4567" s="214"/>
    </row>
    <row r="4568" spans="1:17" ht="12" customHeight="1" x14ac:dyDescent="0.2">
      <c r="A4568" s="646" t="s">
        <v>10266</v>
      </c>
      <c r="B4568" s="646" t="s">
        <v>11337</v>
      </c>
      <c r="C4568" s="646" t="s">
        <v>451</v>
      </c>
      <c r="D4568" s="636" t="s">
        <v>11686</v>
      </c>
      <c r="E4568" s="759">
        <v>2250</v>
      </c>
      <c r="F4568" s="638" t="s">
        <v>11687</v>
      </c>
      <c r="G4568" s="644" t="s">
        <v>11688</v>
      </c>
      <c r="H4568" s="636" t="s">
        <v>2253</v>
      </c>
      <c r="I4568" s="636" t="s">
        <v>11384</v>
      </c>
      <c r="J4568" s="635" t="s">
        <v>11384</v>
      </c>
      <c r="K4568" s="760">
        <v>12</v>
      </c>
      <c r="L4568" s="760">
        <v>12</v>
      </c>
      <c r="M4568" s="736">
        <f t="shared" si="7"/>
        <v>27000</v>
      </c>
      <c r="N4568" s="753">
        <v>6</v>
      </c>
      <c r="O4568" s="760">
        <v>6</v>
      </c>
      <c r="P4568" s="736">
        <f t="shared" si="8"/>
        <v>13500</v>
      </c>
      <c r="Q4568" s="214"/>
    </row>
    <row r="4569" spans="1:17" ht="12" customHeight="1" x14ac:dyDescent="0.2">
      <c r="A4569" s="646" t="s">
        <v>10266</v>
      </c>
      <c r="B4569" s="646" t="s">
        <v>11337</v>
      </c>
      <c r="C4569" s="646" t="s">
        <v>451</v>
      </c>
      <c r="D4569" s="636" t="s">
        <v>11608</v>
      </c>
      <c r="E4569" s="759">
        <v>2250</v>
      </c>
      <c r="F4569" s="638" t="s">
        <v>11689</v>
      </c>
      <c r="G4569" s="644" t="s">
        <v>11690</v>
      </c>
      <c r="H4569" s="636" t="s">
        <v>2253</v>
      </c>
      <c r="I4569" s="636" t="s">
        <v>11384</v>
      </c>
      <c r="J4569" s="635" t="s">
        <v>11384</v>
      </c>
      <c r="K4569" s="760">
        <v>12</v>
      </c>
      <c r="L4569" s="760">
        <v>12</v>
      </c>
      <c r="M4569" s="736">
        <f t="shared" si="7"/>
        <v>27000</v>
      </c>
      <c r="N4569" s="753">
        <v>6</v>
      </c>
      <c r="O4569" s="760">
        <v>6</v>
      </c>
      <c r="P4569" s="736">
        <f t="shared" si="8"/>
        <v>13500</v>
      </c>
      <c r="Q4569" s="214"/>
    </row>
    <row r="4570" spans="1:17" ht="12" customHeight="1" x14ac:dyDescent="0.2">
      <c r="A4570" s="646" t="s">
        <v>10266</v>
      </c>
      <c r="B4570" s="646" t="s">
        <v>11337</v>
      </c>
      <c r="C4570" s="646" t="s">
        <v>451</v>
      </c>
      <c r="D4570" s="636" t="s">
        <v>11608</v>
      </c>
      <c r="E4570" s="759">
        <v>2250</v>
      </c>
      <c r="F4570" s="638" t="s">
        <v>11691</v>
      </c>
      <c r="G4570" s="644" t="s">
        <v>11692</v>
      </c>
      <c r="H4570" s="636" t="s">
        <v>2253</v>
      </c>
      <c r="I4570" s="636" t="s">
        <v>11384</v>
      </c>
      <c r="J4570" s="635" t="s">
        <v>11384</v>
      </c>
      <c r="K4570" s="760">
        <v>12</v>
      </c>
      <c r="L4570" s="760">
        <v>12</v>
      </c>
      <c r="M4570" s="736">
        <f t="shared" si="7"/>
        <v>27000</v>
      </c>
      <c r="N4570" s="753">
        <v>6</v>
      </c>
      <c r="O4570" s="760">
        <v>6</v>
      </c>
      <c r="P4570" s="736">
        <f t="shared" si="8"/>
        <v>13500</v>
      </c>
      <c r="Q4570" s="214"/>
    </row>
    <row r="4571" spans="1:17" ht="12" customHeight="1" x14ac:dyDescent="0.2">
      <c r="A4571" s="646" t="s">
        <v>10266</v>
      </c>
      <c r="B4571" s="646" t="s">
        <v>11337</v>
      </c>
      <c r="C4571" s="646" t="s">
        <v>451</v>
      </c>
      <c r="D4571" s="636" t="s">
        <v>11608</v>
      </c>
      <c r="E4571" s="759">
        <v>2250</v>
      </c>
      <c r="F4571" s="638" t="s">
        <v>11693</v>
      </c>
      <c r="G4571" s="644" t="s">
        <v>11694</v>
      </c>
      <c r="H4571" s="636" t="s">
        <v>2518</v>
      </c>
      <c r="I4571" s="636" t="s">
        <v>11490</v>
      </c>
      <c r="J4571" s="635" t="s">
        <v>11490</v>
      </c>
      <c r="K4571" s="760">
        <v>12</v>
      </c>
      <c r="L4571" s="760">
        <v>12</v>
      </c>
      <c r="M4571" s="736">
        <f t="shared" si="7"/>
        <v>27000</v>
      </c>
      <c r="N4571" s="753">
        <v>6</v>
      </c>
      <c r="O4571" s="760">
        <v>6</v>
      </c>
      <c r="P4571" s="736">
        <f t="shared" si="8"/>
        <v>13500</v>
      </c>
      <c r="Q4571" s="214"/>
    </row>
    <row r="4572" spans="1:17" ht="12" customHeight="1" x14ac:dyDescent="0.2">
      <c r="A4572" s="646" t="s">
        <v>10266</v>
      </c>
      <c r="B4572" s="646" t="s">
        <v>11337</v>
      </c>
      <c r="C4572" s="646" t="s">
        <v>451</v>
      </c>
      <c r="D4572" s="636" t="s">
        <v>11608</v>
      </c>
      <c r="E4572" s="759">
        <v>2250</v>
      </c>
      <c r="F4572" s="638" t="s">
        <v>11695</v>
      </c>
      <c r="G4572" s="644" t="s">
        <v>11696</v>
      </c>
      <c r="H4572" s="636" t="s">
        <v>11697</v>
      </c>
      <c r="I4572" s="636" t="s">
        <v>11571</v>
      </c>
      <c r="J4572" s="635" t="s">
        <v>11571</v>
      </c>
      <c r="K4572" s="760">
        <v>12</v>
      </c>
      <c r="L4572" s="760">
        <v>12</v>
      </c>
      <c r="M4572" s="736">
        <f t="shared" si="7"/>
        <v>27000</v>
      </c>
      <c r="N4572" s="753">
        <v>6</v>
      </c>
      <c r="O4572" s="760">
        <v>6</v>
      </c>
      <c r="P4572" s="736">
        <f t="shared" si="8"/>
        <v>13500</v>
      </c>
      <c r="Q4572" s="214"/>
    </row>
    <row r="4573" spans="1:17" ht="12" customHeight="1" x14ac:dyDescent="0.2">
      <c r="A4573" s="646" t="s">
        <v>10266</v>
      </c>
      <c r="B4573" s="646" t="s">
        <v>11337</v>
      </c>
      <c r="C4573" s="646" t="s">
        <v>451</v>
      </c>
      <c r="D4573" s="636" t="s">
        <v>11608</v>
      </c>
      <c r="E4573" s="759">
        <v>2250</v>
      </c>
      <c r="F4573" s="638" t="s">
        <v>11698</v>
      </c>
      <c r="G4573" s="644" t="s">
        <v>11699</v>
      </c>
      <c r="H4573" s="636" t="s">
        <v>2253</v>
      </c>
      <c r="I4573" s="636" t="s">
        <v>11384</v>
      </c>
      <c r="J4573" s="635" t="s">
        <v>11384</v>
      </c>
      <c r="K4573" s="760">
        <v>12</v>
      </c>
      <c r="L4573" s="760">
        <v>12</v>
      </c>
      <c r="M4573" s="736">
        <f t="shared" si="7"/>
        <v>27000</v>
      </c>
      <c r="N4573" s="753">
        <v>6</v>
      </c>
      <c r="O4573" s="760">
        <v>6</v>
      </c>
      <c r="P4573" s="736">
        <f t="shared" si="8"/>
        <v>13500</v>
      </c>
      <c r="Q4573" s="214"/>
    </row>
    <row r="4574" spans="1:17" ht="12" customHeight="1" x14ac:dyDescent="0.2">
      <c r="A4574" s="646" t="s">
        <v>10266</v>
      </c>
      <c r="B4574" s="646" t="s">
        <v>11337</v>
      </c>
      <c r="C4574" s="646" t="s">
        <v>451</v>
      </c>
      <c r="D4574" s="636" t="s">
        <v>11608</v>
      </c>
      <c r="E4574" s="759">
        <v>2250</v>
      </c>
      <c r="F4574" s="638" t="s">
        <v>11700</v>
      </c>
      <c r="G4574" s="644" t="s">
        <v>11701</v>
      </c>
      <c r="H4574" s="636" t="s">
        <v>2253</v>
      </c>
      <c r="I4574" s="636" t="s">
        <v>11384</v>
      </c>
      <c r="J4574" s="635" t="s">
        <v>11384</v>
      </c>
      <c r="K4574" s="760">
        <v>12</v>
      </c>
      <c r="L4574" s="760">
        <v>12</v>
      </c>
      <c r="M4574" s="736">
        <f t="shared" si="7"/>
        <v>27000</v>
      </c>
      <c r="N4574" s="753">
        <v>6</v>
      </c>
      <c r="O4574" s="760">
        <v>6</v>
      </c>
      <c r="P4574" s="736">
        <f t="shared" si="8"/>
        <v>13500</v>
      </c>
      <c r="Q4574" s="214"/>
    </row>
    <row r="4575" spans="1:17" ht="12" customHeight="1" x14ac:dyDescent="0.2">
      <c r="A4575" s="646" t="s">
        <v>10266</v>
      </c>
      <c r="B4575" s="646" t="s">
        <v>11337</v>
      </c>
      <c r="C4575" s="646" t="s">
        <v>451</v>
      </c>
      <c r="D4575" s="636" t="s">
        <v>11702</v>
      </c>
      <c r="E4575" s="759">
        <v>6203.17</v>
      </c>
      <c r="F4575" s="638" t="s">
        <v>11703</v>
      </c>
      <c r="G4575" s="644" t="s">
        <v>11704</v>
      </c>
      <c r="H4575" s="636" t="s">
        <v>11705</v>
      </c>
      <c r="I4575" s="636" t="s">
        <v>11336</v>
      </c>
      <c r="J4575" s="635" t="s">
        <v>11336</v>
      </c>
      <c r="K4575" s="760">
        <v>12</v>
      </c>
      <c r="L4575" s="760">
        <v>12</v>
      </c>
      <c r="M4575" s="736">
        <f t="shared" si="7"/>
        <v>74438.040000000008</v>
      </c>
      <c r="N4575" s="753">
        <v>6</v>
      </c>
      <c r="O4575" s="760">
        <v>6</v>
      </c>
      <c r="P4575" s="736">
        <f t="shared" si="8"/>
        <v>37219.020000000004</v>
      </c>
      <c r="Q4575" s="214"/>
    </row>
    <row r="4576" spans="1:17" ht="12" customHeight="1" x14ac:dyDescent="0.2">
      <c r="A4576" s="646" t="s">
        <v>10266</v>
      </c>
      <c r="B4576" s="646" t="s">
        <v>11337</v>
      </c>
      <c r="C4576" s="646" t="s">
        <v>451</v>
      </c>
      <c r="D4576" s="636" t="s">
        <v>11706</v>
      </c>
      <c r="E4576" s="759">
        <v>5000</v>
      </c>
      <c r="F4576" s="638">
        <v>71526856</v>
      </c>
      <c r="G4576" s="644" t="s">
        <v>11707</v>
      </c>
      <c r="H4576" s="636" t="s">
        <v>11708</v>
      </c>
      <c r="I4576" s="636" t="s">
        <v>11336</v>
      </c>
      <c r="J4576" s="635" t="s">
        <v>11336</v>
      </c>
      <c r="K4576" s="760">
        <v>12</v>
      </c>
      <c r="L4576" s="760">
        <v>12</v>
      </c>
      <c r="M4576" s="736">
        <f t="shared" si="7"/>
        <v>60000</v>
      </c>
      <c r="N4576" s="753">
        <v>6</v>
      </c>
      <c r="O4576" s="760">
        <v>6</v>
      </c>
      <c r="P4576" s="736">
        <f t="shared" si="8"/>
        <v>30000</v>
      </c>
      <c r="Q4576" s="214"/>
    </row>
    <row r="4577" spans="1:17" ht="12" customHeight="1" x14ac:dyDescent="0.2">
      <c r="A4577" s="646" t="s">
        <v>10266</v>
      </c>
      <c r="B4577" s="646" t="s">
        <v>11337</v>
      </c>
      <c r="C4577" s="646" t="s">
        <v>451</v>
      </c>
      <c r="D4577" s="636" t="s">
        <v>11709</v>
      </c>
      <c r="E4577" s="759">
        <v>2250</v>
      </c>
      <c r="F4577" s="638" t="s">
        <v>11710</v>
      </c>
      <c r="G4577" s="644" t="s">
        <v>11711</v>
      </c>
      <c r="H4577" s="636" t="s">
        <v>11712</v>
      </c>
      <c r="I4577" s="636" t="s">
        <v>11595</v>
      </c>
      <c r="J4577" s="635" t="s">
        <v>11595</v>
      </c>
      <c r="K4577" s="760">
        <v>12</v>
      </c>
      <c r="L4577" s="760">
        <v>12</v>
      </c>
      <c r="M4577" s="736">
        <f t="shared" si="7"/>
        <v>27000</v>
      </c>
      <c r="N4577" s="753">
        <v>6</v>
      </c>
      <c r="O4577" s="760">
        <v>6</v>
      </c>
      <c r="P4577" s="736">
        <f t="shared" si="8"/>
        <v>13500</v>
      </c>
      <c r="Q4577" s="214"/>
    </row>
    <row r="4578" spans="1:17" ht="12" customHeight="1" x14ac:dyDescent="0.2">
      <c r="A4578" s="646" t="s">
        <v>10266</v>
      </c>
      <c r="B4578" s="646" t="s">
        <v>11337</v>
      </c>
      <c r="C4578" s="646" t="s">
        <v>451</v>
      </c>
      <c r="D4578" s="636" t="s">
        <v>11713</v>
      </c>
      <c r="E4578" s="759">
        <v>6203.17</v>
      </c>
      <c r="F4578" s="638" t="s">
        <v>11714</v>
      </c>
      <c r="G4578" s="644" t="s">
        <v>11715</v>
      </c>
      <c r="H4578" s="636" t="s">
        <v>2189</v>
      </c>
      <c r="I4578" s="636" t="s">
        <v>11336</v>
      </c>
      <c r="J4578" s="635" t="s">
        <v>11336</v>
      </c>
      <c r="K4578" s="760">
        <v>12</v>
      </c>
      <c r="L4578" s="760">
        <v>12</v>
      </c>
      <c r="M4578" s="736">
        <f t="shared" si="7"/>
        <v>74438.040000000008</v>
      </c>
      <c r="N4578" s="753">
        <v>6</v>
      </c>
      <c r="O4578" s="760">
        <v>6</v>
      </c>
      <c r="P4578" s="736">
        <f t="shared" si="8"/>
        <v>37219.020000000004</v>
      </c>
      <c r="Q4578" s="214"/>
    </row>
    <row r="4579" spans="1:17" ht="12" customHeight="1" x14ac:dyDescent="0.2">
      <c r="A4579" s="646" t="s">
        <v>10266</v>
      </c>
      <c r="B4579" s="646" t="s">
        <v>11337</v>
      </c>
      <c r="C4579" s="646" t="s">
        <v>451</v>
      </c>
      <c r="D4579" s="636" t="s">
        <v>11601</v>
      </c>
      <c r="E4579" s="759">
        <v>2400</v>
      </c>
      <c r="F4579" s="638" t="s">
        <v>11716</v>
      </c>
      <c r="G4579" s="644" t="s">
        <v>11717</v>
      </c>
      <c r="H4579" s="636" t="s">
        <v>2253</v>
      </c>
      <c r="I4579" s="636" t="s">
        <v>11384</v>
      </c>
      <c r="J4579" s="635" t="s">
        <v>11384</v>
      </c>
      <c r="K4579" s="760">
        <v>12</v>
      </c>
      <c r="L4579" s="760">
        <v>12</v>
      </c>
      <c r="M4579" s="736">
        <f t="shared" si="7"/>
        <v>28800</v>
      </c>
      <c r="N4579" s="753">
        <v>6</v>
      </c>
      <c r="O4579" s="760">
        <v>6</v>
      </c>
      <c r="P4579" s="736">
        <f t="shared" si="8"/>
        <v>14400</v>
      </c>
      <c r="Q4579" s="214"/>
    </row>
    <row r="4580" spans="1:17" ht="12" customHeight="1" x14ac:dyDescent="0.2">
      <c r="A4580" s="646" t="s">
        <v>10266</v>
      </c>
      <c r="B4580" s="646" t="s">
        <v>11337</v>
      </c>
      <c r="C4580" s="646" t="s">
        <v>451</v>
      </c>
      <c r="D4580" s="636" t="s">
        <v>11718</v>
      </c>
      <c r="E4580" s="759">
        <v>2250</v>
      </c>
      <c r="F4580" s="638" t="s">
        <v>11719</v>
      </c>
      <c r="G4580" s="644" t="s">
        <v>11720</v>
      </c>
      <c r="H4580" s="636" t="s">
        <v>11483</v>
      </c>
      <c r="I4580" s="636" t="s">
        <v>11484</v>
      </c>
      <c r="J4580" s="635" t="s">
        <v>11484</v>
      </c>
      <c r="K4580" s="760">
        <v>12</v>
      </c>
      <c r="L4580" s="760">
        <v>12</v>
      </c>
      <c r="M4580" s="736">
        <f t="shared" si="7"/>
        <v>27000</v>
      </c>
      <c r="N4580" s="753">
        <v>6</v>
      </c>
      <c r="O4580" s="760">
        <v>6</v>
      </c>
      <c r="P4580" s="736">
        <f t="shared" si="8"/>
        <v>13500</v>
      </c>
      <c r="Q4580" s="214"/>
    </row>
    <row r="4581" spans="1:17" ht="12" customHeight="1" x14ac:dyDescent="0.2">
      <c r="A4581" s="646" t="s">
        <v>10266</v>
      </c>
      <c r="B4581" s="646" t="s">
        <v>11337</v>
      </c>
      <c r="C4581" s="646" t="s">
        <v>451</v>
      </c>
      <c r="D4581" s="636" t="s">
        <v>11721</v>
      </c>
      <c r="E4581" s="759">
        <v>2250</v>
      </c>
      <c r="F4581" s="638" t="s">
        <v>11722</v>
      </c>
      <c r="G4581" s="644" t="s">
        <v>11723</v>
      </c>
      <c r="H4581" s="636" t="s">
        <v>2518</v>
      </c>
      <c r="I4581" s="636" t="s">
        <v>11490</v>
      </c>
      <c r="J4581" s="635" t="s">
        <v>11490</v>
      </c>
      <c r="K4581" s="760">
        <v>12</v>
      </c>
      <c r="L4581" s="760">
        <v>12</v>
      </c>
      <c r="M4581" s="736">
        <f t="shared" si="7"/>
        <v>27000</v>
      </c>
      <c r="N4581" s="753">
        <v>6</v>
      </c>
      <c r="O4581" s="760">
        <v>6</v>
      </c>
      <c r="P4581" s="736">
        <f t="shared" si="8"/>
        <v>13500</v>
      </c>
      <c r="Q4581" s="214"/>
    </row>
    <row r="4582" spans="1:17" ht="12" customHeight="1" x14ac:dyDescent="0.2">
      <c r="A4582" s="646" t="s">
        <v>10266</v>
      </c>
      <c r="B4582" s="646" t="s">
        <v>11337</v>
      </c>
      <c r="C4582" s="646" t="s">
        <v>451</v>
      </c>
      <c r="D4582" s="636" t="s">
        <v>11721</v>
      </c>
      <c r="E4582" s="759">
        <v>2250</v>
      </c>
      <c r="F4582" s="638" t="s">
        <v>11724</v>
      </c>
      <c r="G4582" s="644" t="s">
        <v>11725</v>
      </c>
      <c r="H4582" s="636" t="s">
        <v>2504</v>
      </c>
      <c r="I4582" s="636" t="s">
        <v>11571</v>
      </c>
      <c r="J4582" s="635" t="s">
        <v>11571</v>
      </c>
      <c r="K4582" s="760">
        <v>12</v>
      </c>
      <c r="L4582" s="760">
        <v>12</v>
      </c>
      <c r="M4582" s="736">
        <f t="shared" si="7"/>
        <v>27000</v>
      </c>
      <c r="N4582" s="753">
        <v>6</v>
      </c>
      <c r="O4582" s="760">
        <v>6</v>
      </c>
      <c r="P4582" s="736">
        <f t="shared" si="8"/>
        <v>13500</v>
      </c>
      <c r="Q4582" s="214"/>
    </row>
    <row r="4583" spans="1:17" ht="12" customHeight="1" x14ac:dyDescent="0.2">
      <c r="A4583" s="646" t="s">
        <v>10266</v>
      </c>
      <c r="B4583" s="646" t="s">
        <v>11337</v>
      </c>
      <c r="C4583" s="646" t="s">
        <v>451</v>
      </c>
      <c r="D4583" s="636" t="s">
        <v>11721</v>
      </c>
      <c r="E4583" s="759">
        <v>2250</v>
      </c>
      <c r="F4583" s="638" t="s">
        <v>11726</v>
      </c>
      <c r="G4583" s="644" t="s">
        <v>11727</v>
      </c>
      <c r="H4583" s="636" t="s">
        <v>2253</v>
      </c>
      <c r="I4583" s="636" t="s">
        <v>11384</v>
      </c>
      <c r="J4583" s="635" t="s">
        <v>11384</v>
      </c>
      <c r="K4583" s="760">
        <v>12</v>
      </c>
      <c r="L4583" s="760">
        <v>12</v>
      </c>
      <c r="M4583" s="736">
        <f t="shared" si="7"/>
        <v>27000</v>
      </c>
      <c r="N4583" s="753">
        <v>6</v>
      </c>
      <c r="O4583" s="760">
        <v>6</v>
      </c>
      <c r="P4583" s="736">
        <f t="shared" si="8"/>
        <v>13500</v>
      </c>
      <c r="Q4583" s="214"/>
    </row>
    <row r="4584" spans="1:17" ht="12" customHeight="1" x14ac:dyDescent="0.2">
      <c r="A4584" s="646" t="s">
        <v>10266</v>
      </c>
      <c r="B4584" s="646" t="s">
        <v>11337</v>
      </c>
      <c r="C4584" s="646" t="s">
        <v>451</v>
      </c>
      <c r="D4584" s="636" t="s">
        <v>11721</v>
      </c>
      <c r="E4584" s="759">
        <v>2250</v>
      </c>
      <c r="F4584" s="638" t="s">
        <v>11728</v>
      </c>
      <c r="G4584" s="644" t="s">
        <v>11729</v>
      </c>
      <c r="H4584" s="636" t="s">
        <v>2253</v>
      </c>
      <c r="I4584" s="636" t="s">
        <v>11384</v>
      </c>
      <c r="J4584" s="635" t="s">
        <v>11384</v>
      </c>
      <c r="K4584" s="760">
        <v>12</v>
      </c>
      <c r="L4584" s="760">
        <v>12</v>
      </c>
      <c r="M4584" s="736">
        <f t="shared" si="7"/>
        <v>27000</v>
      </c>
      <c r="N4584" s="753">
        <v>6</v>
      </c>
      <c r="O4584" s="760">
        <v>6</v>
      </c>
      <c r="P4584" s="736">
        <f t="shared" si="8"/>
        <v>13500</v>
      </c>
      <c r="Q4584" s="214"/>
    </row>
    <row r="4585" spans="1:17" ht="12" customHeight="1" x14ac:dyDescent="0.2">
      <c r="A4585" s="646" t="s">
        <v>10266</v>
      </c>
      <c r="B4585" s="646" t="s">
        <v>11337</v>
      </c>
      <c r="C4585" s="646" t="s">
        <v>451</v>
      </c>
      <c r="D4585" s="636" t="s">
        <v>11608</v>
      </c>
      <c r="E4585" s="759">
        <v>2250</v>
      </c>
      <c r="F4585" s="638" t="s">
        <v>11730</v>
      </c>
      <c r="G4585" s="644" t="s">
        <v>11731</v>
      </c>
      <c r="H4585" s="636" t="s">
        <v>2253</v>
      </c>
      <c r="I4585" s="636" t="s">
        <v>11384</v>
      </c>
      <c r="J4585" s="635" t="s">
        <v>11384</v>
      </c>
      <c r="K4585" s="760">
        <v>12</v>
      </c>
      <c r="L4585" s="760">
        <v>12</v>
      </c>
      <c r="M4585" s="736">
        <f t="shared" si="7"/>
        <v>27000</v>
      </c>
      <c r="N4585" s="753">
        <v>6</v>
      </c>
      <c r="O4585" s="760">
        <v>6</v>
      </c>
      <c r="P4585" s="736">
        <f t="shared" si="8"/>
        <v>13500</v>
      </c>
      <c r="Q4585" s="214"/>
    </row>
    <row r="4586" spans="1:17" ht="12" customHeight="1" x14ac:dyDescent="0.2">
      <c r="A4586" s="646" t="s">
        <v>10266</v>
      </c>
      <c r="B4586" s="646" t="s">
        <v>11337</v>
      </c>
      <c r="C4586" s="646" t="s">
        <v>451</v>
      </c>
      <c r="D4586" s="636" t="s">
        <v>11608</v>
      </c>
      <c r="E4586" s="759">
        <v>2250</v>
      </c>
      <c r="F4586" s="638" t="s">
        <v>11732</v>
      </c>
      <c r="G4586" s="644" t="s">
        <v>11733</v>
      </c>
      <c r="H4586" s="636" t="s">
        <v>2518</v>
      </c>
      <c r="I4586" s="636" t="s">
        <v>11490</v>
      </c>
      <c r="J4586" s="635" t="s">
        <v>11490</v>
      </c>
      <c r="K4586" s="760">
        <v>12</v>
      </c>
      <c r="L4586" s="760">
        <v>12</v>
      </c>
      <c r="M4586" s="736">
        <f t="shared" si="7"/>
        <v>27000</v>
      </c>
      <c r="N4586" s="753">
        <v>6</v>
      </c>
      <c r="O4586" s="760">
        <v>6</v>
      </c>
      <c r="P4586" s="736">
        <f t="shared" si="8"/>
        <v>13500</v>
      </c>
      <c r="Q4586" s="214"/>
    </row>
    <row r="4587" spans="1:17" ht="12" customHeight="1" x14ac:dyDescent="0.2">
      <c r="A4587" s="646" t="s">
        <v>10266</v>
      </c>
      <c r="B4587" s="646" t="s">
        <v>11337</v>
      </c>
      <c r="C4587" s="646" t="s">
        <v>451</v>
      </c>
      <c r="D4587" s="636" t="s">
        <v>11608</v>
      </c>
      <c r="E4587" s="759">
        <v>2250</v>
      </c>
      <c r="F4587" s="638" t="s">
        <v>11734</v>
      </c>
      <c r="G4587" s="644" t="s">
        <v>11735</v>
      </c>
      <c r="H4587" s="636" t="s">
        <v>2518</v>
      </c>
      <c r="I4587" s="636" t="s">
        <v>11490</v>
      </c>
      <c r="J4587" s="635" t="s">
        <v>11490</v>
      </c>
      <c r="K4587" s="760">
        <v>12</v>
      </c>
      <c r="L4587" s="760">
        <v>12</v>
      </c>
      <c r="M4587" s="736">
        <f t="shared" si="7"/>
        <v>27000</v>
      </c>
      <c r="N4587" s="753">
        <v>6</v>
      </c>
      <c r="O4587" s="760">
        <v>6</v>
      </c>
      <c r="P4587" s="736">
        <f t="shared" si="8"/>
        <v>13500</v>
      </c>
      <c r="Q4587" s="214"/>
    </row>
    <row r="4588" spans="1:17" ht="12" customHeight="1" x14ac:dyDescent="0.2">
      <c r="A4588" s="646" t="s">
        <v>10266</v>
      </c>
      <c r="B4588" s="646" t="s">
        <v>11337</v>
      </c>
      <c r="C4588" s="646" t="s">
        <v>451</v>
      </c>
      <c r="D4588" s="636" t="s">
        <v>11441</v>
      </c>
      <c r="E4588" s="759">
        <v>3609.9</v>
      </c>
      <c r="F4588" s="638" t="s">
        <v>11736</v>
      </c>
      <c r="G4588" s="644" t="s">
        <v>11737</v>
      </c>
      <c r="H4588" s="636" t="s">
        <v>11738</v>
      </c>
      <c r="I4588" s="636" t="s">
        <v>11384</v>
      </c>
      <c r="J4588" s="635" t="s">
        <v>11384</v>
      </c>
      <c r="K4588" s="760">
        <v>12</v>
      </c>
      <c r="L4588" s="760">
        <v>12</v>
      </c>
      <c r="M4588" s="736">
        <f t="shared" si="7"/>
        <v>43318.8</v>
      </c>
      <c r="N4588" s="753">
        <v>6</v>
      </c>
      <c r="O4588" s="760">
        <v>6</v>
      </c>
      <c r="P4588" s="736">
        <f t="shared" si="8"/>
        <v>21659.4</v>
      </c>
      <c r="Q4588" s="214"/>
    </row>
    <row r="4589" spans="1:17" ht="12" customHeight="1" x14ac:dyDescent="0.2">
      <c r="A4589" s="646" t="s">
        <v>10266</v>
      </c>
      <c r="B4589" s="646" t="s">
        <v>11337</v>
      </c>
      <c r="C4589" s="646" t="s">
        <v>451</v>
      </c>
      <c r="D4589" s="636" t="s">
        <v>11739</v>
      </c>
      <c r="E4589" s="759">
        <v>3150</v>
      </c>
      <c r="F4589" s="638" t="s">
        <v>11740</v>
      </c>
      <c r="G4589" s="644" t="s">
        <v>11741</v>
      </c>
      <c r="H4589" s="636" t="s">
        <v>2253</v>
      </c>
      <c r="I4589" s="636" t="s">
        <v>11384</v>
      </c>
      <c r="J4589" s="635" t="s">
        <v>11384</v>
      </c>
      <c r="K4589" s="760">
        <v>12</v>
      </c>
      <c r="L4589" s="760">
        <v>12</v>
      </c>
      <c r="M4589" s="736">
        <f t="shared" si="7"/>
        <v>37800</v>
      </c>
      <c r="N4589" s="753">
        <v>6</v>
      </c>
      <c r="O4589" s="760">
        <v>6</v>
      </c>
      <c r="P4589" s="736">
        <f t="shared" si="8"/>
        <v>18900</v>
      </c>
      <c r="Q4589" s="214"/>
    </row>
    <row r="4590" spans="1:17" ht="12" customHeight="1" x14ac:dyDescent="0.2">
      <c r="A4590" s="646" t="s">
        <v>10266</v>
      </c>
      <c r="B4590" s="646" t="s">
        <v>11337</v>
      </c>
      <c r="C4590" s="646" t="s">
        <v>451</v>
      </c>
      <c r="D4590" s="636" t="s">
        <v>11742</v>
      </c>
      <c r="E4590" s="759">
        <v>6203.17</v>
      </c>
      <c r="F4590" s="638">
        <v>42960523</v>
      </c>
      <c r="G4590" s="644" t="s">
        <v>11743</v>
      </c>
      <c r="H4590" s="636" t="s">
        <v>9843</v>
      </c>
      <c r="I4590" s="636" t="s">
        <v>11349</v>
      </c>
      <c r="J4590" s="635" t="s">
        <v>11349</v>
      </c>
      <c r="K4590" s="760">
        <v>12</v>
      </c>
      <c r="L4590" s="760">
        <v>12</v>
      </c>
      <c r="M4590" s="736">
        <f t="shared" si="7"/>
        <v>74438.040000000008</v>
      </c>
      <c r="N4590" s="753">
        <v>6</v>
      </c>
      <c r="O4590" s="760">
        <v>6</v>
      </c>
      <c r="P4590" s="736">
        <f t="shared" si="8"/>
        <v>37219.020000000004</v>
      </c>
      <c r="Q4590" s="214"/>
    </row>
    <row r="4591" spans="1:17" ht="12" customHeight="1" x14ac:dyDescent="0.2">
      <c r="A4591" s="646" t="s">
        <v>10266</v>
      </c>
      <c r="B4591" s="646" t="s">
        <v>11337</v>
      </c>
      <c r="C4591" s="646" t="s">
        <v>451</v>
      </c>
      <c r="D4591" s="636" t="s">
        <v>11601</v>
      </c>
      <c r="E4591" s="759">
        <v>2400</v>
      </c>
      <c r="F4591" s="638" t="s">
        <v>11744</v>
      </c>
      <c r="G4591" s="644" t="s">
        <v>11745</v>
      </c>
      <c r="H4591" s="636" t="s">
        <v>2518</v>
      </c>
      <c r="I4591" s="636" t="s">
        <v>11490</v>
      </c>
      <c r="J4591" s="635" t="s">
        <v>11490</v>
      </c>
      <c r="K4591" s="760">
        <v>12</v>
      </c>
      <c r="L4591" s="760">
        <v>12</v>
      </c>
      <c r="M4591" s="736">
        <f t="shared" si="7"/>
        <v>28800</v>
      </c>
      <c r="N4591" s="753">
        <v>6</v>
      </c>
      <c r="O4591" s="760">
        <v>6</v>
      </c>
      <c r="P4591" s="736">
        <f t="shared" si="8"/>
        <v>14400</v>
      </c>
      <c r="Q4591" s="214"/>
    </row>
    <row r="4592" spans="1:17" ht="12" customHeight="1" x14ac:dyDescent="0.2">
      <c r="A4592" s="646" t="s">
        <v>10266</v>
      </c>
      <c r="B4592" s="646" t="s">
        <v>11337</v>
      </c>
      <c r="C4592" s="646" t="s">
        <v>451</v>
      </c>
      <c r="D4592" s="636" t="s">
        <v>11390</v>
      </c>
      <c r="E4592" s="759">
        <v>2400</v>
      </c>
      <c r="F4592" s="638" t="s">
        <v>11746</v>
      </c>
      <c r="G4592" s="644" t="s">
        <v>11747</v>
      </c>
      <c r="H4592" s="636" t="s">
        <v>2253</v>
      </c>
      <c r="I4592" s="636" t="s">
        <v>11384</v>
      </c>
      <c r="J4592" s="635" t="s">
        <v>11384</v>
      </c>
      <c r="K4592" s="760">
        <v>12</v>
      </c>
      <c r="L4592" s="760">
        <v>12</v>
      </c>
      <c r="M4592" s="736">
        <f t="shared" si="7"/>
        <v>28800</v>
      </c>
      <c r="N4592" s="753">
        <v>6</v>
      </c>
      <c r="O4592" s="760">
        <v>6</v>
      </c>
      <c r="P4592" s="736">
        <f t="shared" si="8"/>
        <v>14400</v>
      </c>
      <c r="Q4592" s="214"/>
    </row>
    <row r="4593" spans="1:17" ht="12" customHeight="1" x14ac:dyDescent="0.2">
      <c r="A4593" s="646" t="s">
        <v>10266</v>
      </c>
      <c r="B4593" s="646" t="s">
        <v>11337</v>
      </c>
      <c r="C4593" s="646" t="s">
        <v>451</v>
      </c>
      <c r="D4593" s="636" t="s">
        <v>11568</v>
      </c>
      <c r="E4593" s="759">
        <v>2250</v>
      </c>
      <c r="F4593" s="638" t="s">
        <v>11748</v>
      </c>
      <c r="G4593" s="644" t="s">
        <v>11749</v>
      </c>
      <c r="H4593" s="636" t="s">
        <v>11483</v>
      </c>
      <c r="I4593" s="636" t="s">
        <v>11484</v>
      </c>
      <c r="J4593" s="635" t="s">
        <v>11484</v>
      </c>
      <c r="K4593" s="760">
        <v>12</v>
      </c>
      <c r="L4593" s="760">
        <v>12</v>
      </c>
      <c r="M4593" s="736">
        <f t="shared" si="7"/>
        <v>27000</v>
      </c>
      <c r="N4593" s="753">
        <v>6</v>
      </c>
      <c r="O4593" s="760">
        <v>6</v>
      </c>
      <c r="P4593" s="736">
        <f t="shared" si="8"/>
        <v>13500</v>
      </c>
      <c r="Q4593" s="214"/>
    </row>
    <row r="4594" spans="1:17" ht="12" customHeight="1" x14ac:dyDescent="0.2">
      <c r="A4594" s="646" t="s">
        <v>10266</v>
      </c>
      <c r="B4594" s="646" t="s">
        <v>11337</v>
      </c>
      <c r="C4594" s="646" t="s">
        <v>451</v>
      </c>
      <c r="D4594" s="636" t="s">
        <v>11750</v>
      </c>
      <c r="E4594" s="759">
        <v>2250</v>
      </c>
      <c r="F4594" s="638" t="s">
        <v>11751</v>
      </c>
      <c r="G4594" s="644" t="s">
        <v>11752</v>
      </c>
      <c r="H4594" s="636" t="s">
        <v>2253</v>
      </c>
      <c r="I4594" s="636" t="s">
        <v>11384</v>
      </c>
      <c r="J4594" s="635" t="s">
        <v>11384</v>
      </c>
      <c r="K4594" s="760">
        <v>12</v>
      </c>
      <c r="L4594" s="760">
        <v>12</v>
      </c>
      <c r="M4594" s="736">
        <f t="shared" si="7"/>
        <v>27000</v>
      </c>
      <c r="N4594" s="753">
        <v>6</v>
      </c>
      <c r="O4594" s="760">
        <v>6</v>
      </c>
      <c r="P4594" s="736">
        <f t="shared" si="8"/>
        <v>13500</v>
      </c>
      <c r="Q4594" s="214"/>
    </row>
    <row r="4595" spans="1:17" ht="12" customHeight="1" x14ac:dyDescent="0.2">
      <c r="A4595" s="646" t="s">
        <v>10266</v>
      </c>
      <c r="B4595" s="646" t="s">
        <v>11337</v>
      </c>
      <c r="C4595" s="646" t="s">
        <v>451</v>
      </c>
      <c r="D4595" s="636" t="s">
        <v>11750</v>
      </c>
      <c r="E4595" s="759">
        <v>2250</v>
      </c>
      <c r="F4595" s="638" t="s">
        <v>11753</v>
      </c>
      <c r="G4595" s="644" t="s">
        <v>11754</v>
      </c>
      <c r="H4595" s="636" t="s">
        <v>2253</v>
      </c>
      <c r="I4595" s="636" t="s">
        <v>11384</v>
      </c>
      <c r="J4595" s="635" t="s">
        <v>11384</v>
      </c>
      <c r="K4595" s="760">
        <v>12</v>
      </c>
      <c r="L4595" s="760">
        <v>12</v>
      </c>
      <c r="M4595" s="736">
        <f t="shared" si="7"/>
        <v>27000</v>
      </c>
      <c r="N4595" s="753">
        <v>6</v>
      </c>
      <c r="O4595" s="760">
        <v>6</v>
      </c>
      <c r="P4595" s="736">
        <f t="shared" si="8"/>
        <v>13500</v>
      </c>
      <c r="Q4595" s="214"/>
    </row>
    <row r="4596" spans="1:17" ht="12" customHeight="1" x14ac:dyDescent="0.2">
      <c r="A4596" s="646" t="s">
        <v>10266</v>
      </c>
      <c r="B4596" s="646" t="s">
        <v>11337</v>
      </c>
      <c r="C4596" s="646" t="s">
        <v>451</v>
      </c>
      <c r="D4596" s="636" t="s">
        <v>11670</v>
      </c>
      <c r="E4596" s="759">
        <v>2250</v>
      </c>
      <c r="F4596" s="638" t="s">
        <v>11755</v>
      </c>
      <c r="G4596" s="644" t="s">
        <v>11756</v>
      </c>
      <c r="H4596" s="636" t="s">
        <v>2518</v>
      </c>
      <c r="I4596" s="636" t="s">
        <v>11490</v>
      </c>
      <c r="J4596" s="635" t="s">
        <v>11490</v>
      </c>
      <c r="K4596" s="760">
        <v>12</v>
      </c>
      <c r="L4596" s="760">
        <v>12</v>
      </c>
      <c r="M4596" s="736">
        <f t="shared" si="7"/>
        <v>27000</v>
      </c>
      <c r="N4596" s="753">
        <v>6</v>
      </c>
      <c r="O4596" s="760">
        <v>6</v>
      </c>
      <c r="P4596" s="736">
        <f t="shared" si="8"/>
        <v>13500</v>
      </c>
      <c r="Q4596" s="214"/>
    </row>
    <row r="4597" spans="1:17" ht="12" customHeight="1" x14ac:dyDescent="0.2">
      <c r="A4597" s="646" t="s">
        <v>10266</v>
      </c>
      <c r="B4597" s="646" t="s">
        <v>11337</v>
      </c>
      <c r="C4597" s="646" t="s">
        <v>451</v>
      </c>
      <c r="D4597" s="636" t="s">
        <v>11670</v>
      </c>
      <c r="E4597" s="759">
        <v>2250</v>
      </c>
      <c r="F4597" s="638">
        <v>41961632</v>
      </c>
      <c r="G4597" s="644" t="s">
        <v>11757</v>
      </c>
      <c r="H4597" s="636" t="s">
        <v>3162</v>
      </c>
      <c r="I4597" s="636" t="s">
        <v>11758</v>
      </c>
      <c r="J4597" s="635" t="s">
        <v>11758</v>
      </c>
      <c r="K4597" s="760">
        <v>12</v>
      </c>
      <c r="L4597" s="760">
        <v>12</v>
      </c>
      <c r="M4597" s="736">
        <f t="shared" si="7"/>
        <v>27000</v>
      </c>
      <c r="N4597" s="753">
        <v>6</v>
      </c>
      <c r="O4597" s="760">
        <v>6</v>
      </c>
      <c r="P4597" s="736">
        <f t="shared" si="8"/>
        <v>13500</v>
      </c>
      <c r="Q4597" s="214"/>
    </row>
    <row r="4598" spans="1:17" ht="12" customHeight="1" x14ac:dyDescent="0.2">
      <c r="A4598" s="646" t="s">
        <v>10266</v>
      </c>
      <c r="B4598" s="646" t="s">
        <v>11337</v>
      </c>
      <c r="C4598" s="646" t="s">
        <v>451</v>
      </c>
      <c r="D4598" s="636" t="s">
        <v>11670</v>
      </c>
      <c r="E4598" s="759">
        <v>2250</v>
      </c>
      <c r="F4598" s="638" t="s">
        <v>11759</v>
      </c>
      <c r="G4598" s="644" t="s">
        <v>11760</v>
      </c>
      <c r="H4598" s="636" t="s">
        <v>2253</v>
      </c>
      <c r="I4598" s="636" t="s">
        <v>11384</v>
      </c>
      <c r="J4598" s="635" t="s">
        <v>11384</v>
      </c>
      <c r="K4598" s="760">
        <v>12</v>
      </c>
      <c r="L4598" s="760">
        <v>12</v>
      </c>
      <c r="M4598" s="736">
        <f t="shared" si="7"/>
        <v>27000</v>
      </c>
      <c r="N4598" s="753">
        <v>6</v>
      </c>
      <c r="O4598" s="760">
        <v>6</v>
      </c>
      <c r="P4598" s="736">
        <f t="shared" si="8"/>
        <v>13500</v>
      </c>
      <c r="Q4598" s="214"/>
    </row>
    <row r="4599" spans="1:17" ht="12" customHeight="1" x14ac:dyDescent="0.2">
      <c r="A4599" s="646" t="s">
        <v>10266</v>
      </c>
      <c r="B4599" s="646" t="s">
        <v>11337</v>
      </c>
      <c r="C4599" s="646" t="s">
        <v>451</v>
      </c>
      <c r="D4599" s="636" t="s">
        <v>11670</v>
      </c>
      <c r="E4599" s="759">
        <v>2250</v>
      </c>
      <c r="F4599" s="638" t="s">
        <v>11761</v>
      </c>
      <c r="G4599" s="644" t="s">
        <v>11762</v>
      </c>
      <c r="H4599" s="636" t="s">
        <v>2253</v>
      </c>
      <c r="I4599" s="636" t="s">
        <v>11384</v>
      </c>
      <c r="J4599" s="635" t="s">
        <v>11384</v>
      </c>
      <c r="K4599" s="760">
        <v>12</v>
      </c>
      <c r="L4599" s="760">
        <v>12</v>
      </c>
      <c r="M4599" s="736">
        <f t="shared" si="7"/>
        <v>27000</v>
      </c>
      <c r="N4599" s="753">
        <v>6</v>
      </c>
      <c r="O4599" s="760">
        <v>6</v>
      </c>
      <c r="P4599" s="736">
        <f t="shared" si="8"/>
        <v>13500</v>
      </c>
      <c r="Q4599" s="214"/>
    </row>
    <row r="4600" spans="1:17" ht="12" customHeight="1" x14ac:dyDescent="0.2">
      <c r="A4600" s="646" t="s">
        <v>10266</v>
      </c>
      <c r="B4600" s="646" t="s">
        <v>11337</v>
      </c>
      <c r="C4600" s="646" t="s">
        <v>451</v>
      </c>
      <c r="D4600" s="636" t="s">
        <v>11670</v>
      </c>
      <c r="E4600" s="759">
        <v>2250</v>
      </c>
      <c r="F4600" s="638" t="s">
        <v>11763</v>
      </c>
      <c r="G4600" s="644" t="s">
        <v>11764</v>
      </c>
      <c r="H4600" s="636" t="s">
        <v>2253</v>
      </c>
      <c r="I4600" s="636" t="s">
        <v>11384</v>
      </c>
      <c r="J4600" s="635" t="s">
        <v>11384</v>
      </c>
      <c r="K4600" s="760">
        <v>12</v>
      </c>
      <c r="L4600" s="760">
        <v>12</v>
      </c>
      <c r="M4600" s="736">
        <f t="shared" si="7"/>
        <v>27000</v>
      </c>
      <c r="N4600" s="753">
        <v>6</v>
      </c>
      <c r="O4600" s="760">
        <v>6</v>
      </c>
      <c r="P4600" s="736">
        <f t="shared" si="8"/>
        <v>13500</v>
      </c>
      <c r="Q4600" s="214"/>
    </row>
    <row r="4601" spans="1:17" ht="12" customHeight="1" x14ac:dyDescent="0.2">
      <c r="A4601" s="646" t="s">
        <v>10266</v>
      </c>
      <c r="B4601" s="646" t="s">
        <v>11337</v>
      </c>
      <c r="C4601" s="646" t="s">
        <v>451</v>
      </c>
      <c r="D4601" s="636" t="s">
        <v>11670</v>
      </c>
      <c r="E4601" s="759">
        <v>2250</v>
      </c>
      <c r="F4601" s="638" t="s">
        <v>11765</v>
      </c>
      <c r="G4601" s="644" t="s">
        <v>11766</v>
      </c>
      <c r="H4601" s="636" t="s">
        <v>2253</v>
      </c>
      <c r="I4601" s="636" t="s">
        <v>11384</v>
      </c>
      <c r="J4601" s="635" t="s">
        <v>11384</v>
      </c>
      <c r="K4601" s="760">
        <v>12</v>
      </c>
      <c r="L4601" s="760">
        <v>12</v>
      </c>
      <c r="M4601" s="736">
        <f t="shared" si="7"/>
        <v>27000</v>
      </c>
      <c r="N4601" s="753">
        <v>6</v>
      </c>
      <c r="O4601" s="760">
        <v>6</v>
      </c>
      <c r="P4601" s="736">
        <f t="shared" si="8"/>
        <v>13500</v>
      </c>
      <c r="Q4601" s="214"/>
    </row>
    <row r="4602" spans="1:17" ht="12" customHeight="1" x14ac:dyDescent="0.2">
      <c r="A4602" s="646" t="s">
        <v>10266</v>
      </c>
      <c r="B4602" s="646" t="s">
        <v>11337</v>
      </c>
      <c r="C4602" s="646" t="s">
        <v>451</v>
      </c>
      <c r="D4602" s="636" t="s">
        <v>11767</v>
      </c>
      <c r="E4602" s="759">
        <v>2250</v>
      </c>
      <c r="F4602" s="638" t="s">
        <v>11768</v>
      </c>
      <c r="G4602" s="644" t="s">
        <v>11769</v>
      </c>
      <c r="H4602" s="636" t="s">
        <v>2518</v>
      </c>
      <c r="I4602" s="636" t="s">
        <v>11490</v>
      </c>
      <c r="J4602" s="635" t="s">
        <v>11490</v>
      </c>
      <c r="K4602" s="760">
        <v>12</v>
      </c>
      <c r="L4602" s="760">
        <v>12</v>
      </c>
      <c r="M4602" s="736">
        <f t="shared" si="7"/>
        <v>27000</v>
      </c>
      <c r="N4602" s="753">
        <v>6</v>
      </c>
      <c r="O4602" s="760">
        <v>6</v>
      </c>
      <c r="P4602" s="736">
        <f t="shared" si="8"/>
        <v>13500</v>
      </c>
      <c r="Q4602" s="214"/>
    </row>
    <row r="4603" spans="1:17" ht="12" customHeight="1" x14ac:dyDescent="0.2">
      <c r="A4603" s="646" t="s">
        <v>10266</v>
      </c>
      <c r="B4603" s="646" t="s">
        <v>11337</v>
      </c>
      <c r="C4603" s="646" t="s">
        <v>451</v>
      </c>
      <c r="D4603" s="636" t="s">
        <v>11686</v>
      </c>
      <c r="E4603" s="759">
        <v>2250</v>
      </c>
      <c r="F4603" s="638" t="s">
        <v>11770</v>
      </c>
      <c r="G4603" s="644" t="s">
        <v>11771</v>
      </c>
      <c r="H4603" s="636" t="s">
        <v>2253</v>
      </c>
      <c r="I4603" s="636" t="s">
        <v>11384</v>
      </c>
      <c r="J4603" s="635" t="s">
        <v>11384</v>
      </c>
      <c r="K4603" s="760">
        <v>12</v>
      </c>
      <c r="L4603" s="760">
        <v>12</v>
      </c>
      <c r="M4603" s="736">
        <f t="shared" si="7"/>
        <v>27000</v>
      </c>
      <c r="N4603" s="753">
        <v>6</v>
      </c>
      <c r="O4603" s="760">
        <v>6</v>
      </c>
      <c r="P4603" s="736">
        <f t="shared" si="8"/>
        <v>13500</v>
      </c>
      <c r="Q4603" s="214"/>
    </row>
    <row r="4604" spans="1:17" ht="12" customHeight="1" x14ac:dyDescent="0.2">
      <c r="A4604" s="646" t="s">
        <v>10266</v>
      </c>
      <c r="B4604" s="646" t="s">
        <v>11337</v>
      </c>
      <c r="C4604" s="646" t="s">
        <v>451</v>
      </c>
      <c r="D4604" s="636" t="s">
        <v>11684</v>
      </c>
      <c r="E4604" s="759">
        <v>2250</v>
      </c>
      <c r="F4604" s="638" t="s">
        <v>11772</v>
      </c>
      <c r="G4604" s="644" t="s">
        <v>11773</v>
      </c>
      <c r="H4604" s="636" t="s">
        <v>11774</v>
      </c>
      <c r="I4604" s="636" t="s">
        <v>11595</v>
      </c>
      <c r="J4604" s="635" t="s">
        <v>11595</v>
      </c>
      <c r="K4604" s="760">
        <v>12</v>
      </c>
      <c r="L4604" s="760">
        <v>12</v>
      </c>
      <c r="M4604" s="736">
        <f t="shared" si="7"/>
        <v>27000</v>
      </c>
      <c r="N4604" s="753">
        <v>6</v>
      </c>
      <c r="O4604" s="760">
        <v>6</v>
      </c>
      <c r="P4604" s="736">
        <f t="shared" si="8"/>
        <v>13500</v>
      </c>
      <c r="Q4604" s="214"/>
    </row>
    <row r="4605" spans="1:17" ht="12" customHeight="1" x14ac:dyDescent="0.2">
      <c r="A4605" s="646" t="s">
        <v>10266</v>
      </c>
      <c r="B4605" s="646" t="s">
        <v>11337</v>
      </c>
      <c r="C4605" s="646" t="s">
        <v>451</v>
      </c>
      <c r="D4605" s="636" t="s">
        <v>11684</v>
      </c>
      <c r="E4605" s="759">
        <v>2250</v>
      </c>
      <c r="F4605" s="638" t="s">
        <v>11775</v>
      </c>
      <c r="G4605" s="644" t="s">
        <v>11776</v>
      </c>
      <c r="H4605" s="636" t="s">
        <v>2253</v>
      </c>
      <c r="I4605" s="636" t="s">
        <v>11384</v>
      </c>
      <c r="J4605" s="635" t="s">
        <v>11384</v>
      </c>
      <c r="K4605" s="760">
        <v>12</v>
      </c>
      <c r="L4605" s="760">
        <v>12</v>
      </c>
      <c r="M4605" s="736">
        <f t="shared" si="7"/>
        <v>27000</v>
      </c>
      <c r="N4605" s="753">
        <v>6</v>
      </c>
      <c r="O4605" s="760">
        <v>6</v>
      </c>
      <c r="P4605" s="736">
        <f t="shared" si="8"/>
        <v>13500</v>
      </c>
      <c r="Q4605" s="214"/>
    </row>
    <row r="4606" spans="1:17" ht="12" customHeight="1" x14ac:dyDescent="0.2">
      <c r="A4606" s="646" t="s">
        <v>10266</v>
      </c>
      <c r="B4606" s="646" t="s">
        <v>11337</v>
      </c>
      <c r="C4606" s="646" t="s">
        <v>451</v>
      </c>
      <c r="D4606" s="636" t="s">
        <v>11608</v>
      </c>
      <c r="E4606" s="759">
        <v>2250</v>
      </c>
      <c r="F4606" s="638" t="s">
        <v>11777</v>
      </c>
      <c r="G4606" s="644" t="s">
        <v>11778</v>
      </c>
      <c r="H4606" s="636" t="s">
        <v>2253</v>
      </c>
      <c r="I4606" s="636" t="s">
        <v>11384</v>
      </c>
      <c r="J4606" s="635" t="s">
        <v>11384</v>
      </c>
      <c r="K4606" s="760">
        <v>12</v>
      </c>
      <c r="L4606" s="760">
        <v>12</v>
      </c>
      <c r="M4606" s="736">
        <f t="shared" si="7"/>
        <v>27000</v>
      </c>
      <c r="N4606" s="753">
        <v>6</v>
      </c>
      <c r="O4606" s="760">
        <v>6</v>
      </c>
      <c r="P4606" s="736">
        <f t="shared" si="8"/>
        <v>13500</v>
      </c>
      <c r="Q4606" s="214"/>
    </row>
    <row r="4607" spans="1:17" ht="12" customHeight="1" x14ac:dyDescent="0.2">
      <c r="A4607" s="646" t="s">
        <v>10266</v>
      </c>
      <c r="B4607" s="646" t="s">
        <v>11337</v>
      </c>
      <c r="C4607" s="646" t="s">
        <v>451</v>
      </c>
      <c r="D4607" s="636" t="s">
        <v>11608</v>
      </c>
      <c r="E4607" s="759">
        <v>2250</v>
      </c>
      <c r="F4607" s="638" t="s">
        <v>11779</v>
      </c>
      <c r="G4607" s="644" t="s">
        <v>11780</v>
      </c>
      <c r="H4607" s="636" t="s">
        <v>2518</v>
      </c>
      <c r="I4607" s="636" t="s">
        <v>11490</v>
      </c>
      <c r="J4607" s="635" t="s">
        <v>11490</v>
      </c>
      <c r="K4607" s="760">
        <v>12</v>
      </c>
      <c r="L4607" s="760">
        <v>12</v>
      </c>
      <c r="M4607" s="736">
        <f t="shared" si="7"/>
        <v>27000</v>
      </c>
      <c r="N4607" s="753">
        <v>6</v>
      </c>
      <c r="O4607" s="760">
        <v>6</v>
      </c>
      <c r="P4607" s="736">
        <f t="shared" si="8"/>
        <v>13500</v>
      </c>
      <c r="Q4607" s="214"/>
    </row>
    <row r="4608" spans="1:17" ht="12" customHeight="1" x14ac:dyDescent="0.2">
      <c r="A4608" s="646" t="s">
        <v>10266</v>
      </c>
      <c r="B4608" s="646" t="s">
        <v>11337</v>
      </c>
      <c r="C4608" s="646" t="s">
        <v>451</v>
      </c>
      <c r="D4608" s="636" t="s">
        <v>11579</v>
      </c>
      <c r="E4608" s="759">
        <v>2250</v>
      </c>
      <c r="F4608" s="638" t="s">
        <v>11781</v>
      </c>
      <c r="G4608" s="644" t="s">
        <v>11782</v>
      </c>
      <c r="H4608" s="636" t="s">
        <v>2253</v>
      </c>
      <c r="I4608" s="636" t="s">
        <v>11384</v>
      </c>
      <c r="J4608" s="635" t="s">
        <v>11384</v>
      </c>
      <c r="K4608" s="760">
        <v>12</v>
      </c>
      <c r="L4608" s="760">
        <v>12</v>
      </c>
      <c r="M4608" s="736">
        <f t="shared" si="7"/>
        <v>27000</v>
      </c>
      <c r="N4608" s="753">
        <v>6</v>
      </c>
      <c r="O4608" s="760">
        <v>6</v>
      </c>
      <c r="P4608" s="736">
        <f t="shared" si="8"/>
        <v>13500</v>
      </c>
      <c r="Q4608" s="214"/>
    </row>
    <row r="4609" spans="1:17" ht="12" customHeight="1" x14ac:dyDescent="0.2">
      <c r="A4609" s="646" t="s">
        <v>10266</v>
      </c>
      <c r="B4609" s="646" t="s">
        <v>11337</v>
      </c>
      <c r="C4609" s="646" t="s">
        <v>451</v>
      </c>
      <c r="D4609" s="636" t="s">
        <v>11579</v>
      </c>
      <c r="E4609" s="759">
        <v>2250</v>
      </c>
      <c r="F4609" s="638" t="s">
        <v>11783</v>
      </c>
      <c r="G4609" s="644" t="s">
        <v>11784</v>
      </c>
      <c r="H4609" s="636" t="s">
        <v>2253</v>
      </c>
      <c r="I4609" s="636" t="s">
        <v>11384</v>
      </c>
      <c r="J4609" s="635" t="s">
        <v>11384</v>
      </c>
      <c r="K4609" s="760">
        <v>12</v>
      </c>
      <c r="L4609" s="760">
        <v>12</v>
      </c>
      <c r="M4609" s="736">
        <f t="shared" si="7"/>
        <v>27000</v>
      </c>
      <c r="N4609" s="753">
        <v>6</v>
      </c>
      <c r="O4609" s="760">
        <v>6</v>
      </c>
      <c r="P4609" s="736">
        <f t="shared" si="8"/>
        <v>13500</v>
      </c>
      <c r="Q4609" s="214"/>
    </row>
    <row r="4610" spans="1:17" ht="12" customHeight="1" x14ac:dyDescent="0.2">
      <c r="A4610" s="646" t="s">
        <v>10266</v>
      </c>
      <c r="B4610" s="646" t="s">
        <v>11337</v>
      </c>
      <c r="C4610" s="646" t="s">
        <v>451</v>
      </c>
      <c r="D4610" s="636" t="s">
        <v>11579</v>
      </c>
      <c r="E4610" s="759">
        <v>2250</v>
      </c>
      <c r="F4610" s="638">
        <v>44983678</v>
      </c>
      <c r="G4610" s="644" t="s">
        <v>11785</v>
      </c>
      <c r="H4610" s="636" t="s">
        <v>2253</v>
      </c>
      <c r="I4610" s="636" t="s">
        <v>11384</v>
      </c>
      <c r="J4610" s="635" t="s">
        <v>11384</v>
      </c>
      <c r="K4610" s="760">
        <v>12</v>
      </c>
      <c r="L4610" s="760">
        <v>12</v>
      </c>
      <c r="M4610" s="736">
        <f t="shared" si="7"/>
        <v>27000</v>
      </c>
      <c r="N4610" s="753">
        <v>6</v>
      </c>
      <c r="O4610" s="760">
        <v>6</v>
      </c>
      <c r="P4610" s="736">
        <f t="shared" si="8"/>
        <v>13500</v>
      </c>
      <c r="Q4610" s="214"/>
    </row>
    <row r="4611" spans="1:17" ht="12" customHeight="1" x14ac:dyDescent="0.2">
      <c r="A4611" s="646" t="s">
        <v>10266</v>
      </c>
      <c r="B4611" s="646" t="s">
        <v>11337</v>
      </c>
      <c r="C4611" s="646" t="s">
        <v>451</v>
      </c>
      <c r="D4611" s="636" t="s">
        <v>11579</v>
      </c>
      <c r="E4611" s="759">
        <v>2250</v>
      </c>
      <c r="F4611" s="638" t="s">
        <v>11786</v>
      </c>
      <c r="G4611" s="644" t="s">
        <v>11787</v>
      </c>
      <c r="H4611" s="636" t="s">
        <v>2253</v>
      </c>
      <c r="I4611" s="636" t="s">
        <v>11384</v>
      </c>
      <c r="J4611" s="635" t="s">
        <v>11384</v>
      </c>
      <c r="K4611" s="760">
        <v>12</v>
      </c>
      <c r="L4611" s="760">
        <v>12</v>
      </c>
      <c r="M4611" s="736">
        <f t="shared" si="7"/>
        <v>27000</v>
      </c>
      <c r="N4611" s="753">
        <v>6</v>
      </c>
      <c r="O4611" s="760">
        <v>6</v>
      </c>
      <c r="P4611" s="736">
        <f t="shared" si="8"/>
        <v>13500</v>
      </c>
      <c r="Q4611" s="214"/>
    </row>
    <row r="4612" spans="1:17" ht="12" customHeight="1" x14ac:dyDescent="0.2">
      <c r="A4612" s="646" t="s">
        <v>10266</v>
      </c>
      <c r="B4612" s="646" t="s">
        <v>11337</v>
      </c>
      <c r="C4612" s="646" t="s">
        <v>451</v>
      </c>
      <c r="D4612" s="636" t="s">
        <v>11579</v>
      </c>
      <c r="E4612" s="759">
        <v>2250</v>
      </c>
      <c r="F4612" s="638" t="s">
        <v>11788</v>
      </c>
      <c r="G4612" s="644" t="s">
        <v>11789</v>
      </c>
      <c r="H4612" s="636" t="s">
        <v>11594</v>
      </c>
      <c r="I4612" s="636" t="s">
        <v>11595</v>
      </c>
      <c r="J4612" s="635" t="s">
        <v>11595</v>
      </c>
      <c r="K4612" s="760">
        <v>12</v>
      </c>
      <c r="L4612" s="760">
        <v>12</v>
      </c>
      <c r="M4612" s="736">
        <f t="shared" si="7"/>
        <v>27000</v>
      </c>
      <c r="N4612" s="753">
        <v>6</v>
      </c>
      <c r="O4612" s="760">
        <v>6</v>
      </c>
      <c r="P4612" s="736">
        <f t="shared" si="8"/>
        <v>13500</v>
      </c>
      <c r="Q4612" s="214"/>
    </row>
    <row r="4613" spans="1:17" ht="12" customHeight="1" x14ac:dyDescent="0.2">
      <c r="A4613" s="646" t="s">
        <v>10266</v>
      </c>
      <c r="B4613" s="646" t="s">
        <v>11337</v>
      </c>
      <c r="C4613" s="646" t="s">
        <v>451</v>
      </c>
      <c r="D4613" s="636" t="s">
        <v>11790</v>
      </c>
      <c r="E4613" s="759">
        <v>2250</v>
      </c>
      <c r="F4613" s="638" t="s">
        <v>11791</v>
      </c>
      <c r="G4613" s="644" t="s">
        <v>11792</v>
      </c>
      <c r="H4613" s="636" t="s">
        <v>2253</v>
      </c>
      <c r="I4613" s="636" t="s">
        <v>11384</v>
      </c>
      <c r="J4613" s="635" t="s">
        <v>11384</v>
      </c>
      <c r="K4613" s="760">
        <v>12</v>
      </c>
      <c r="L4613" s="760">
        <v>12</v>
      </c>
      <c r="M4613" s="736">
        <f t="shared" si="7"/>
        <v>27000</v>
      </c>
      <c r="N4613" s="753">
        <v>6</v>
      </c>
      <c r="O4613" s="760">
        <v>6</v>
      </c>
      <c r="P4613" s="736">
        <f t="shared" si="8"/>
        <v>13500</v>
      </c>
      <c r="Q4613" s="214"/>
    </row>
    <row r="4614" spans="1:17" ht="12" customHeight="1" x14ac:dyDescent="0.2">
      <c r="A4614" s="646" t="s">
        <v>10266</v>
      </c>
      <c r="B4614" s="646" t="s">
        <v>11337</v>
      </c>
      <c r="C4614" s="646" t="s">
        <v>451</v>
      </c>
      <c r="D4614" s="636" t="s">
        <v>11790</v>
      </c>
      <c r="E4614" s="759">
        <v>2250</v>
      </c>
      <c r="F4614" s="638" t="s">
        <v>11793</v>
      </c>
      <c r="G4614" s="644" t="s">
        <v>11794</v>
      </c>
      <c r="H4614" s="636" t="s">
        <v>2253</v>
      </c>
      <c r="I4614" s="636" t="s">
        <v>11384</v>
      </c>
      <c r="J4614" s="635" t="s">
        <v>11384</v>
      </c>
      <c r="K4614" s="760">
        <v>12</v>
      </c>
      <c r="L4614" s="760">
        <v>12</v>
      </c>
      <c r="M4614" s="736">
        <f t="shared" si="7"/>
        <v>27000</v>
      </c>
      <c r="N4614" s="753">
        <v>6</v>
      </c>
      <c r="O4614" s="760">
        <v>6</v>
      </c>
      <c r="P4614" s="736">
        <f t="shared" si="8"/>
        <v>13500</v>
      </c>
      <c r="Q4614" s="214"/>
    </row>
    <row r="4615" spans="1:17" ht="12" customHeight="1" x14ac:dyDescent="0.2">
      <c r="A4615" s="646" t="s">
        <v>10266</v>
      </c>
      <c r="B4615" s="646" t="s">
        <v>11337</v>
      </c>
      <c r="C4615" s="646" t="s">
        <v>451</v>
      </c>
      <c r="D4615" s="636" t="s">
        <v>11795</v>
      </c>
      <c r="E4615" s="759">
        <v>2250</v>
      </c>
      <c r="F4615" s="638" t="s">
        <v>11796</v>
      </c>
      <c r="G4615" s="644" t="s">
        <v>11797</v>
      </c>
      <c r="H4615" s="636" t="s">
        <v>11564</v>
      </c>
      <c r="I4615" s="636" t="s">
        <v>11653</v>
      </c>
      <c r="J4615" s="635" t="s">
        <v>11653</v>
      </c>
      <c r="K4615" s="760">
        <v>12</v>
      </c>
      <c r="L4615" s="760">
        <v>12</v>
      </c>
      <c r="M4615" s="736">
        <f t="shared" si="7"/>
        <v>27000</v>
      </c>
      <c r="N4615" s="753">
        <v>6</v>
      </c>
      <c r="O4615" s="760">
        <v>6</v>
      </c>
      <c r="P4615" s="736">
        <f t="shared" si="8"/>
        <v>13500</v>
      </c>
      <c r="Q4615" s="214"/>
    </row>
    <row r="4616" spans="1:17" ht="12" customHeight="1" x14ac:dyDescent="0.2">
      <c r="A4616" s="646" t="s">
        <v>10266</v>
      </c>
      <c r="B4616" s="646" t="s">
        <v>11337</v>
      </c>
      <c r="C4616" s="646" t="s">
        <v>451</v>
      </c>
      <c r="D4616" s="636" t="s">
        <v>11574</v>
      </c>
      <c r="E4616" s="759">
        <v>2250</v>
      </c>
      <c r="F4616" s="638" t="s">
        <v>11798</v>
      </c>
      <c r="G4616" s="644" t="s">
        <v>11799</v>
      </c>
      <c r="H4616" s="636" t="s">
        <v>11800</v>
      </c>
      <c r="I4616" s="636" t="s">
        <v>5515</v>
      </c>
      <c r="J4616" s="635" t="s">
        <v>5515</v>
      </c>
      <c r="K4616" s="760">
        <v>12</v>
      </c>
      <c r="L4616" s="760">
        <v>12</v>
      </c>
      <c r="M4616" s="736">
        <f t="shared" si="7"/>
        <v>27000</v>
      </c>
      <c r="N4616" s="753">
        <v>6</v>
      </c>
      <c r="O4616" s="760">
        <v>6</v>
      </c>
      <c r="P4616" s="736">
        <f t="shared" si="8"/>
        <v>13500</v>
      </c>
      <c r="Q4616" s="214"/>
    </row>
    <row r="4617" spans="1:17" ht="12" customHeight="1" x14ac:dyDescent="0.2">
      <c r="A4617" s="646" t="s">
        <v>10266</v>
      </c>
      <c r="B4617" s="646" t="s">
        <v>11337</v>
      </c>
      <c r="C4617" s="646" t="s">
        <v>451</v>
      </c>
      <c r="D4617" s="636" t="s">
        <v>11801</v>
      </c>
      <c r="E4617" s="759">
        <v>2250</v>
      </c>
      <c r="F4617" s="638" t="s">
        <v>11802</v>
      </c>
      <c r="G4617" s="644" t="s">
        <v>11803</v>
      </c>
      <c r="H4617" s="636" t="s">
        <v>2253</v>
      </c>
      <c r="I4617" s="636" t="s">
        <v>11384</v>
      </c>
      <c r="J4617" s="635" t="s">
        <v>11384</v>
      </c>
      <c r="K4617" s="760">
        <v>12</v>
      </c>
      <c r="L4617" s="760">
        <v>12</v>
      </c>
      <c r="M4617" s="736">
        <f t="shared" si="7"/>
        <v>27000</v>
      </c>
      <c r="N4617" s="753">
        <v>6</v>
      </c>
      <c r="O4617" s="760">
        <v>6</v>
      </c>
      <c r="P4617" s="736">
        <f t="shared" si="8"/>
        <v>13500</v>
      </c>
      <c r="Q4617" s="214"/>
    </row>
    <row r="4618" spans="1:17" ht="12" customHeight="1" x14ac:dyDescent="0.2">
      <c r="A4618" s="646" t="s">
        <v>10266</v>
      </c>
      <c r="B4618" s="646" t="s">
        <v>11337</v>
      </c>
      <c r="C4618" s="646" t="s">
        <v>451</v>
      </c>
      <c r="D4618" s="636" t="s">
        <v>11445</v>
      </c>
      <c r="E4618" s="759">
        <v>3150</v>
      </c>
      <c r="F4618" s="638" t="s">
        <v>11804</v>
      </c>
      <c r="G4618" s="644" t="s">
        <v>11805</v>
      </c>
      <c r="H4618" s="636" t="s">
        <v>2253</v>
      </c>
      <c r="I4618" s="636" t="s">
        <v>11384</v>
      </c>
      <c r="J4618" s="635" t="s">
        <v>11384</v>
      </c>
      <c r="K4618" s="760">
        <v>12</v>
      </c>
      <c r="L4618" s="760">
        <v>12</v>
      </c>
      <c r="M4618" s="736">
        <f t="shared" si="7"/>
        <v>37800</v>
      </c>
      <c r="N4618" s="753">
        <v>6</v>
      </c>
      <c r="O4618" s="760">
        <v>6</v>
      </c>
      <c r="P4618" s="736">
        <f t="shared" si="8"/>
        <v>18900</v>
      </c>
      <c r="Q4618" s="214"/>
    </row>
    <row r="4619" spans="1:17" ht="12" customHeight="1" x14ac:dyDescent="0.2">
      <c r="A4619" s="646" t="s">
        <v>10266</v>
      </c>
      <c r="B4619" s="646" t="s">
        <v>11337</v>
      </c>
      <c r="C4619" s="646" t="s">
        <v>451</v>
      </c>
      <c r="D4619" s="636" t="s">
        <v>11445</v>
      </c>
      <c r="E4619" s="759">
        <v>3150</v>
      </c>
      <c r="F4619" s="638" t="s">
        <v>11806</v>
      </c>
      <c r="G4619" s="644" t="s">
        <v>11807</v>
      </c>
      <c r="H4619" s="636" t="s">
        <v>2253</v>
      </c>
      <c r="I4619" s="636" t="s">
        <v>11384</v>
      </c>
      <c r="J4619" s="635" t="s">
        <v>11384</v>
      </c>
      <c r="K4619" s="760">
        <v>12</v>
      </c>
      <c r="L4619" s="760">
        <v>12</v>
      </c>
      <c r="M4619" s="736">
        <f t="shared" si="7"/>
        <v>37800</v>
      </c>
      <c r="N4619" s="753">
        <v>6</v>
      </c>
      <c r="O4619" s="760">
        <v>6</v>
      </c>
      <c r="P4619" s="736">
        <f t="shared" si="8"/>
        <v>18900</v>
      </c>
      <c r="Q4619" s="214"/>
    </row>
    <row r="4620" spans="1:17" ht="12" customHeight="1" x14ac:dyDescent="0.2">
      <c r="A4620" s="735" t="s">
        <v>11808</v>
      </c>
      <c r="B4620" s="646" t="s">
        <v>11337</v>
      </c>
      <c r="C4620" s="735" t="s">
        <v>451</v>
      </c>
      <c r="D4620" s="644" t="s">
        <v>11809</v>
      </c>
      <c r="E4620" s="736">
        <v>4000</v>
      </c>
      <c r="F4620" s="638" t="s">
        <v>11810</v>
      </c>
      <c r="G4620" s="636" t="s">
        <v>11811</v>
      </c>
      <c r="H4620" s="636" t="s">
        <v>6778</v>
      </c>
      <c r="I4620" s="636" t="s">
        <v>2180</v>
      </c>
      <c r="J4620" s="644" t="s">
        <v>2174</v>
      </c>
      <c r="K4620" s="735">
        <v>5</v>
      </c>
      <c r="L4620" s="735">
        <v>12</v>
      </c>
      <c r="M4620" s="736">
        <v>52779.600000000006</v>
      </c>
      <c r="N4620" s="735">
        <v>1</v>
      </c>
      <c r="O4620" s="735">
        <v>6</v>
      </c>
      <c r="P4620" s="736">
        <v>25044.780000000002</v>
      </c>
      <c r="Q4620" s="214"/>
    </row>
    <row r="4621" spans="1:17" ht="12" customHeight="1" x14ac:dyDescent="0.2">
      <c r="A4621" s="735" t="s">
        <v>11808</v>
      </c>
      <c r="B4621" s="646" t="s">
        <v>11337</v>
      </c>
      <c r="C4621" s="735" t="s">
        <v>451</v>
      </c>
      <c r="D4621" s="644" t="s">
        <v>6883</v>
      </c>
      <c r="E4621" s="736">
        <v>1600</v>
      </c>
      <c r="F4621" s="740" t="s">
        <v>11812</v>
      </c>
      <c r="G4621" s="636" t="s">
        <v>11813</v>
      </c>
      <c r="H4621" s="636" t="s">
        <v>197</v>
      </c>
      <c r="I4621" s="636" t="s">
        <v>2253</v>
      </c>
      <c r="J4621" s="644" t="s">
        <v>197</v>
      </c>
      <c r="K4621" s="735">
        <v>6</v>
      </c>
      <c r="L4621" s="735">
        <v>12</v>
      </c>
      <c r="M4621" s="736">
        <v>23979.599999999999</v>
      </c>
      <c r="N4621" s="735">
        <v>2</v>
      </c>
      <c r="O4621" s="735">
        <v>6</v>
      </c>
      <c r="P4621" s="736">
        <v>10644.780000000002</v>
      </c>
      <c r="Q4621" s="214"/>
    </row>
    <row r="4622" spans="1:17" ht="12" customHeight="1" x14ac:dyDescent="0.2">
      <c r="A4622" s="735" t="s">
        <v>11808</v>
      </c>
      <c r="B4622" s="646" t="s">
        <v>11337</v>
      </c>
      <c r="C4622" s="735" t="s">
        <v>451</v>
      </c>
      <c r="D4622" s="644" t="s">
        <v>6417</v>
      </c>
      <c r="E4622" s="736">
        <v>6000</v>
      </c>
      <c r="F4622" s="638" t="s">
        <v>11814</v>
      </c>
      <c r="G4622" s="636" t="s">
        <v>11815</v>
      </c>
      <c r="H4622" s="636" t="s">
        <v>6778</v>
      </c>
      <c r="I4622" s="636" t="s">
        <v>2180</v>
      </c>
      <c r="J4622" s="644" t="s">
        <v>2174</v>
      </c>
      <c r="K4622" s="735">
        <v>5</v>
      </c>
      <c r="L4622" s="735">
        <v>12</v>
      </c>
      <c r="M4622" s="736">
        <v>76779.600000000006</v>
      </c>
      <c r="N4622" s="735"/>
      <c r="O4622" s="735"/>
      <c r="P4622" s="736"/>
      <c r="Q4622" s="214"/>
    </row>
    <row r="4623" spans="1:17" ht="12" customHeight="1" x14ac:dyDescent="0.2">
      <c r="A4623" s="735" t="s">
        <v>11808</v>
      </c>
      <c r="B4623" s="735" t="s">
        <v>2170</v>
      </c>
      <c r="C4623" s="735" t="s">
        <v>451</v>
      </c>
      <c r="D4623" s="644" t="s">
        <v>6417</v>
      </c>
      <c r="E4623" s="736">
        <v>6000</v>
      </c>
      <c r="F4623" s="638" t="s">
        <v>11814</v>
      </c>
      <c r="G4623" s="636" t="s">
        <v>11815</v>
      </c>
      <c r="H4623" s="636" t="s">
        <v>6778</v>
      </c>
      <c r="I4623" s="636" t="s">
        <v>2180</v>
      </c>
      <c r="J4623" s="644" t="s">
        <v>2174</v>
      </c>
      <c r="K4623" s="735"/>
      <c r="L4623" s="735"/>
      <c r="M4623" s="736"/>
      <c r="N4623" s="735">
        <v>1</v>
      </c>
      <c r="O4623" s="735">
        <v>6</v>
      </c>
      <c r="P4623" s="736">
        <v>37044.78</v>
      </c>
      <c r="Q4623" s="214"/>
    </row>
    <row r="4624" spans="1:17" ht="12" customHeight="1" x14ac:dyDescent="0.2">
      <c r="A4624" s="735" t="s">
        <v>11808</v>
      </c>
      <c r="B4624" s="646" t="s">
        <v>11337</v>
      </c>
      <c r="C4624" s="735" t="s">
        <v>451</v>
      </c>
      <c r="D4624" s="644" t="s">
        <v>2925</v>
      </c>
      <c r="E4624" s="736">
        <v>7000</v>
      </c>
      <c r="F4624" s="638" t="s">
        <v>11816</v>
      </c>
      <c r="G4624" s="636" t="s">
        <v>11817</v>
      </c>
      <c r="H4624" s="636" t="s">
        <v>2236</v>
      </c>
      <c r="I4624" s="636" t="s">
        <v>2180</v>
      </c>
      <c r="J4624" s="644" t="s">
        <v>2236</v>
      </c>
      <c r="K4624" s="735">
        <v>5</v>
      </c>
      <c r="L4624" s="735">
        <v>12</v>
      </c>
      <c r="M4624" s="736">
        <v>115779.6</v>
      </c>
      <c r="N4624" s="735">
        <v>1</v>
      </c>
      <c r="O4624" s="735">
        <v>6</v>
      </c>
      <c r="P4624" s="736">
        <v>61044.779999999992</v>
      </c>
      <c r="Q4624" s="214"/>
    </row>
    <row r="4625" spans="1:17" ht="12" customHeight="1" x14ac:dyDescent="0.2">
      <c r="A4625" s="735" t="s">
        <v>11808</v>
      </c>
      <c r="B4625" s="646" t="s">
        <v>11337</v>
      </c>
      <c r="C4625" s="735" t="s">
        <v>451</v>
      </c>
      <c r="D4625" s="644" t="s">
        <v>2925</v>
      </c>
      <c r="E4625" s="736">
        <v>10000</v>
      </c>
      <c r="F4625" s="638" t="s">
        <v>11816</v>
      </c>
      <c r="G4625" s="636" t="s">
        <v>11817</v>
      </c>
      <c r="H4625" s="636" t="s">
        <v>2236</v>
      </c>
      <c r="I4625" s="636" t="s">
        <v>2180</v>
      </c>
      <c r="J4625" s="644" t="s">
        <v>2236</v>
      </c>
      <c r="K4625" s="735">
        <v>5</v>
      </c>
      <c r="L4625" s="735">
        <v>12</v>
      </c>
      <c r="M4625" s="736">
        <v>115779.6</v>
      </c>
      <c r="N4625" s="735">
        <v>1</v>
      </c>
      <c r="O4625" s="735">
        <v>6</v>
      </c>
      <c r="P4625" s="736">
        <v>61044.779999999992</v>
      </c>
      <c r="Q4625" s="214"/>
    </row>
    <row r="4626" spans="1:17" ht="12" customHeight="1" x14ac:dyDescent="0.2">
      <c r="A4626" s="735" t="s">
        <v>11808</v>
      </c>
      <c r="B4626" s="646" t="s">
        <v>11337</v>
      </c>
      <c r="C4626" s="735" t="s">
        <v>451</v>
      </c>
      <c r="D4626" s="644" t="s">
        <v>11818</v>
      </c>
      <c r="E4626" s="736">
        <v>4000</v>
      </c>
      <c r="F4626" s="638" t="s">
        <v>11819</v>
      </c>
      <c r="G4626" s="636" t="s">
        <v>11820</v>
      </c>
      <c r="H4626" s="636" t="s">
        <v>9658</v>
      </c>
      <c r="I4626" s="636" t="s">
        <v>2766</v>
      </c>
      <c r="J4626" s="644" t="s">
        <v>11821</v>
      </c>
      <c r="K4626" s="735">
        <v>5</v>
      </c>
      <c r="L4626" s="735">
        <v>12</v>
      </c>
      <c r="M4626" s="736">
        <v>52779.600000000006</v>
      </c>
      <c r="N4626" s="735">
        <v>2</v>
      </c>
      <c r="O4626" s="735">
        <v>6</v>
      </c>
      <c r="P4626" s="736">
        <v>25044.780000000002</v>
      </c>
      <c r="Q4626" s="214"/>
    </row>
    <row r="4627" spans="1:17" ht="12" customHeight="1" x14ac:dyDescent="0.2">
      <c r="A4627" s="735" t="s">
        <v>11808</v>
      </c>
      <c r="B4627" s="646" t="s">
        <v>11337</v>
      </c>
      <c r="C4627" s="735" t="s">
        <v>451</v>
      </c>
      <c r="D4627" s="644" t="s">
        <v>11822</v>
      </c>
      <c r="E4627" s="736">
        <v>2100</v>
      </c>
      <c r="F4627" s="638" t="s">
        <v>11823</v>
      </c>
      <c r="G4627" s="636" t="s">
        <v>11824</v>
      </c>
      <c r="H4627" s="636" t="s">
        <v>6778</v>
      </c>
      <c r="I4627" s="636" t="s">
        <v>2180</v>
      </c>
      <c r="J4627" s="644" t="s">
        <v>11825</v>
      </c>
      <c r="K4627" s="735">
        <v>5</v>
      </c>
      <c r="L4627" s="735">
        <v>7</v>
      </c>
      <c r="M4627" s="736">
        <v>17438.099999999999</v>
      </c>
      <c r="N4627" s="735"/>
      <c r="O4627" s="735">
        <v>0</v>
      </c>
      <c r="P4627" s="736">
        <v>0</v>
      </c>
      <c r="Q4627" s="214"/>
    </row>
    <row r="4628" spans="1:17" ht="12" customHeight="1" x14ac:dyDescent="0.2">
      <c r="A4628" s="735" t="s">
        <v>11808</v>
      </c>
      <c r="B4628" s="646" t="s">
        <v>11337</v>
      </c>
      <c r="C4628" s="735" t="s">
        <v>451</v>
      </c>
      <c r="D4628" s="644" t="s">
        <v>11826</v>
      </c>
      <c r="E4628" s="736">
        <v>2200</v>
      </c>
      <c r="F4628" s="638" t="s">
        <v>11827</v>
      </c>
      <c r="G4628" s="636" t="s">
        <v>11828</v>
      </c>
      <c r="H4628" s="636" t="s">
        <v>11829</v>
      </c>
      <c r="I4628" s="636" t="s">
        <v>643</v>
      </c>
      <c r="J4628" s="644" t="s">
        <v>11829</v>
      </c>
      <c r="K4628" s="735">
        <v>6</v>
      </c>
      <c r="L4628" s="735">
        <v>12</v>
      </c>
      <c r="M4628" s="736">
        <v>31179.599999999999</v>
      </c>
      <c r="N4628" s="735">
        <v>2</v>
      </c>
      <c r="O4628" s="735">
        <v>6</v>
      </c>
      <c r="P4628" s="736">
        <v>14244.780000000002</v>
      </c>
      <c r="Q4628" s="214"/>
    </row>
    <row r="4629" spans="1:17" ht="12" customHeight="1" x14ac:dyDescent="0.2">
      <c r="A4629" s="735" t="s">
        <v>11808</v>
      </c>
      <c r="B4629" s="646" t="s">
        <v>11337</v>
      </c>
      <c r="C4629" s="735" t="s">
        <v>451</v>
      </c>
      <c r="D4629" s="644" t="s">
        <v>11830</v>
      </c>
      <c r="E4629" s="736">
        <v>1500</v>
      </c>
      <c r="F4629" s="740" t="s">
        <v>11831</v>
      </c>
      <c r="G4629" s="636" t="s">
        <v>11832</v>
      </c>
      <c r="H4629" s="636" t="s">
        <v>197</v>
      </c>
      <c r="I4629" s="636" t="s">
        <v>2253</v>
      </c>
      <c r="J4629" s="644" t="s">
        <v>197</v>
      </c>
      <c r="K4629" s="735">
        <v>1</v>
      </c>
      <c r="L4629" s="735">
        <v>1</v>
      </c>
      <c r="M4629" s="736">
        <v>1748.3000000000002</v>
      </c>
      <c r="N4629" s="735"/>
      <c r="O4629" s="735">
        <v>0</v>
      </c>
      <c r="P4629" s="736">
        <v>0</v>
      </c>
      <c r="Q4629" s="214"/>
    </row>
    <row r="4630" spans="1:17" ht="12" customHeight="1" x14ac:dyDescent="0.2">
      <c r="A4630" s="735" t="s">
        <v>11808</v>
      </c>
      <c r="B4630" s="646" t="s">
        <v>11337</v>
      </c>
      <c r="C4630" s="735" t="s">
        <v>451</v>
      </c>
      <c r="D4630" s="644" t="s">
        <v>11833</v>
      </c>
      <c r="E4630" s="736">
        <v>1800</v>
      </c>
      <c r="F4630" s="638" t="s">
        <v>11834</v>
      </c>
      <c r="G4630" s="636" t="s">
        <v>11835</v>
      </c>
      <c r="H4630" s="636" t="s">
        <v>6778</v>
      </c>
      <c r="I4630" s="636" t="s">
        <v>2180</v>
      </c>
      <c r="J4630" s="644" t="s">
        <v>2174</v>
      </c>
      <c r="K4630" s="735">
        <v>4</v>
      </c>
      <c r="L4630" s="735">
        <v>4</v>
      </c>
      <c r="M4630" s="736">
        <v>5191.2000000000007</v>
      </c>
      <c r="N4630" s="735"/>
      <c r="O4630" s="735">
        <v>0</v>
      </c>
      <c r="P4630" s="736">
        <v>0</v>
      </c>
      <c r="Q4630" s="214"/>
    </row>
    <row r="4631" spans="1:17" ht="12" customHeight="1" x14ac:dyDescent="0.2">
      <c r="A4631" s="735" t="s">
        <v>11808</v>
      </c>
      <c r="B4631" s="646" t="s">
        <v>11337</v>
      </c>
      <c r="C4631" s="735" t="s">
        <v>451</v>
      </c>
      <c r="D4631" s="644" t="s">
        <v>11836</v>
      </c>
      <c r="E4631" s="736">
        <v>4200</v>
      </c>
      <c r="F4631" s="638" t="s">
        <v>11837</v>
      </c>
      <c r="G4631" s="636" t="s">
        <v>11838</v>
      </c>
      <c r="H4631" s="636" t="s">
        <v>8089</v>
      </c>
      <c r="I4631" s="636" t="s">
        <v>11839</v>
      </c>
      <c r="J4631" s="644" t="s">
        <v>11840</v>
      </c>
      <c r="K4631" s="735">
        <v>3</v>
      </c>
      <c r="L4631" s="735">
        <v>6</v>
      </c>
      <c r="M4631" s="736">
        <v>27289.800000000003</v>
      </c>
      <c r="N4631" s="735"/>
      <c r="O4631" s="735">
        <v>0</v>
      </c>
      <c r="P4631" s="736">
        <v>0</v>
      </c>
      <c r="Q4631" s="214"/>
    </row>
    <row r="4632" spans="1:17" ht="12" customHeight="1" x14ac:dyDescent="0.2">
      <c r="A4632" s="735" t="s">
        <v>11808</v>
      </c>
      <c r="B4632" s="646" t="s">
        <v>11337</v>
      </c>
      <c r="C4632" s="735" t="s">
        <v>451</v>
      </c>
      <c r="D4632" s="644" t="s">
        <v>11841</v>
      </c>
      <c r="E4632" s="736">
        <v>12000</v>
      </c>
      <c r="F4632" s="638" t="s">
        <v>11842</v>
      </c>
      <c r="G4632" s="636" t="s">
        <v>11843</v>
      </c>
      <c r="H4632" s="636" t="s">
        <v>2712</v>
      </c>
      <c r="I4632" s="636" t="s">
        <v>2180</v>
      </c>
      <c r="J4632" s="644" t="s">
        <v>2712</v>
      </c>
      <c r="K4632" s="735">
        <v>4</v>
      </c>
      <c r="L4632" s="735">
        <v>8</v>
      </c>
      <c r="M4632" s="736">
        <v>99086.399999999994</v>
      </c>
      <c r="N4632" s="735"/>
      <c r="O4632" s="735">
        <v>0</v>
      </c>
      <c r="P4632" s="736">
        <v>0</v>
      </c>
      <c r="Q4632" s="214"/>
    </row>
    <row r="4633" spans="1:17" ht="12" customHeight="1" x14ac:dyDescent="0.2">
      <c r="A4633" s="735" t="s">
        <v>11808</v>
      </c>
      <c r="B4633" s="646" t="s">
        <v>11337</v>
      </c>
      <c r="C4633" s="735" t="s">
        <v>451</v>
      </c>
      <c r="D4633" s="644" t="s">
        <v>11844</v>
      </c>
      <c r="E4633" s="736">
        <v>1800</v>
      </c>
      <c r="F4633" s="638" t="s">
        <v>11845</v>
      </c>
      <c r="G4633" s="636" t="s">
        <v>11846</v>
      </c>
      <c r="H4633" s="636" t="s">
        <v>3754</v>
      </c>
      <c r="I4633" s="636" t="s">
        <v>2180</v>
      </c>
      <c r="J4633" s="644" t="s">
        <v>2979</v>
      </c>
      <c r="K4633" s="735">
        <v>6</v>
      </c>
      <c r="L4633" s="735">
        <v>12</v>
      </c>
      <c r="M4633" s="736">
        <v>26379.599999999999</v>
      </c>
      <c r="N4633" s="735">
        <v>1</v>
      </c>
      <c r="O4633" s="735">
        <v>6</v>
      </c>
      <c r="P4633" s="736">
        <v>11844.780000000002</v>
      </c>
      <c r="Q4633" s="214"/>
    </row>
    <row r="4634" spans="1:17" ht="12" customHeight="1" x14ac:dyDescent="0.2">
      <c r="A4634" s="735" t="s">
        <v>11808</v>
      </c>
      <c r="B4634" s="646" t="s">
        <v>11337</v>
      </c>
      <c r="C4634" s="735" t="s">
        <v>451</v>
      </c>
      <c r="D4634" s="644" t="s">
        <v>11847</v>
      </c>
      <c r="E4634" s="736">
        <v>1100</v>
      </c>
      <c r="F4634" s="638" t="s">
        <v>11848</v>
      </c>
      <c r="G4634" s="636" t="s">
        <v>11849</v>
      </c>
      <c r="H4634" s="636" t="s">
        <v>6778</v>
      </c>
      <c r="I4634" s="636" t="s">
        <v>2180</v>
      </c>
      <c r="J4634" s="644" t="s">
        <v>3092</v>
      </c>
      <c r="K4634" s="735">
        <v>6</v>
      </c>
      <c r="L4634" s="735">
        <v>12</v>
      </c>
      <c r="M4634" s="736">
        <v>17979.599999999999</v>
      </c>
      <c r="N4634" s="735">
        <v>2</v>
      </c>
      <c r="O4634" s="735">
        <v>6</v>
      </c>
      <c r="P4634" s="736">
        <v>7644.7800000000007</v>
      </c>
      <c r="Q4634" s="214"/>
    </row>
    <row r="4635" spans="1:17" ht="12" customHeight="1" x14ac:dyDescent="0.2">
      <c r="A4635" s="735" t="s">
        <v>11808</v>
      </c>
      <c r="B4635" s="646" t="s">
        <v>11337</v>
      </c>
      <c r="C4635" s="735" t="s">
        <v>451</v>
      </c>
      <c r="D4635" s="644" t="s">
        <v>11850</v>
      </c>
      <c r="E4635" s="736">
        <v>5500</v>
      </c>
      <c r="F4635" s="638" t="s">
        <v>11851</v>
      </c>
      <c r="G4635" s="636" t="s">
        <v>11852</v>
      </c>
      <c r="H4635" s="636" t="s">
        <v>2317</v>
      </c>
      <c r="I4635" s="636" t="s">
        <v>2180</v>
      </c>
      <c r="J4635" s="644" t="s">
        <v>2317</v>
      </c>
      <c r="K4635" s="735">
        <v>5</v>
      </c>
      <c r="L4635" s="735">
        <v>12</v>
      </c>
      <c r="M4635" s="736">
        <v>69496.28</v>
      </c>
      <c r="N4635" s="735">
        <v>1</v>
      </c>
      <c r="O4635" s="735">
        <v>1</v>
      </c>
      <c r="P4635" s="736">
        <v>5674.13</v>
      </c>
      <c r="Q4635" s="214"/>
    </row>
    <row r="4636" spans="1:17" ht="12" customHeight="1" x14ac:dyDescent="0.2">
      <c r="A4636" s="735" t="s">
        <v>11808</v>
      </c>
      <c r="B4636" s="646" t="s">
        <v>11337</v>
      </c>
      <c r="C4636" s="735" t="s">
        <v>451</v>
      </c>
      <c r="D4636" s="644" t="s">
        <v>11853</v>
      </c>
      <c r="E4636" s="736">
        <v>8000</v>
      </c>
      <c r="F4636" s="638" t="s">
        <v>11851</v>
      </c>
      <c r="G4636" s="636" t="s">
        <v>11852</v>
      </c>
      <c r="H4636" s="636" t="s">
        <v>2317</v>
      </c>
      <c r="I4636" s="636" t="s">
        <v>2180</v>
      </c>
      <c r="J4636" s="644" t="s">
        <v>2317</v>
      </c>
      <c r="K4636" s="735"/>
      <c r="L4636" s="735"/>
      <c r="M4636" s="736"/>
      <c r="N4636" s="735">
        <v>2</v>
      </c>
      <c r="O4636" s="735">
        <v>5</v>
      </c>
      <c r="P4636" s="736">
        <v>39537.32</v>
      </c>
      <c r="Q4636" s="214"/>
    </row>
    <row r="4637" spans="1:17" ht="12" customHeight="1" x14ac:dyDescent="0.2">
      <c r="A4637" s="735" t="s">
        <v>11808</v>
      </c>
      <c r="B4637" s="646" t="s">
        <v>11337</v>
      </c>
      <c r="C4637" s="735" t="s">
        <v>451</v>
      </c>
      <c r="D4637" s="644" t="s">
        <v>11854</v>
      </c>
      <c r="E4637" s="736">
        <v>6000</v>
      </c>
      <c r="F4637" s="638" t="s">
        <v>11855</v>
      </c>
      <c r="G4637" s="636" t="s">
        <v>11856</v>
      </c>
      <c r="H4637" s="636" t="s">
        <v>11857</v>
      </c>
      <c r="I4637" s="636" t="s">
        <v>2180</v>
      </c>
      <c r="J4637" s="644" t="s">
        <v>5450</v>
      </c>
      <c r="K4637" s="735">
        <v>5</v>
      </c>
      <c r="L4637" s="735">
        <v>7</v>
      </c>
      <c r="M4637" s="736">
        <v>44738.100000000006</v>
      </c>
      <c r="N4637" s="735"/>
      <c r="O4637" s="735">
        <v>0</v>
      </c>
      <c r="P4637" s="736">
        <v>0</v>
      </c>
      <c r="Q4637" s="214"/>
    </row>
    <row r="4638" spans="1:17" ht="12" customHeight="1" x14ac:dyDescent="0.2">
      <c r="A4638" s="735" t="s">
        <v>11808</v>
      </c>
      <c r="B4638" s="646" t="s">
        <v>11337</v>
      </c>
      <c r="C4638" s="735" t="s">
        <v>451</v>
      </c>
      <c r="D4638" s="644" t="s">
        <v>3296</v>
      </c>
      <c r="E4638" s="736">
        <v>6000</v>
      </c>
      <c r="F4638" s="638" t="s">
        <v>11858</v>
      </c>
      <c r="G4638" s="636" t="s">
        <v>11859</v>
      </c>
      <c r="H4638" s="636" t="s">
        <v>6778</v>
      </c>
      <c r="I4638" s="636" t="s">
        <v>2766</v>
      </c>
      <c r="J4638" s="644" t="s">
        <v>11860</v>
      </c>
      <c r="K4638" s="735">
        <v>5</v>
      </c>
      <c r="L4638" s="735">
        <v>12</v>
      </c>
      <c r="M4638" s="736">
        <v>76779.600000000006</v>
      </c>
      <c r="N4638" s="735"/>
      <c r="O4638" s="735"/>
      <c r="P4638" s="736"/>
      <c r="Q4638" s="214"/>
    </row>
    <row r="4639" spans="1:17" ht="12" customHeight="1" x14ac:dyDescent="0.2">
      <c r="A4639" s="735" t="s">
        <v>11808</v>
      </c>
      <c r="B4639" s="735" t="s">
        <v>2170</v>
      </c>
      <c r="C4639" s="735" t="s">
        <v>451</v>
      </c>
      <c r="D4639" s="644" t="s">
        <v>3296</v>
      </c>
      <c r="E4639" s="736">
        <v>6000</v>
      </c>
      <c r="F4639" s="638" t="s">
        <v>11858</v>
      </c>
      <c r="G4639" s="636" t="s">
        <v>11859</v>
      </c>
      <c r="H4639" s="636" t="s">
        <v>6778</v>
      </c>
      <c r="I4639" s="636" t="s">
        <v>2766</v>
      </c>
      <c r="J4639" s="644" t="s">
        <v>11860</v>
      </c>
      <c r="K4639" s="735"/>
      <c r="L4639" s="735"/>
      <c r="M4639" s="736"/>
      <c r="N4639" s="735">
        <v>1</v>
      </c>
      <c r="O4639" s="735">
        <v>6</v>
      </c>
      <c r="P4639" s="736">
        <v>37044.78</v>
      </c>
      <c r="Q4639" s="214"/>
    </row>
    <row r="4640" spans="1:17" ht="12" customHeight="1" x14ac:dyDescent="0.2">
      <c r="A4640" s="735" t="s">
        <v>11808</v>
      </c>
      <c r="B4640" s="646" t="s">
        <v>11337</v>
      </c>
      <c r="C4640" s="735" t="s">
        <v>451</v>
      </c>
      <c r="D4640" s="644" t="s">
        <v>5691</v>
      </c>
      <c r="E4640" s="736">
        <v>3000</v>
      </c>
      <c r="F4640" s="638" t="s">
        <v>11861</v>
      </c>
      <c r="G4640" s="636" t="s">
        <v>11862</v>
      </c>
      <c r="H4640" s="636" t="s">
        <v>197</v>
      </c>
      <c r="I4640" s="636" t="s">
        <v>2253</v>
      </c>
      <c r="J4640" s="644" t="s">
        <v>197</v>
      </c>
      <c r="K4640" s="735">
        <v>3</v>
      </c>
      <c r="L4640" s="735">
        <v>8</v>
      </c>
      <c r="M4640" s="736">
        <v>26986.400000000001</v>
      </c>
      <c r="N4640" s="735">
        <v>1</v>
      </c>
      <c r="O4640" s="735">
        <v>6</v>
      </c>
      <c r="P4640" s="736">
        <v>19044.780000000002</v>
      </c>
      <c r="Q4640" s="214"/>
    </row>
    <row r="4641" spans="1:17" ht="12" customHeight="1" x14ac:dyDescent="0.2">
      <c r="A4641" s="735" t="s">
        <v>11808</v>
      </c>
      <c r="B4641" s="646" t="s">
        <v>11337</v>
      </c>
      <c r="C4641" s="735" t="s">
        <v>451</v>
      </c>
      <c r="D4641" s="644" t="s">
        <v>11863</v>
      </c>
      <c r="E4641" s="736">
        <v>7000</v>
      </c>
      <c r="F4641" s="638" t="s">
        <v>11864</v>
      </c>
      <c r="G4641" s="636" t="s">
        <v>11865</v>
      </c>
      <c r="H4641" s="636" t="s">
        <v>11866</v>
      </c>
      <c r="I4641" s="636" t="s">
        <v>11839</v>
      </c>
      <c r="J4641" s="644" t="s">
        <v>11866</v>
      </c>
      <c r="K4641" s="735">
        <v>1</v>
      </c>
      <c r="L4641" s="735">
        <v>3</v>
      </c>
      <c r="M4641" s="736">
        <v>21678.230000000003</v>
      </c>
      <c r="N4641" s="735"/>
      <c r="O4641" s="735">
        <v>0</v>
      </c>
      <c r="P4641" s="736">
        <v>0</v>
      </c>
      <c r="Q4641" s="214"/>
    </row>
    <row r="4642" spans="1:17" ht="12" customHeight="1" x14ac:dyDescent="0.2">
      <c r="A4642" s="735" t="s">
        <v>11808</v>
      </c>
      <c r="B4642" s="646" t="s">
        <v>11337</v>
      </c>
      <c r="C4642" s="735" t="s">
        <v>451</v>
      </c>
      <c r="D4642" s="644" t="s">
        <v>11867</v>
      </c>
      <c r="E4642" s="736">
        <v>1800</v>
      </c>
      <c r="F4642" s="638" t="s">
        <v>11868</v>
      </c>
      <c r="G4642" s="636" t="s">
        <v>11869</v>
      </c>
      <c r="H4642" s="636" t="s">
        <v>8089</v>
      </c>
      <c r="I4642" s="636" t="s">
        <v>2180</v>
      </c>
      <c r="J4642" s="644" t="s">
        <v>8874</v>
      </c>
      <c r="K4642" s="735">
        <v>6</v>
      </c>
      <c r="L4642" s="735">
        <v>12</v>
      </c>
      <c r="M4642" s="736">
        <v>26319.599999999999</v>
      </c>
      <c r="N4642" s="735"/>
      <c r="O4642" s="735">
        <v>0</v>
      </c>
      <c r="P4642" s="736">
        <v>0</v>
      </c>
      <c r="Q4642" s="214"/>
    </row>
    <row r="4643" spans="1:17" ht="12" customHeight="1" x14ac:dyDescent="0.2">
      <c r="A4643" s="735" t="s">
        <v>11808</v>
      </c>
      <c r="B4643" s="646" t="s">
        <v>11337</v>
      </c>
      <c r="C4643" s="735" t="s">
        <v>451</v>
      </c>
      <c r="D4643" s="644" t="s">
        <v>11870</v>
      </c>
      <c r="E4643" s="736">
        <v>3000</v>
      </c>
      <c r="F4643" s="638" t="s">
        <v>11871</v>
      </c>
      <c r="G4643" s="636" t="s">
        <v>11872</v>
      </c>
      <c r="H4643" s="636" t="s">
        <v>2189</v>
      </c>
      <c r="I4643" s="636" t="s">
        <v>2180</v>
      </c>
      <c r="J4643" s="644" t="s">
        <v>2189</v>
      </c>
      <c r="K4643" s="735">
        <v>5</v>
      </c>
      <c r="L4643" s="735">
        <v>7</v>
      </c>
      <c r="M4643" s="736">
        <v>23738.1</v>
      </c>
      <c r="N4643" s="735"/>
      <c r="O4643" s="735">
        <v>0</v>
      </c>
      <c r="P4643" s="736">
        <v>0</v>
      </c>
      <c r="Q4643" s="214"/>
    </row>
    <row r="4644" spans="1:17" ht="12" customHeight="1" x14ac:dyDescent="0.2">
      <c r="A4644" s="735" t="s">
        <v>11808</v>
      </c>
      <c r="B4644" s="646" t="s">
        <v>11337</v>
      </c>
      <c r="C4644" s="735" t="s">
        <v>451</v>
      </c>
      <c r="D4644" s="644" t="s">
        <v>11873</v>
      </c>
      <c r="E4644" s="736">
        <v>2600</v>
      </c>
      <c r="F4644" s="638" t="s">
        <v>11874</v>
      </c>
      <c r="G4644" s="636" t="s">
        <v>11875</v>
      </c>
      <c r="H4644" s="636" t="s">
        <v>2979</v>
      </c>
      <c r="I4644" s="636" t="s">
        <v>643</v>
      </c>
      <c r="J4644" s="644" t="s">
        <v>2979</v>
      </c>
      <c r="K4644" s="735">
        <v>3</v>
      </c>
      <c r="L4644" s="735">
        <v>8</v>
      </c>
      <c r="M4644" s="736">
        <v>23699.730000000003</v>
      </c>
      <c r="N4644" s="735"/>
      <c r="O4644" s="735">
        <v>0</v>
      </c>
      <c r="P4644" s="736">
        <v>0</v>
      </c>
      <c r="Q4644" s="214"/>
    </row>
    <row r="4645" spans="1:17" ht="12" customHeight="1" x14ac:dyDescent="0.2">
      <c r="A4645" s="735" t="s">
        <v>11808</v>
      </c>
      <c r="B4645" s="646" t="s">
        <v>11337</v>
      </c>
      <c r="C4645" s="735" t="s">
        <v>451</v>
      </c>
      <c r="D4645" s="644" t="s">
        <v>11876</v>
      </c>
      <c r="E4645" s="736">
        <v>4000</v>
      </c>
      <c r="F4645" s="638" t="s">
        <v>11877</v>
      </c>
      <c r="G4645" s="636" t="s">
        <v>11878</v>
      </c>
      <c r="H4645" s="636" t="s">
        <v>3754</v>
      </c>
      <c r="I4645" s="636" t="s">
        <v>2180</v>
      </c>
      <c r="J4645" s="644" t="s">
        <v>8257</v>
      </c>
      <c r="K4645" s="735">
        <v>6</v>
      </c>
      <c r="L4645" s="735">
        <v>12</v>
      </c>
      <c r="M4645" s="736">
        <v>52779.600000000006</v>
      </c>
      <c r="N4645" s="735">
        <v>2</v>
      </c>
      <c r="O4645" s="735">
        <v>6</v>
      </c>
      <c r="P4645" s="736">
        <v>25044.780000000002</v>
      </c>
      <c r="Q4645" s="214"/>
    </row>
    <row r="4646" spans="1:17" ht="12" customHeight="1" x14ac:dyDescent="0.2">
      <c r="A4646" s="735" t="s">
        <v>11808</v>
      </c>
      <c r="B4646" s="646" t="s">
        <v>11337</v>
      </c>
      <c r="C4646" s="735" t="s">
        <v>451</v>
      </c>
      <c r="D4646" s="644" t="s">
        <v>11879</v>
      </c>
      <c r="E4646" s="736">
        <v>5000</v>
      </c>
      <c r="F4646" s="638" t="s">
        <v>11880</v>
      </c>
      <c r="G4646" s="636" t="s">
        <v>11881</v>
      </c>
      <c r="H4646" s="636" t="s">
        <v>11882</v>
      </c>
      <c r="I4646" s="636" t="s">
        <v>2180</v>
      </c>
      <c r="J4646" s="644" t="s">
        <v>11883</v>
      </c>
      <c r="K4646" s="735">
        <v>5</v>
      </c>
      <c r="L4646" s="735">
        <v>12</v>
      </c>
      <c r="M4646" s="736">
        <v>64612.930000000008</v>
      </c>
      <c r="N4646" s="735">
        <v>1</v>
      </c>
      <c r="O4646" s="735">
        <v>6</v>
      </c>
      <c r="P4646" s="736">
        <v>31044.780000000002</v>
      </c>
      <c r="Q4646" s="214"/>
    </row>
    <row r="4647" spans="1:17" ht="12" customHeight="1" x14ac:dyDescent="0.2">
      <c r="A4647" s="735" t="s">
        <v>11808</v>
      </c>
      <c r="B4647" s="646" t="s">
        <v>11337</v>
      </c>
      <c r="C4647" s="735" t="s">
        <v>451</v>
      </c>
      <c r="D4647" s="644" t="s">
        <v>11884</v>
      </c>
      <c r="E4647" s="736">
        <v>5000</v>
      </c>
      <c r="F4647" s="638" t="s">
        <v>11885</v>
      </c>
      <c r="G4647" s="636" t="s">
        <v>11886</v>
      </c>
      <c r="H4647" s="636" t="s">
        <v>6778</v>
      </c>
      <c r="I4647" s="636" t="s">
        <v>2766</v>
      </c>
      <c r="J4647" s="644" t="s">
        <v>2647</v>
      </c>
      <c r="K4647" s="735">
        <v>6</v>
      </c>
      <c r="L4647" s="735">
        <v>12</v>
      </c>
      <c r="M4647" s="736">
        <v>64779.600000000006</v>
      </c>
      <c r="N4647" s="735">
        <v>1</v>
      </c>
      <c r="O4647" s="735">
        <v>6</v>
      </c>
      <c r="P4647" s="736">
        <v>31044.780000000002</v>
      </c>
      <c r="Q4647" s="214"/>
    </row>
    <row r="4648" spans="1:17" ht="12.75" customHeight="1" x14ac:dyDescent="0.2">
      <c r="A4648" s="735" t="s">
        <v>11808</v>
      </c>
      <c r="B4648" s="646" t="s">
        <v>11337</v>
      </c>
      <c r="C4648" s="735" t="s">
        <v>451</v>
      </c>
      <c r="D4648" s="644" t="s">
        <v>11887</v>
      </c>
      <c r="E4648" s="736">
        <v>9000</v>
      </c>
      <c r="F4648" s="638" t="s">
        <v>11888</v>
      </c>
      <c r="G4648" s="636" t="s">
        <v>11889</v>
      </c>
      <c r="H4648" s="636" t="s">
        <v>2236</v>
      </c>
      <c r="I4648" s="636" t="s">
        <v>6548</v>
      </c>
      <c r="J4648" s="644" t="s">
        <v>2236</v>
      </c>
      <c r="K4648" s="735">
        <v>3</v>
      </c>
      <c r="L4648" s="735">
        <v>8</v>
      </c>
      <c r="M4648" s="736">
        <v>75086.399999999994</v>
      </c>
      <c r="N4648" s="735"/>
      <c r="O4648" s="735">
        <v>0</v>
      </c>
      <c r="P4648" s="736">
        <v>0</v>
      </c>
      <c r="Q4648" s="214"/>
    </row>
    <row r="4649" spans="1:17" ht="12" customHeight="1" x14ac:dyDescent="0.2">
      <c r="A4649" s="735" t="s">
        <v>11808</v>
      </c>
      <c r="B4649" s="646" t="s">
        <v>11337</v>
      </c>
      <c r="C4649" s="735" t="s">
        <v>451</v>
      </c>
      <c r="D4649" s="644" t="s">
        <v>11890</v>
      </c>
      <c r="E4649" s="736">
        <v>2000</v>
      </c>
      <c r="F4649" s="638" t="s">
        <v>11891</v>
      </c>
      <c r="G4649" s="636" t="s">
        <v>11892</v>
      </c>
      <c r="H4649" s="636" t="s">
        <v>2551</v>
      </c>
      <c r="I4649" s="636" t="s">
        <v>2180</v>
      </c>
      <c r="J4649" s="644" t="s">
        <v>8257</v>
      </c>
      <c r="K4649" s="735">
        <v>5</v>
      </c>
      <c r="L4649" s="735">
        <v>12</v>
      </c>
      <c r="M4649" s="736">
        <v>28712.93</v>
      </c>
      <c r="N4649" s="735">
        <v>1</v>
      </c>
      <c r="O4649" s="735">
        <v>6</v>
      </c>
      <c r="P4649" s="736">
        <v>13044.780000000002</v>
      </c>
      <c r="Q4649" s="214"/>
    </row>
    <row r="4650" spans="1:17" ht="12" customHeight="1" x14ac:dyDescent="0.2">
      <c r="A4650" s="735" t="s">
        <v>11808</v>
      </c>
      <c r="B4650" s="646" t="s">
        <v>11337</v>
      </c>
      <c r="C4650" s="735" t="s">
        <v>451</v>
      </c>
      <c r="D4650" s="644" t="s">
        <v>11893</v>
      </c>
      <c r="E4650" s="736">
        <v>3000</v>
      </c>
      <c r="F4650" s="638" t="s">
        <v>11894</v>
      </c>
      <c r="G4650" s="636" t="s">
        <v>11895</v>
      </c>
      <c r="H4650" s="636" t="s">
        <v>10257</v>
      </c>
      <c r="I4650" s="636" t="s">
        <v>2180</v>
      </c>
      <c r="J4650" s="644" t="s">
        <v>11896</v>
      </c>
      <c r="K4650" s="735">
        <v>5</v>
      </c>
      <c r="L4650" s="735">
        <v>12</v>
      </c>
      <c r="M4650" s="736">
        <v>40679.600000000006</v>
      </c>
      <c r="N4650" s="735">
        <v>1</v>
      </c>
      <c r="O4650" s="735">
        <v>6</v>
      </c>
      <c r="P4650" s="736">
        <v>19044.780000000002</v>
      </c>
      <c r="Q4650" s="214"/>
    </row>
    <row r="4651" spans="1:17" ht="12" customHeight="1" x14ac:dyDescent="0.2">
      <c r="A4651" s="735" t="s">
        <v>11808</v>
      </c>
      <c r="B4651" s="646" t="s">
        <v>11337</v>
      </c>
      <c r="C4651" s="735" t="s">
        <v>451</v>
      </c>
      <c r="D4651" s="644" t="s">
        <v>2384</v>
      </c>
      <c r="E4651" s="736">
        <v>1600</v>
      </c>
      <c r="F4651" s="638" t="s">
        <v>11897</v>
      </c>
      <c r="G4651" s="636" t="s">
        <v>11898</v>
      </c>
      <c r="H4651" s="636" t="s">
        <v>7820</v>
      </c>
      <c r="I4651" s="636" t="s">
        <v>2180</v>
      </c>
      <c r="J4651" s="644" t="s">
        <v>11899</v>
      </c>
      <c r="K4651" s="735">
        <v>6</v>
      </c>
      <c r="L4651" s="735">
        <v>12</v>
      </c>
      <c r="M4651" s="736">
        <v>23979.599999999999</v>
      </c>
      <c r="N4651" s="735">
        <v>1</v>
      </c>
      <c r="O4651" s="735">
        <v>6</v>
      </c>
      <c r="P4651" s="736">
        <v>10644.780000000002</v>
      </c>
      <c r="Q4651" s="214"/>
    </row>
    <row r="4652" spans="1:17" ht="12" customHeight="1" x14ac:dyDescent="0.2">
      <c r="A4652" s="735" t="s">
        <v>11808</v>
      </c>
      <c r="B4652" s="646" t="s">
        <v>11337</v>
      </c>
      <c r="C4652" s="735" t="s">
        <v>451</v>
      </c>
      <c r="D4652" s="644" t="s">
        <v>11900</v>
      </c>
      <c r="E4652" s="736">
        <v>2800</v>
      </c>
      <c r="F4652" s="638" t="s">
        <v>11901</v>
      </c>
      <c r="G4652" s="636" t="s">
        <v>11902</v>
      </c>
      <c r="H4652" s="636" t="s">
        <v>3754</v>
      </c>
      <c r="I4652" s="636" t="s">
        <v>2180</v>
      </c>
      <c r="J4652" s="644" t="s">
        <v>8257</v>
      </c>
      <c r="K4652" s="735">
        <v>6</v>
      </c>
      <c r="L4652" s="735">
        <v>12</v>
      </c>
      <c r="M4652" s="736">
        <v>38379.600000000006</v>
      </c>
      <c r="N4652" s="735">
        <v>1</v>
      </c>
      <c r="O4652" s="735">
        <v>6</v>
      </c>
      <c r="P4652" s="736">
        <v>17844.780000000002</v>
      </c>
      <c r="Q4652" s="214"/>
    </row>
    <row r="4653" spans="1:17" ht="12" customHeight="1" x14ac:dyDescent="0.2">
      <c r="A4653" s="735" t="s">
        <v>11808</v>
      </c>
      <c r="B4653" s="646" t="s">
        <v>11337</v>
      </c>
      <c r="C4653" s="735" t="s">
        <v>451</v>
      </c>
      <c r="D4653" s="644" t="s">
        <v>11903</v>
      </c>
      <c r="E4653" s="736">
        <v>1500</v>
      </c>
      <c r="F4653" s="638" t="s">
        <v>11904</v>
      </c>
      <c r="G4653" s="636" t="s">
        <v>11905</v>
      </c>
      <c r="H4653" s="636" t="s">
        <v>7295</v>
      </c>
      <c r="I4653" s="636" t="s">
        <v>2180</v>
      </c>
      <c r="J4653" s="644" t="s">
        <v>11906</v>
      </c>
      <c r="K4653" s="735">
        <v>6</v>
      </c>
      <c r="L4653" s="735">
        <v>12</v>
      </c>
      <c r="M4653" s="736">
        <v>22779.599999999999</v>
      </c>
      <c r="N4653" s="735">
        <v>2</v>
      </c>
      <c r="O4653" s="735">
        <v>6</v>
      </c>
      <c r="P4653" s="736">
        <v>10044.780000000002</v>
      </c>
      <c r="Q4653" s="214"/>
    </row>
    <row r="4654" spans="1:17" ht="12" customHeight="1" x14ac:dyDescent="0.2">
      <c r="A4654" s="735" t="s">
        <v>11808</v>
      </c>
      <c r="B4654" s="646" t="s">
        <v>11337</v>
      </c>
      <c r="C4654" s="735" t="s">
        <v>451</v>
      </c>
      <c r="D4654" s="644" t="s">
        <v>3879</v>
      </c>
      <c r="E4654" s="736">
        <v>6500</v>
      </c>
      <c r="F4654" s="638" t="s">
        <v>11907</v>
      </c>
      <c r="G4654" s="636" t="s">
        <v>11908</v>
      </c>
      <c r="H4654" s="636" t="s">
        <v>2189</v>
      </c>
      <c r="I4654" s="636" t="s">
        <v>2180</v>
      </c>
      <c r="J4654" s="644" t="s">
        <v>2189</v>
      </c>
      <c r="K4654" s="735">
        <v>3</v>
      </c>
      <c r="L4654" s="735">
        <v>9</v>
      </c>
      <c r="M4654" s="736">
        <v>62234.7</v>
      </c>
      <c r="N4654" s="735">
        <v>1</v>
      </c>
      <c r="O4654" s="735">
        <v>6</v>
      </c>
      <c r="P4654" s="736">
        <v>40044.78</v>
      </c>
      <c r="Q4654" s="214"/>
    </row>
    <row r="4655" spans="1:17" ht="12" customHeight="1" x14ac:dyDescent="0.2">
      <c r="A4655" s="735" t="s">
        <v>11808</v>
      </c>
      <c r="B4655" s="646" t="s">
        <v>11337</v>
      </c>
      <c r="C4655" s="735" t="s">
        <v>451</v>
      </c>
      <c r="D4655" s="644" t="s">
        <v>11909</v>
      </c>
      <c r="E4655" s="736">
        <v>5500</v>
      </c>
      <c r="F4655" s="638" t="s">
        <v>11910</v>
      </c>
      <c r="G4655" s="636" t="s">
        <v>11911</v>
      </c>
      <c r="H4655" s="636" t="s">
        <v>6778</v>
      </c>
      <c r="I4655" s="636" t="s">
        <v>4559</v>
      </c>
      <c r="J4655" s="644" t="s">
        <v>197</v>
      </c>
      <c r="K4655" s="735">
        <v>5</v>
      </c>
      <c r="L4655" s="735">
        <v>12</v>
      </c>
      <c r="M4655" s="736">
        <v>70779.600000000006</v>
      </c>
      <c r="N4655" s="735">
        <v>1</v>
      </c>
      <c r="O4655" s="735">
        <v>6</v>
      </c>
      <c r="P4655" s="736">
        <v>34044.78</v>
      </c>
      <c r="Q4655" s="214"/>
    </row>
    <row r="4656" spans="1:17" ht="12" customHeight="1" x14ac:dyDescent="0.2">
      <c r="A4656" s="735" t="s">
        <v>11808</v>
      </c>
      <c r="B4656" s="646" t="s">
        <v>11337</v>
      </c>
      <c r="C4656" s="735" t="s">
        <v>451</v>
      </c>
      <c r="D4656" s="644" t="s">
        <v>11912</v>
      </c>
      <c r="E4656" s="736">
        <v>2000</v>
      </c>
      <c r="F4656" s="638" t="s">
        <v>11913</v>
      </c>
      <c r="G4656" s="636" t="s">
        <v>11914</v>
      </c>
      <c r="H4656" s="636" t="s">
        <v>11915</v>
      </c>
      <c r="I4656" s="636" t="s">
        <v>3760</v>
      </c>
      <c r="J4656" s="644" t="s">
        <v>11916</v>
      </c>
      <c r="K4656" s="735">
        <v>5</v>
      </c>
      <c r="L4656" s="735">
        <v>9</v>
      </c>
      <c r="M4656" s="736">
        <v>21434.699999999997</v>
      </c>
      <c r="N4656" s="735"/>
      <c r="O4656" s="735">
        <v>0</v>
      </c>
      <c r="P4656" s="736">
        <v>0</v>
      </c>
      <c r="Q4656" s="214"/>
    </row>
    <row r="4657" spans="1:17" ht="12" customHeight="1" x14ac:dyDescent="0.2">
      <c r="A4657" s="735" t="s">
        <v>11808</v>
      </c>
      <c r="B4657" s="646" t="s">
        <v>11337</v>
      </c>
      <c r="C4657" s="735" t="s">
        <v>451</v>
      </c>
      <c r="D4657" s="644" t="s">
        <v>11917</v>
      </c>
      <c r="E4657" s="736">
        <v>13000</v>
      </c>
      <c r="F4657" s="638" t="s">
        <v>11918</v>
      </c>
      <c r="G4657" s="636" t="s">
        <v>11919</v>
      </c>
      <c r="H4657" s="636" t="s">
        <v>11194</v>
      </c>
      <c r="I4657" s="636" t="s">
        <v>6548</v>
      </c>
      <c r="J4657" s="644" t="s">
        <v>11194</v>
      </c>
      <c r="K4657" s="735">
        <v>1</v>
      </c>
      <c r="L4657" s="735">
        <v>2</v>
      </c>
      <c r="M4657" s="736">
        <v>26696.6</v>
      </c>
      <c r="N4657" s="735"/>
      <c r="O4657" s="735">
        <v>0</v>
      </c>
      <c r="P4657" s="736">
        <v>0</v>
      </c>
      <c r="Q4657" s="214"/>
    </row>
    <row r="4658" spans="1:17" ht="12" customHeight="1" x14ac:dyDescent="0.2">
      <c r="A4658" s="735" t="s">
        <v>11808</v>
      </c>
      <c r="B4658" s="646" t="s">
        <v>11337</v>
      </c>
      <c r="C4658" s="735" t="s">
        <v>451</v>
      </c>
      <c r="D4658" s="644" t="s">
        <v>11920</v>
      </c>
      <c r="E4658" s="736">
        <v>1750</v>
      </c>
      <c r="F4658" s="638" t="s">
        <v>11921</v>
      </c>
      <c r="G4658" s="636" t="s">
        <v>11922</v>
      </c>
      <c r="H4658" s="636" t="s">
        <v>11923</v>
      </c>
      <c r="I4658" s="636" t="s">
        <v>2180</v>
      </c>
      <c r="J4658" s="644" t="s">
        <v>8559</v>
      </c>
      <c r="K4658" s="735">
        <v>6</v>
      </c>
      <c r="L4658" s="735">
        <v>12</v>
      </c>
      <c r="M4658" s="736">
        <v>25779.599999999999</v>
      </c>
      <c r="N4658" s="735">
        <v>1</v>
      </c>
      <c r="O4658" s="735">
        <v>6</v>
      </c>
      <c r="P4658" s="736">
        <v>11544.780000000002</v>
      </c>
      <c r="Q4658" s="214"/>
    </row>
    <row r="4659" spans="1:17" ht="12" customHeight="1" x14ac:dyDescent="0.2">
      <c r="A4659" s="735" t="s">
        <v>11808</v>
      </c>
      <c r="B4659" s="646" t="s">
        <v>11337</v>
      </c>
      <c r="C4659" s="735" t="s">
        <v>451</v>
      </c>
      <c r="D4659" s="644" t="s">
        <v>11924</v>
      </c>
      <c r="E4659" s="736">
        <v>4000</v>
      </c>
      <c r="F4659" s="638" t="s">
        <v>11925</v>
      </c>
      <c r="G4659" s="636" t="s">
        <v>11926</v>
      </c>
      <c r="H4659" s="636" t="s">
        <v>9658</v>
      </c>
      <c r="I4659" s="636" t="s">
        <v>2766</v>
      </c>
      <c r="J4659" s="644" t="s">
        <v>11821</v>
      </c>
      <c r="K4659" s="735">
        <v>6</v>
      </c>
      <c r="L4659" s="735">
        <v>12</v>
      </c>
      <c r="M4659" s="736">
        <v>52779.600000000006</v>
      </c>
      <c r="N4659" s="735">
        <v>2</v>
      </c>
      <c r="O4659" s="735">
        <v>6</v>
      </c>
      <c r="P4659" s="736">
        <v>25044.780000000002</v>
      </c>
      <c r="Q4659" s="214"/>
    </row>
    <row r="4660" spans="1:17" ht="12" customHeight="1" x14ac:dyDescent="0.2">
      <c r="A4660" s="735" t="s">
        <v>11808</v>
      </c>
      <c r="B4660" s="646" t="s">
        <v>11337</v>
      </c>
      <c r="C4660" s="735" t="s">
        <v>451</v>
      </c>
      <c r="D4660" s="644" t="s">
        <v>11927</v>
      </c>
      <c r="E4660" s="736">
        <v>2000</v>
      </c>
      <c r="F4660" s="638" t="s">
        <v>11928</v>
      </c>
      <c r="G4660" s="636" t="s">
        <v>11929</v>
      </c>
      <c r="H4660" s="636" t="s">
        <v>11930</v>
      </c>
      <c r="I4660" s="636" t="s">
        <v>2180</v>
      </c>
      <c r="J4660" s="644" t="s">
        <v>2416</v>
      </c>
      <c r="K4660" s="735">
        <v>6</v>
      </c>
      <c r="L4660" s="735">
        <v>12</v>
      </c>
      <c r="M4660" s="736">
        <v>28779.599999999999</v>
      </c>
      <c r="N4660" s="735">
        <v>2</v>
      </c>
      <c r="O4660" s="735">
        <v>6</v>
      </c>
      <c r="P4660" s="736">
        <v>13044.780000000002</v>
      </c>
      <c r="Q4660" s="214"/>
    </row>
    <row r="4661" spans="1:17" ht="12" customHeight="1" x14ac:dyDescent="0.2">
      <c r="A4661" s="735" t="s">
        <v>11808</v>
      </c>
      <c r="B4661" s="646" t="s">
        <v>11337</v>
      </c>
      <c r="C4661" s="735" t="s">
        <v>451</v>
      </c>
      <c r="D4661" s="644" t="s">
        <v>11931</v>
      </c>
      <c r="E4661" s="736">
        <v>5000</v>
      </c>
      <c r="F4661" s="638" t="s">
        <v>11932</v>
      </c>
      <c r="G4661" s="636" t="s">
        <v>11933</v>
      </c>
      <c r="H4661" s="636" t="s">
        <v>11882</v>
      </c>
      <c r="I4661" s="636" t="s">
        <v>2180</v>
      </c>
      <c r="J4661" s="644" t="s">
        <v>11883</v>
      </c>
      <c r="K4661" s="735">
        <v>5</v>
      </c>
      <c r="L4661" s="735">
        <v>12</v>
      </c>
      <c r="M4661" s="736">
        <v>64279.600000000006</v>
      </c>
      <c r="N4661" s="735">
        <v>1</v>
      </c>
      <c r="O4661" s="735">
        <v>6</v>
      </c>
      <c r="P4661" s="736">
        <v>31044.780000000002</v>
      </c>
      <c r="Q4661" s="214"/>
    </row>
    <row r="4662" spans="1:17" ht="12" customHeight="1" x14ac:dyDescent="0.2">
      <c r="A4662" s="735" t="s">
        <v>11808</v>
      </c>
      <c r="B4662" s="646" t="s">
        <v>11337</v>
      </c>
      <c r="C4662" s="735" t="s">
        <v>451</v>
      </c>
      <c r="D4662" s="644" t="s">
        <v>11934</v>
      </c>
      <c r="E4662" s="736">
        <v>2100</v>
      </c>
      <c r="F4662" s="638" t="s">
        <v>11935</v>
      </c>
      <c r="G4662" s="636" t="s">
        <v>11936</v>
      </c>
      <c r="H4662" s="636" t="s">
        <v>7241</v>
      </c>
      <c r="I4662" s="636" t="s">
        <v>2180</v>
      </c>
      <c r="J4662" s="644" t="s">
        <v>11937</v>
      </c>
      <c r="K4662" s="735">
        <v>6</v>
      </c>
      <c r="L4662" s="735">
        <v>12</v>
      </c>
      <c r="M4662" s="736">
        <v>29979.599999999999</v>
      </c>
      <c r="N4662" s="735">
        <v>1</v>
      </c>
      <c r="O4662" s="735">
        <v>6</v>
      </c>
      <c r="P4662" s="736">
        <v>13644.780000000002</v>
      </c>
      <c r="Q4662" s="214"/>
    </row>
    <row r="4663" spans="1:17" ht="12" customHeight="1" x14ac:dyDescent="0.2">
      <c r="A4663" s="735" t="s">
        <v>11808</v>
      </c>
      <c r="B4663" s="646" t="s">
        <v>11337</v>
      </c>
      <c r="C4663" s="735" t="s">
        <v>451</v>
      </c>
      <c r="D4663" s="644" t="s">
        <v>11920</v>
      </c>
      <c r="E4663" s="736">
        <v>1800</v>
      </c>
      <c r="F4663" s="638" t="s">
        <v>11938</v>
      </c>
      <c r="G4663" s="636" t="s">
        <v>11939</v>
      </c>
      <c r="H4663" s="636" t="s">
        <v>6848</v>
      </c>
      <c r="I4663" s="636" t="s">
        <v>2180</v>
      </c>
      <c r="J4663" s="644" t="s">
        <v>2602</v>
      </c>
      <c r="K4663" s="735">
        <v>6</v>
      </c>
      <c r="L4663" s="735">
        <v>12</v>
      </c>
      <c r="M4663" s="736">
        <v>26199.599999999999</v>
      </c>
      <c r="N4663" s="735">
        <v>2</v>
      </c>
      <c r="O4663" s="735">
        <v>6</v>
      </c>
      <c r="P4663" s="736">
        <v>11844.780000000002</v>
      </c>
      <c r="Q4663" s="214"/>
    </row>
    <row r="4664" spans="1:17" ht="12" customHeight="1" x14ac:dyDescent="0.2">
      <c r="A4664" s="735" t="s">
        <v>11808</v>
      </c>
      <c r="B4664" s="646" t="s">
        <v>11337</v>
      </c>
      <c r="C4664" s="735" t="s">
        <v>451</v>
      </c>
      <c r="D4664" s="644" t="s">
        <v>11940</v>
      </c>
      <c r="E4664" s="736">
        <v>12500</v>
      </c>
      <c r="F4664" s="638" t="s">
        <v>11941</v>
      </c>
      <c r="G4664" s="636" t="s">
        <v>11942</v>
      </c>
      <c r="H4664" s="636" t="s">
        <v>3915</v>
      </c>
      <c r="I4664" s="636" t="s">
        <v>2180</v>
      </c>
      <c r="J4664" s="644" t="s">
        <v>3070</v>
      </c>
      <c r="K4664" s="735">
        <v>1</v>
      </c>
      <c r="L4664" s="735">
        <v>4</v>
      </c>
      <c r="M4664" s="736">
        <v>51393.2</v>
      </c>
      <c r="N4664" s="735"/>
      <c r="O4664" s="735">
        <v>0</v>
      </c>
      <c r="P4664" s="736">
        <v>0</v>
      </c>
      <c r="Q4664" s="214"/>
    </row>
    <row r="4665" spans="1:17" ht="12" customHeight="1" x14ac:dyDescent="0.2">
      <c r="A4665" s="735" t="s">
        <v>11808</v>
      </c>
      <c r="B4665" s="646" t="s">
        <v>11337</v>
      </c>
      <c r="C4665" s="735" t="s">
        <v>451</v>
      </c>
      <c r="D4665" s="644" t="s">
        <v>3464</v>
      </c>
      <c r="E4665" s="736">
        <v>2000</v>
      </c>
      <c r="F4665" s="638" t="s">
        <v>11943</v>
      </c>
      <c r="G4665" s="636" t="s">
        <v>11944</v>
      </c>
      <c r="H4665" s="636" t="s">
        <v>197</v>
      </c>
      <c r="I4665" s="636" t="s">
        <v>2253</v>
      </c>
      <c r="J4665" s="644" t="s">
        <v>197</v>
      </c>
      <c r="K4665" s="735">
        <v>6</v>
      </c>
      <c r="L4665" s="735">
        <v>12</v>
      </c>
      <c r="M4665" s="736">
        <v>28779.599999999999</v>
      </c>
      <c r="N4665" s="735">
        <v>1</v>
      </c>
      <c r="O4665" s="735">
        <v>6</v>
      </c>
      <c r="P4665" s="736">
        <v>13044.780000000002</v>
      </c>
      <c r="Q4665" s="214"/>
    </row>
    <row r="4666" spans="1:17" ht="12" customHeight="1" x14ac:dyDescent="0.2">
      <c r="A4666" s="735" t="s">
        <v>11808</v>
      </c>
      <c r="B4666" s="646" t="s">
        <v>11337</v>
      </c>
      <c r="C4666" s="735" t="s">
        <v>451</v>
      </c>
      <c r="D4666" s="644" t="s">
        <v>11945</v>
      </c>
      <c r="E4666" s="736">
        <v>6500</v>
      </c>
      <c r="F4666" s="638" t="s">
        <v>11946</v>
      </c>
      <c r="G4666" s="636" t="s">
        <v>11947</v>
      </c>
      <c r="H4666" s="636" t="s">
        <v>2189</v>
      </c>
      <c r="I4666" s="636" t="s">
        <v>2180</v>
      </c>
      <c r="J4666" s="644" t="s">
        <v>2189</v>
      </c>
      <c r="K4666" s="735">
        <v>3</v>
      </c>
      <c r="L4666" s="735">
        <v>4</v>
      </c>
      <c r="M4666" s="736">
        <v>27693.199999999997</v>
      </c>
      <c r="N4666" s="735"/>
      <c r="O4666" s="735">
        <v>0</v>
      </c>
      <c r="P4666" s="736">
        <v>0</v>
      </c>
      <c r="Q4666" s="214"/>
    </row>
    <row r="4667" spans="1:17" ht="12" customHeight="1" x14ac:dyDescent="0.2">
      <c r="A4667" s="735" t="s">
        <v>11808</v>
      </c>
      <c r="B4667" s="646" t="s">
        <v>11337</v>
      </c>
      <c r="C4667" s="735" t="s">
        <v>451</v>
      </c>
      <c r="D4667" s="644" t="s">
        <v>11948</v>
      </c>
      <c r="E4667" s="736">
        <v>7500</v>
      </c>
      <c r="F4667" s="638" t="s">
        <v>11949</v>
      </c>
      <c r="G4667" s="636" t="s">
        <v>11950</v>
      </c>
      <c r="H4667" s="636" t="s">
        <v>11070</v>
      </c>
      <c r="I4667" s="636" t="s">
        <v>2180</v>
      </c>
      <c r="J4667" s="644" t="s">
        <v>11070</v>
      </c>
      <c r="K4667" s="735">
        <v>2</v>
      </c>
      <c r="L4667" s="735">
        <v>7</v>
      </c>
      <c r="M4667" s="736">
        <v>55338.100000000006</v>
      </c>
      <c r="N4667" s="735">
        <v>1</v>
      </c>
      <c r="O4667" s="735">
        <v>6</v>
      </c>
      <c r="P4667" s="736">
        <v>46044.78</v>
      </c>
      <c r="Q4667" s="214"/>
    </row>
    <row r="4668" spans="1:17" ht="12" customHeight="1" x14ac:dyDescent="0.2">
      <c r="A4668" s="735" t="s">
        <v>11808</v>
      </c>
      <c r="B4668" s="646" t="s">
        <v>11337</v>
      </c>
      <c r="C4668" s="735" t="s">
        <v>451</v>
      </c>
      <c r="D4668" s="644" t="s">
        <v>11951</v>
      </c>
      <c r="E4668" s="736">
        <v>1800</v>
      </c>
      <c r="F4668" s="638" t="s">
        <v>11952</v>
      </c>
      <c r="G4668" s="636" t="s">
        <v>11953</v>
      </c>
      <c r="H4668" s="636" t="s">
        <v>11954</v>
      </c>
      <c r="I4668" s="636" t="s">
        <v>2766</v>
      </c>
      <c r="J4668" s="644" t="s">
        <v>11955</v>
      </c>
      <c r="K4668" s="735">
        <v>6</v>
      </c>
      <c r="L4668" s="735">
        <v>12</v>
      </c>
      <c r="M4668" s="736">
        <v>26379.599999999999</v>
      </c>
      <c r="N4668" s="735">
        <v>1</v>
      </c>
      <c r="O4668" s="735">
        <v>6</v>
      </c>
      <c r="P4668" s="736">
        <v>11844.780000000002</v>
      </c>
      <c r="Q4668" s="214"/>
    </row>
    <row r="4669" spans="1:17" ht="12" customHeight="1" x14ac:dyDescent="0.2">
      <c r="A4669" s="735" t="s">
        <v>11808</v>
      </c>
      <c r="B4669" s="646" t="s">
        <v>11337</v>
      </c>
      <c r="C4669" s="735" t="s">
        <v>451</v>
      </c>
      <c r="D4669" s="644" t="s">
        <v>11956</v>
      </c>
      <c r="E4669" s="736">
        <v>2500</v>
      </c>
      <c r="F4669" s="638" t="s">
        <v>11957</v>
      </c>
      <c r="G4669" s="636" t="s">
        <v>11958</v>
      </c>
      <c r="H4669" s="636" t="s">
        <v>2543</v>
      </c>
      <c r="I4669" s="636" t="s">
        <v>2180</v>
      </c>
      <c r="J4669" s="644" t="s">
        <v>2543</v>
      </c>
      <c r="K4669" s="735">
        <v>6</v>
      </c>
      <c r="L4669" s="735">
        <v>10</v>
      </c>
      <c r="M4669" s="736">
        <v>34274.160000000003</v>
      </c>
      <c r="N4669" s="735">
        <v>4</v>
      </c>
      <c r="O4669" s="735">
        <v>6</v>
      </c>
      <c r="P4669" s="736">
        <v>31901.939999999995</v>
      </c>
      <c r="Q4669" s="214"/>
    </row>
    <row r="4670" spans="1:17" ht="12" customHeight="1" x14ac:dyDescent="0.2">
      <c r="A4670" s="735" t="s">
        <v>11808</v>
      </c>
      <c r="B4670" s="646" t="s">
        <v>11337</v>
      </c>
      <c r="C4670" s="735" t="s">
        <v>451</v>
      </c>
      <c r="D4670" s="644" t="s">
        <v>11956</v>
      </c>
      <c r="E4670" s="736">
        <v>2500</v>
      </c>
      <c r="F4670" s="638" t="s">
        <v>11957</v>
      </c>
      <c r="G4670" s="636" t="s">
        <v>11958</v>
      </c>
      <c r="H4670" s="636" t="s">
        <v>2543</v>
      </c>
      <c r="I4670" s="636" t="s">
        <v>2180</v>
      </c>
      <c r="J4670" s="644" t="s">
        <v>2543</v>
      </c>
      <c r="K4670" s="735">
        <v>1</v>
      </c>
      <c r="L4670" s="735">
        <v>2</v>
      </c>
      <c r="M4670" s="736">
        <v>10385.719999999999</v>
      </c>
      <c r="N4670" s="735">
        <v>4</v>
      </c>
      <c r="O4670" s="735">
        <v>6</v>
      </c>
      <c r="P4670" s="736">
        <v>31901.939999999995</v>
      </c>
      <c r="Q4670" s="214"/>
    </row>
    <row r="4671" spans="1:17" ht="12" customHeight="1" x14ac:dyDescent="0.2">
      <c r="A4671" s="735" t="s">
        <v>11808</v>
      </c>
      <c r="B4671" s="646" t="s">
        <v>11337</v>
      </c>
      <c r="C4671" s="735" t="s">
        <v>451</v>
      </c>
      <c r="D4671" s="644" t="s">
        <v>11959</v>
      </c>
      <c r="E4671" s="736">
        <v>1350</v>
      </c>
      <c r="F4671" s="638" t="s">
        <v>11960</v>
      </c>
      <c r="G4671" s="636" t="s">
        <v>11961</v>
      </c>
      <c r="H4671" s="636" t="s">
        <v>197</v>
      </c>
      <c r="I4671" s="636" t="s">
        <v>2253</v>
      </c>
      <c r="J4671" s="644" t="s">
        <v>197</v>
      </c>
      <c r="K4671" s="735">
        <v>6</v>
      </c>
      <c r="L4671" s="735">
        <v>12</v>
      </c>
      <c r="M4671" s="736">
        <v>20979.599999999999</v>
      </c>
      <c r="N4671" s="735">
        <v>2</v>
      </c>
      <c r="O4671" s="735">
        <v>6</v>
      </c>
      <c r="P4671" s="736">
        <v>9144.7800000000007</v>
      </c>
      <c r="Q4671" s="214"/>
    </row>
    <row r="4672" spans="1:17" ht="12" customHeight="1" x14ac:dyDescent="0.2">
      <c r="A4672" s="735" t="s">
        <v>11808</v>
      </c>
      <c r="B4672" s="646" t="s">
        <v>11337</v>
      </c>
      <c r="C4672" s="735" t="s">
        <v>451</v>
      </c>
      <c r="D4672" s="644" t="s">
        <v>11962</v>
      </c>
      <c r="E4672" s="736">
        <v>2500</v>
      </c>
      <c r="F4672" s="638" t="s">
        <v>11963</v>
      </c>
      <c r="G4672" s="636" t="s">
        <v>11964</v>
      </c>
      <c r="H4672" s="636" t="s">
        <v>643</v>
      </c>
      <c r="I4672" s="636" t="s">
        <v>11965</v>
      </c>
      <c r="J4672" s="644" t="s">
        <v>11966</v>
      </c>
      <c r="K4672" s="735">
        <v>6</v>
      </c>
      <c r="L4672" s="735">
        <v>12</v>
      </c>
      <c r="M4672" s="736">
        <v>34779.599999999999</v>
      </c>
      <c r="N4672" s="735"/>
      <c r="O4672" s="735">
        <v>0</v>
      </c>
      <c r="P4672" s="736">
        <v>0</v>
      </c>
      <c r="Q4672" s="214"/>
    </row>
    <row r="4673" spans="1:17" ht="12" customHeight="1" x14ac:dyDescent="0.2">
      <c r="A4673" s="735" t="s">
        <v>11808</v>
      </c>
      <c r="B4673" s="646" t="s">
        <v>11337</v>
      </c>
      <c r="C4673" s="735" t="s">
        <v>451</v>
      </c>
      <c r="D4673" s="644" t="s">
        <v>2602</v>
      </c>
      <c r="E4673" s="736">
        <v>3500</v>
      </c>
      <c r="F4673" s="638" t="s">
        <v>11967</v>
      </c>
      <c r="G4673" s="636" t="s">
        <v>11968</v>
      </c>
      <c r="H4673" s="636" t="s">
        <v>3522</v>
      </c>
      <c r="I4673" s="636" t="s">
        <v>643</v>
      </c>
      <c r="J4673" s="644" t="s">
        <v>3522</v>
      </c>
      <c r="K4673" s="735">
        <v>5</v>
      </c>
      <c r="L4673" s="735">
        <v>12</v>
      </c>
      <c r="M4673" s="736">
        <v>46196.260000000009</v>
      </c>
      <c r="N4673" s="735">
        <v>3</v>
      </c>
      <c r="O4673" s="735">
        <v>6</v>
      </c>
      <c r="P4673" s="736">
        <v>22044.780000000002</v>
      </c>
      <c r="Q4673" s="214"/>
    </row>
    <row r="4674" spans="1:17" ht="12" customHeight="1" x14ac:dyDescent="0.2">
      <c r="A4674" s="735" t="s">
        <v>11808</v>
      </c>
      <c r="B4674" s="646" t="s">
        <v>11337</v>
      </c>
      <c r="C4674" s="735" t="s">
        <v>451</v>
      </c>
      <c r="D4674" s="644" t="s">
        <v>11969</v>
      </c>
      <c r="E4674" s="736">
        <v>9000</v>
      </c>
      <c r="F4674" s="638" t="s">
        <v>11970</v>
      </c>
      <c r="G4674" s="636" t="s">
        <v>11971</v>
      </c>
      <c r="H4674" s="636" t="s">
        <v>6536</v>
      </c>
      <c r="I4674" s="636" t="s">
        <v>2180</v>
      </c>
      <c r="J4674" s="644" t="s">
        <v>11972</v>
      </c>
      <c r="K4674" s="735">
        <v>4</v>
      </c>
      <c r="L4674" s="735">
        <v>5</v>
      </c>
      <c r="M4674" s="736">
        <v>46741.5</v>
      </c>
      <c r="N4674" s="735"/>
      <c r="O4674" s="735">
        <v>0</v>
      </c>
      <c r="P4674" s="736">
        <v>0</v>
      </c>
      <c r="Q4674" s="214"/>
    </row>
    <row r="4675" spans="1:17" ht="12" customHeight="1" x14ac:dyDescent="0.2">
      <c r="A4675" s="735" t="s">
        <v>11808</v>
      </c>
      <c r="B4675" s="646" t="s">
        <v>11337</v>
      </c>
      <c r="C4675" s="735" t="s">
        <v>451</v>
      </c>
      <c r="D4675" s="644" t="s">
        <v>11833</v>
      </c>
      <c r="E4675" s="736">
        <v>1800</v>
      </c>
      <c r="F4675" s="638" t="s">
        <v>11973</v>
      </c>
      <c r="G4675" s="636" t="s">
        <v>11974</v>
      </c>
      <c r="H4675" s="636" t="s">
        <v>9430</v>
      </c>
      <c r="I4675" s="636" t="s">
        <v>643</v>
      </c>
      <c r="J4675" s="644" t="s">
        <v>9430</v>
      </c>
      <c r="K4675" s="735">
        <v>6</v>
      </c>
      <c r="L4675" s="735">
        <v>12</v>
      </c>
      <c r="M4675" s="736">
        <v>26379.599999999999</v>
      </c>
      <c r="N4675" s="735">
        <v>2</v>
      </c>
      <c r="O4675" s="735">
        <v>6</v>
      </c>
      <c r="P4675" s="736">
        <v>11844.780000000002</v>
      </c>
      <c r="Q4675" s="214"/>
    </row>
    <row r="4676" spans="1:17" ht="12" customHeight="1" x14ac:dyDescent="0.2">
      <c r="A4676" s="735" t="s">
        <v>11808</v>
      </c>
      <c r="B4676" s="646" t="s">
        <v>11337</v>
      </c>
      <c r="C4676" s="735" t="s">
        <v>451</v>
      </c>
      <c r="D4676" s="644" t="s">
        <v>11975</v>
      </c>
      <c r="E4676" s="736">
        <v>4300</v>
      </c>
      <c r="F4676" s="638" t="s">
        <v>11976</v>
      </c>
      <c r="G4676" s="636" t="s">
        <v>11977</v>
      </c>
      <c r="H4676" s="636" t="s">
        <v>7152</v>
      </c>
      <c r="I4676" s="636" t="s">
        <v>2766</v>
      </c>
      <c r="J4676" s="644" t="s">
        <v>4884</v>
      </c>
      <c r="K4676" s="735">
        <v>5</v>
      </c>
      <c r="L4676" s="735">
        <v>12</v>
      </c>
      <c r="M4676" s="736">
        <v>55949.61</v>
      </c>
      <c r="N4676" s="735">
        <v>1</v>
      </c>
      <c r="O4676" s="735">
        <v>6</v>
      </c>
      <c r="P4676" s="736">
        <v>26844.780000000002</v>
      </c>
      <c r="Q4676" s="214"/>
    </row>
    <row r="4677" spans="1:17" ht="12" customHeight="1" x14ac:dyDescent="0.2">
      <c r="A4677" s="735" t="s">
        <v>11808</v>
      </c>
      <c r="B4677" s="646" t="s">
        <v>11337</v>
      </c>
      <c r="C4677" s="735" t="s">
        <v>451</v>
      </c>
      <c r="D4677" s="644" t="s">
        <v>11978</v>
      </c>
      <c r="E4677" s="736">
        <v>3500</v>
      </c>
      <c r="F4677" s="638" t="s">
        <v>11979</v>
      </c>
      <c r="G4677" s="636" t="s">
        <v>11980</v>
      </c>
      <c r="H4677" s="636" t="s">
        <v>197</v>
      </c>
      <c r="I4677" s="636" t="s">
        <v>2253</v>
      </c>
      <c r="J4677" s="644" t="s">
        <v>197</v>
      </c>
      <c r="K4677" s="735">
        <v>5</v>
      </c>
      <c r="L4677" s="735">
        <v>12</v>
      </c>
      <c r="M4677" s="736">
        <v>40779.600000000006</v>
      </c>
      <c r="N4677" s="735">
        <v>1</v>
      </c>
      <c r="O4677" s="735">
        <v>6</v>
      </c>
      <c r="P4677" s="736">
        <v>22044.780000000002</v>
      </c>
      <c r="Q4677" s="214"/>
    </row>
    <row r="4678" spans="1:17" ht="12" customHeight="1" x14ac:dyDescent="0.2">
      <c r="A4678" s="735" t="s">
        <v>11808</v>
      </c>
      <c r="B4678" s="646" t="s">
        <v>11337</v>
      </c>
      <c r="C4678" s="735" t="s">
        <v>451</v>
      </c>
      <c r="D4678" s="644" t="s">
        <v>11981</v>
      </c>
      <c r="E4678" s="736">
        <v>4500</v>
      </c>
      <c r="F4678" s="638" t="s">
        <v>11982</v>
      </c>
      <c r="G4678" s="636" t="s">
        <v>11983</v>
      </c>
      <c r="H4678" s="636" t="s">
        <v>4884</v>
      </c>
      <c r="I4678" s="636" t="s">
        <v>2766</v>
      </c>
      <c r="J4678" s="644" t="s">
        <v>4884</v>
      </c>
      <c r="K4678" s="735">
        <v>3</v>
      </c>
      <c r="L4678" s="735">
        <v>9</v>
      </c>
      <c r="M4678" s="736">
        <v>43834.7</v>
      </c>
      <c r="N4678" s="735">
        <v>1</v>
      </c>
      <c r="O4678" s="735">
        <v>6</v>
      </c>
      <c r="P4678" s="736">
        <v>28044.780000000002</v>
      </c>
      <c r="Q4678" s="214"/>
    </row>
    <row r="4679" spans="1:17" ht="12" customHeight="1" x14ac:dyDescent="0.2">
      <c r="A4679" s="735" t="s">
        <v>11808</v>
      </c>
      <c r="B4679" s="646" t="s">
        <v>11337</v>
      </c>
      <c r="C4679" s="735" t="s">
        <v>451</v>
      </c>
      <c r="D4679" s="644" t="s">
        <v>11984</v>
      </c>
      <c r="E4679" s="736">
        <v>6000</v>
      </c>
      <c r="F4679" s="638" t="s">
        <v>11985</v>
      </c>
      <c r="G4679" s="636" t="s">
        <v>11986</v>
      </c>
      <c r="H4679" s="636" t="s">
        <v>6778</v>
      </c>
      <c r="I4679" s="636" t="s">
        <v>2180</v>
      </c>
      <c r="J4679" s="644" t="s">
        <v>2174</v>
      </c>
      <c r="K4679" s="735">
        <v>2</v>
      </c>
      <c r="L4679" s="735">
        <v>1</v>
      </c>
      <c r="M4679" s="736">
        <v>6348.2999999999993</v>
      </c>
      <c r="N4679" s="735">
        <v>1</v>
      </c>
      <c r="O4679" s="735">
        <v>6</v>
      </c>
      <c r="P4679" s="736">
        <v>52044.779999999992</v>
      </c>
      <c r="Q4679" s="214"/>
    </row>
    <row r="4680" spans="1:17" ht="12" customHeight="1" x14ac:dyDescent="0.2">
      <c r="A4680" s="735" t="s">
        <v>11808</v>
      </c>
      <c r="B4680" s="646" t="s">
        <v>11337</v>
      </c>
      <c r="C4680" s="735" t="s">
        <v>451</v>
      </c>
      <c r="D4680" s="644" t="s">
        <v>11987</v>
      </c>
      <c r="E4680" s="736">
        <v>8500</v>
      </c>
      <c r="F4680" s="638" t="s">
        <v>11985</v>
      </c>
      <c r="G4680" s="636" t="s">
        <v>11986</v>
      </c>
      <c r="H4680" s="636" t="s">
        <v>6778</v>
      </c>
      <c r="I4680" s="636" t="s">
        <v>2180</v>
      </c>
      <c r="J4680" s="644" t="s">
        <v>2174</v>
      </c>
      <c r="K4680" s="735">
        <v>2</v>
      </c>
      <c r="L4680" s="735">
        <v>11</v>
      </c>
      <c r="M4680" s="736">
        <v>92116.67</v>
      </c>
      <c r="N4680" s="735">
        <v>1</v>
      </c>
      <c r="O4680" s="735">
        <v>6</v>
      </c>
      <c r="P4680" s="736">
        <v>52044.779999999992</v>
      </c>
      <c r="Q4680" s="214"/>
    </row>
    <row r="4681" spans="1:17" ht="12" customHeight="1" x14ac:dyDescent="0.2">
      <c r="A4681" s="735" t="s">
        <v>11808</v>
      </c>
      <c r="B4681" s="646" t="s">
        <v>11337</v>
      </c>
      <c r="C4681" s="735" t="s">
        <v>451</v>
      </c>
      <c r="D4681" s="644" t="s">
        <v>11988</v>
      </c>
      <c r="E4681" s="736">
        <v>13250</v>
      </c>
      <c r="F4681" s="740" t="s">
        <v>11989</v>
      </c>
      <c r="G4681" s="636" t="s">
        <v>11990</v>
      </c>
      <c r="H4681" s="636" t="s">
        <v>2712</v>
      </c>
      <c r="I4681" s="636" t="s">
        <v>6548</v>
      </c>
      <c r="J4681" s="644" t="s">
        <v>2712</v>
      </c>
      <c r="K4681" s="735">
        <v>1</v>
      </c>
      <c r="L4681" s="735">
        <v>12</v>
      </c>
      <c r="M4681" s="736">
        <v>154062.92999999996</v>
      </c>
      <c r="N4681" s="735"/>
      <c r="O4681" s="735">
        <v>0</v>
      </c>
      <c r="P4681" s="736">
        <v>0</v>
      </c>
      <c r="Q4681" s="214"/>
    </row>
    <row r="4682" spans="1:17" ht="12" customHeight="1" x14ac:dyDescent="0.2">
      <c r="A4682" s="735" t="s">
        <v>11808</v>
      </c>
      <c r="B4682" s="646" t="s">
        <v>11337</v>
      </c>
      <c r="C4682" s="735" t="s">
        <v>451</v>
      </c>
      <c r="D4682" s="644" t="s">
        <v>11991</v>
      </c>
      <c r="E4682" s="736">
        <v>5000</v>
      </c>
      <c r="F4682" s="638" t="s">
        <v>11992</v>
      </c>
      <c r="G4682" s="636" t="s">
        <v>11993</v>
      </c>
      <c r="H4682" s="636" t="s">
        <v>2365</v>
      </c>
      <c r="I4682" s="636" t="s">
        <v>2180</v>
      </c>
      <c r="J4682" s="644" t="s">
        <v>2208</v>
      </c>
      <c r="K4682" s="735">
        <v>6</v>
      </c>
      <c r="L4682" s="735">
        <v>12</v>
      </c>
      <c r="M4682" s="736">
        <v>63946.260000000009</v>
      </c>
      <c r="N4682" s="735">
        <v>2</v>
      </c>
      <c r="O4682" s="735">
        <v>6</v>
      </c>
      <c r="P4682" s="736">
        <v>31044.780000000002</v>
      </c>
      <c r="Q4682" s="214"/>
    </row>
    <row r="4683" spans="1:17" ht="12" customHeight="1" x14ac:dyDescent="0.2">
      <c r="A4683" s="735" t="s">
        <v>11808</v>
      </c>
      <c r="B4683" s="646" t="s">
        <v>11337</v>
      </c>
      <c r="C4683" s="735" t="s">
        <v>451</v>
      </c>
      <c r="D4683" s="644" t="s">
        <v>11994</v>
      </c>
      <c r="E4683" s="736">
        <v>13250</v>
      </c>
      <c r="F4683" s="638" t="s">
        <v>11995</v>
      </c>
      <c r="G4683" s="636" t="s">
        <v>11996</v>
      </c>
      <c r="H4683" s="636" t="s">
        <v>7879</v>
      </c>
      <c r="I4683" s="636" t="s">
        <v>2180</v>
      </c>
      <c r="J4683" s="644">
        <v>0</v>
      </c>
      <c r="K4683" s="735">
        <v>0</v>
      </c>
      <c r="L4683" s="735">
        <v>1</v>
      </c>
      <c r="M4683" s="736">
        <v>26122.07</v>
      </c>
      <c r="N4683" s="735"/>
      <c r="O4683" s="735">
        <v>0</v>
      </c>
      <c r="P4683" s="736">
        <v>0</v>
      </c>
      <c r="Q4683" s="214"/>
    </row>
    <row r="4684" spans="1:17" ht="12" customHeight="1" x14ac:dyDescent="0.2">
      <c r="A4684" s="735" t="s">
        <v>11808</v>
      </c>
      <c r="B4684" s="646" t="s">
        <v>11337</v>
      </c>
      <c r="C4684" s="735" t="s">
        <v>451</v>
      </c>
      <c r="D4684" s="644" t="s">
        <v>2261</v>
      </c>
      <c r="E4684" s="736">
        <v>3500</v>
      </c>
      <c r="F4684" s="638" t="s">
        <v>11997</v>
      </c>
      <c r="G4684" s="636" t="s">
        <v>11998</v>
      </c>
      <c r="H4684" s="636" t="s">
        <v>2979</v>
      </c>
      <c r="I4684" s="636" t="s">
        <v>643</v>
      </c>
      <c r="J4684" s="644" t="s">
        <v>2979</v>
      </c>
      <c r="K4684" s="735">
        <v>3</v>
      </c>
      <c r="L4684" s="735">
        <v>9</v>
      </c>
      <c r="M4684" s="736">
        <v>35234.699999999997</v>
      </c>
      <c r="N4684" s="735">
        <v>2</v>
      </c>
      <c r="O4684" s="735">
        <v>6</v>
      </c>
      <c r="P4684" s="736">
        <v>22044.780000000002</v>
      </c>
      <c r="Q4684" s="214"/>
    </row>
    <row r="4685" spans="1:17" ht="12" customHeight="1" x14ac:dyDescent="0.2">
      <c r="A4685" s="735" t="s">
        <v>11808</v>
      </c>
      <c r="B4685" s="646" t="s">
        <v>11337</v>
      </c>
      <c r="C4685" s="735" t="s">
        <v>451</v>
      </c>
      <c r="D4685" s="644" t="s">
        <v>11994</v>
      </c>
      <c r="E4685" s="736">
        <v>12000</v>
      </c>
      <c r="F4685" s="638" t="s">
        <v>11999</v>
      </c>
      <c r="G4685" s="636" t="s">
        <v>12000</v>
      </c>
      <c r="H4685" s="636" t="s">
        <v>7879</v>
      </c>
      <c r="I4685" s="636" t="s">
        <v>2180</v>
      </c>
      <c r="J4685" s="644"/>
      <c r="K4685" s="735">
        <v>1</v>
      </c>
      <c r="L4685" s="735">
        <v>6</v>
      </c>
      <c r="M4685" s="736">
        <v>68089.799999999988</v>
      </c>
      <c r="N4685" s="735"/>
      <c r="O4685" s="735">
        <v>0</v>
      </c>
      <c r="P4685" s="736">
        <v>0</v>
      </c>
      <c r="Q4685" s="214"/>
    </row>
    <row r="4686" spans="1:17" ht="12" customHeight="1" x14ac:dyDescent="0.2">
      <c r="A4686" s="735" t="s">
        <v>11808</v>
      </c>
      <c r="B4686" s="646" t="s">
        <v>11337</v>
      </c>
      <c r="C4686" s="735" t="s">
        <v>451</v>
      </c>
      <c r="D4686" s="644" t="s">
        <v>12001</v>
      </c>
      <c r="E4686" s="736">
        <v>1500</v>
      </c>
      <c r="F4686" s="638" t="s">
        <v>12002</v>
      </c>
      <c r="G4686" s="636" t="s">
        <v>12003</v>
      </c>
      <c r="H4686" s="636" t="s">
        <v>197</v>
      </c>
      <c r="I4686" s="636" t="s">
        <v>2253</v>
      </c>
      <c r="J4686" s="644" t="s">
        <v>197</v>
      </c>
      <c r="K4686" s="735">
        <v>8</v>
      </c>
      <c r="L4686" s="735">
        <v>12</v>
      </c>
      <c r="M4686" s="736">
        <v>24712.93</v>
      </c>
      <c r="N4686" s="735">
        <v>2</v>
      </c>
      <c r="O4686" s="735">
        <v>6</v>
      </c>
      <c r="P4686" s="736">
        <v>14844.780000000002</v>
      </c>
      <c r="Q4686" s="214"/>
    </row>
    <row r="4687" spans="1:17" ht="12" customHeight="1" x14ac:dyDescent="0.2">
      <c r="A4687" s="735" t="s">
        <v>11808</v>
      </c>
      <c r="B4687" s="646" t="s">
        <v>11337</v>
      </c>
      <c r="C4687" s="735" t="s">
        <v>451</v>
      </c>
      <c r="D4687" s="644" t="s">
        <v>12004</v>
      </c>
      <c r="E4687" s="736">
        <v>6500</v>
      </c>
      <c r="F4687" s="638" t="s">
        <v>12005</v>
      </c>
      <c r="G4687" s="636" t="s">
        <v>12006</v>
      </c>
      <c r="H4687" s="636" t="s">
        <v>6633</v>
      </c>
      <c r="I4687" s="636" t="s">
        <v>2180</v>
      </c>
      <c r="J4687" s="644" t="s">
        <v>2189</v>
      </c>
      <c r="K4687" s="735">
        <v>2</v>
      </c>
      <c r="L4687" s="735">
        <v>2</v>
      </c>
      <c r="M4687" s="736">
        <v>13696.599999999999</v>
      </c>
      <c r="N4687" s="735"/>
      <c r="O4687" s="735">
        <v>0</v>
      </c>
      <c r="P4687" s="736">
        <v>0</v>
      </c>
      <c r="Q4687" s="214"/>
    </row>
    <row r="4688" spans="1:17" ht="12" customHeight="1" x14ac:dyDescent="0.2">
      <c r="A4688" s="735" t="s">
        <v>11808</v>
      </c>
      <c r="B4688" s="646" t="s">
        <v>11337</v>
      </c>
      <c r="C4688" s="735" t="s">
        <v>451</v>
      </c>
      <c r="D4688" s="644" t="s">
        <v>3464</v>
      </c>
      <c r="E4688" s="736">
        <v>1800</v>
      </c>
      <c r="F4688" s="638" t="s">
        <v>12007</v>
      </c>
      <c r="G4688" s="636" t="s">
        <v>12008</v>
      </c>
      <c r="H4688" s="636" t="s">
        <v>2979</v>
      </c>
      <c r="I4688" s="636" t="s">
        <v>643</v>
      </c>
      <c r="J4688" s="644" t="s">
        <v>2979</v>
      </c>
      <c r="K4688" s="735">
        <v>6</v>
      </c>
      <c r="L4688" s="735">
        <v>11</v>
      </c>
      <c r="M4688" s="736">
        <v>24231.300000000003</v>
      </c>
      <c r="N4688" s="735">
        <v>1</v>
      </c>
      <c r="O4688" s="735">
        <v>6</v>
      </c>
      <c r="P4688" s="736">
        <v>13644.780000000002</v>
      </c>
      <c r="Q4688" s="214"/>
    </row>
    <row r="4689" spans="1:17" ht="12" customHeight="1" x14ac:dyDescent="0.2">
      <c r="A4689" s="735" t="s">
        <v>11808</v>
      </c>
      <c r="B4689" s="646" t="s">
        <v>11337</v>
      </c>
      <c r="C4689" s="735" t="s">
        <v>451</v>
      </c>
      <c r="D4689" s="644" t="s">
        <v>12009</v>
      </c>
      <c r="E4689" s="736">
        <v>1800</v>
      </c>
      <c r="F4689" s="638" t="s">
        <v>12010</v>
      </c>
      <c r="G4689" s="636" t="s">
        <v>12011</v>
      </c>
      <c r="H4689" s="636" t="s">
        <v>6745</v>
      </c>
      <c r="I4689" s="636" t="s">
        <v>2766</v>
      </c>
      <c r="J4689" s="644" t="s">
        <v>8323</v>
      </c>
      <c r="K4689" s="735">
        <v>6</v>
      </c>
      <c r="L4689" s="735">
        <v>12</v>
      </c>
      <c r="M4689" s="736">
        <v>26379.599999999999</v>
      </c>
      <c r="N4689" s="735">
        <v>2</v>
      </c>
      <c r="O4689" s="735">
        <v>6</v>
      </c>
      <c r="P4689" s="736">
        <v>11844.780000000002</v>
      </c>
      <c r="Q4689" s="214"/>
    </row>
    <row r="4690" spans="1:17" ht="12" customHeight="1" x14ac:dyDescent="0.2">
      <c r="A4690" s="735" t="s">
        <v>11808</v>
      </c>
      <c r="B4690" s="646" t="s">
        <v>11337</v>
      </c>
      <c r="C4690" s="735" t="s">
        <v>451</v>
      </c>
      <c r="D4690" s="644" t="s">
        <v>2548</v>
      </c>
      <c r="E4690" s="736">
        <v>2000</v>
      </c>
      <c r="F4690" s="638" t="s">
        <v>12012</v>
      </c>
      <c r="G4690" s="636" t="s">
        <v>12013</v>
      </c>
      <c r="H4690" s="636" t="s">
        <v>12014</v>
      </c>
      <c r="I4690" s="636" t="s">
        <v>643</v>
      </c>
      <c r="J4690" s="644">
        <v>0</v>
      </c>
      <c r="K4690" s="735">
        <v>7</v>
      </c>
      <c r="L4690" s="735">
        <v>12</v>
      </c>
      <c r="M4690" s="736">
        <v>28512.92</v>
      </c>
      <c r="N4690" s="735">
        <v>2</v>
      </c>
      <c r="O4690" s="735">
        <v>6</v>
      </c>
      <c r="P4690" s="736">
        <v>13044.780000000002</v>
      </c>
      <c r="Q4690" s="214"/>
    </row>
    <row r="4691" spans="1:17" ht="12" customHeight="1" x14ac:dyDescent="0.2">
      <c r="A4691" s="735" t="s">
        <v>11808</v>
      </c>
      <c r="B4691" s="646" t="s">
        <v>11337</v>
      </c>
      <c r="C4691" s="735" t="s">
        <v>451</v>
      </c>
      <c r="D4691" s="644" t="s">
        <v>12015</v>
      </c>
      <c r="E4691" s="736">
        <v>2500</v>
      </c>
      <c r="F4691" s="638" t="s">
        <v>12016</v>
      </c>
      <c r="G4691" s="636" t="s">
        <v>12017</v>
      </c>
      <c r="H4691" s="636" t="s">
        <v>6778</v>
      </c>
      <c r="I4691" s="636" t="s">
        <v>2766</v>
      </c>
      <c r="J4691" s="644" t="s">
        <v>2647</v>
      </c>
      <c r="K4691" s="735">
        <v>6</v>
      </c>
      <c r="L4691" s="735">
        <v>12</v>
      </c>
      <c r="M4691" s="736">
        <v>34696.269999999997</v>
      </c>
      <c r="N4691" s="735">
        <v>1</v>
      </c>
      <c r="O4691" s="735">
        <v>6</v>
      </c>
      <c r="P4691" s="736">
        <v>16044.780000000002</v>
      </c>
      <c r="Q4691" s="214"/>
    </row>
    <row r="4692" spans="1:17" ht="12" customHeight="1" x14ac:dyDescent="0.2">
      <c r="A4692" s="735" t="s">
        <v>11808</v>
      </c>
      <c r="B4692" s="646" t="s">
        <v>11337</v>
      </c>
      <c r="C4692" s="735" t="s">
        <v>451</v>
      </c>
      <c r="D4692" s="644" t="s">
        <v>2179</v>
      </c>
      <c r="E4692" s="736">
        <v>6500</v>
      </c>
      <c r="F4692" s="638" t="s">
        <v>12018</v>
      </c>
      <c r="G4692" s="636" t="s">
        <v>12019</v>
      </c>
      <c r="H4692" s="636" t="s">
        <v>6571</v>
      </c>
      <c r="I4692" s="636" t="s">
        <v>2180</v>
      </c>
      <c r="J4692" s="644" t="s">
        <v>2179</v>
      </c>
      <c r="K4692" s="735">
        <v>7</v>
      </c>
      <c r="L4692" s="735">
        <v>12</v>
      </c>
      <c r="M4692" s="736">
        <v>82979.600000000006</v>
      </c>
      <c r="N4692" s="735"/>
      <c r="O4692" s="735"/>
      <c r="P4692" s="736"/>
      <c r="Q4692" s="214"/>
    </row>
    <row r="4693" spans="1:17" ht="12" customHeight="1" x14ac:dyDescent="0.2">
      <c r="A4693" s="735" t="s">
        <v>11808</v>
      </c>
      <c r="B4693" s="735" t="s">
        <v>2170</v>
      </c>
      <c r="C4693" s="735" t="s">
        <v>451</v>
      </c>
      <c r="D4693" s="644" t="s">
        <v>2179</v>
      </c>
      <c r="E4693" s="736">
        <v>6500</v>
      </c>
      <c r="F4693" s="638" t="s">
        <v>12018</v>
      </c>
      <c r="G4693" s="636" t="s">
        <v>12019</v>
      </c>
      <c r="H4693" s="636" t="s">
        <v>6571</v>
      </c>
      <c r="I4693" s="636" t="s">
        <v>2180</v>
      </c>
      <c r="J4693" s="644" t="s">
        <v>2179</v>
      </c>
      <c r="K4693" s="735"/>
      <c r="L4693" s="735"/>
      <c r="M4693" s="736"/>
      <c r="N4693" s="735">
        <v>3</v>
      </c>
      <c r="O4693" s="735">
        <v>6</v>
      </c>
      <c r="P4693" s="736">
        <v>43044.78</v>
      </c>
      <c r="Q4693" s="214"/>
    </row>
    <row r="4694" spans="1:17" ht="12" customHeight="1" x14ac:dyDescent="0.2">
      <c r="A4694" s="735" t="s">
        <v>11808</v>
      </c>
      <c r="B4694" s="646" t="s">
        <v>11337</v>
      </c>
      <c r="C4694" s="735" t="s">
        <v>451</v>
      </c>
      <c r="D4694" s="644" t="s">
        <v>11867</v>
      </c>
      <c r="E4694" s="736">
        <v>1500</v>
      </c>
      <c r="F4694" s="638" t="s">
        <v>12020</v>
      </c>
      <c r="G4694" s="636" t="s">
        <v>12021</v>
      </c>
      <c r="H4694" s="636" t="s">
        <v>8089</v>
      </c>
      <c r="I4694" s="636" t="s">
        <v>2766</v>
      </c>
      <c r="J4694" s="644" t="s">
        <v>12022</v>
      </c>
      <c r="K4694" s="735">
        <v>6</v>
      </c>
      <c r="L4694" s="735">
        <v>12</v>
      </c>
      <c r="M4694" s="736">
        <v>22779.599999999999</v>
      </c>
      <c r="N4694" s="735">
        <v>2</v>
      </c>
      <c r="O4694" s="735">
        <v>6</v>
      </c>
      <c r="P4694" s="736">
        <v>10044.780000000002</v>
      </c>
      <c r="Q4694" s="214"/>
    </row>
    <row r="4695" spans="1:17" ht="12" customHeight="1" x14ac:dyDescent="0.2">
      <c r="A4695" s="735" t="s">
        <v>11808</v>
      </c>
      <c r="B4695" s="646" t="s">
        <v>11337</v>
      </c>
      <c r="C4695" s="735" t="s">
        <v>451</v>
      </c>
      <c r="D4695" s="644" t="s">
        <v>12023</v>
      </c>
      <c r="E4695" s="736">
        <v>1800</v>
      </c>
      <c r="F4695" s="638" t="s">
        <v>12024</v>
      </c>
      <c r="G4695" s="636" t="s">
        <v>12025</v>
      </c>
      <c r="H4695" s="636" t="s">
        <v>12026</v>
      </c>
      <c r="I4695" s="636" t="s">
        <v>2766</v>
      </c>
      <c r="J4695" s="644" t="s">
        <v>2836</v>
      </c>
      <c r="K4695" s="735">
        <v>6</v>
      </c>
      <c r="L4695" s="735">
        <v>12</v>
      </c>
      <c r="M4695" s="736">
        <v>26379.599999999999</v>
      </c>
      <c r="N4695" s="735">
        <v>2</v>
      </c>
      <c r="O4695" s="735">
        <v>6</v>
      </c>
      <c r="P4695" s="736">
        <v>11844.780000000002</v>
      </c>
      <c r="Q4695" s="214"/>
    </row>
    <row r="4696" spans="1:17" ht="12" customHeight="1" x14ac:dyDescent="0.2">
      <c r="A4696" s="735" t="s">
        <v>11808</v>
      </c>
      <c r="B4696" s="646" t="s">
        <v>11337</v>
      </c>
      <c r="C4696" s="735" t="s">
        <v>451</v>
      </c>
      <c r="D4696" s="644" t="s">
        <v>2190</v>
      </c>
      <c r="E4696" s="736">
        <v>3500</v>
      </c>
      <c r="F4696" s="638" t="s">
        <v>12027</v>
      </c>
      <c r="G4696" s="636" t="s">
        <v>12028</v>
      </c>
      <c r="H4696" s="636" t="s">
        <v>6778</v>
      </c>
      <c r="I4696" s="636" t="s">
        <v>4559</v>
      </c>
      <c r="J4696" s="644" t="s">
        <v>197</v>
      </c>
      <c r="K4696" s="735">
        <v>2</v>
      </c>
      <c r="L4696" s="735">
        <v>3</v>
      </c>
      <c r="M4696" s="736">
        <v>9944.9000000000015</v>
      </c>
      <c r="N4696" s="735"/>
      <c r="O4696" s="735"/>
      <c r="P4696" s="736"/>
      <c r="Q4696" s="214"/>
    </row>
    <row r="4697" spans="1:17" ht="12" customHeight="1" x14ac:dyDescent="0.2">
      <c r="A4697" s="735" t="s">
        <v>11808</v>
      </c>
      <c r="B4697" s="735" t="s">
        <v>2170</v>
      </c>
      <c r="C4697" s="735" t="s">
        <v>451</v>
      </c>
      <c r="D4697" s="644" t="s">
        <v>8273</v>
      </c>
      <c r="E4697" s="736">
        <v>6500</v>
      </c>
      <c r="F4697" s="638" t="s">
        <v>12027</v>
      </c>
      <c r="G4697" s="636" t="s">
        <v>12028</v>
      </c>
      <c r="H4697" s="636" t="s">
        <v>6778</v>
      </c>
      <c r="I4697" s="636" t="s">
        <v>2180</v>
      </c>
      <c r="J4697" s="644" t="s">
        <v>2174</v>
      </c>
      <c r="K4697" s="735">
        <v>3</v>
      </c>
      <c r="L4697" s="735">
        <v>9</v>
      </c>
      <c r="M4697" s="736">
        <v>58883.33</v>
      </c>
      <c r="N4697" s="735">
        <v>1</v>
      </c>
      <c r="O4697" s="735">
        <v>6</v>
      </c>
      <c r="P4697" s="736">
        <v>40044.78</v>
      </c>
      <c r="Q4697" s="214"/>
    </row>
    <row r="4698" spans="1:17" ht="12" customHeight="1" x14ac:dyDescent="0.2">
      <c r="A4698" s="735" t="s">
        <v>11808</v>
      </c>
      <c r="B4698" s="646" t="s">
        <v>11337</v>
      </c>
      <c r="C4698" s="735" t="s">
        <v>451</v>
      </c>
      <c r="D4698" s="644" t="s">
        <v>12029</v>
      </c>
      <c r="E4698" s="736">
        <v>1800</v>
      </c>
      <c r="F4698" s="638" t="s">
        <v>12030</v>
      </c>
      <c r="G4698" s="636" t="s">
        <v>12031</v>
      </c>
      <c r="H4698" s="636" t="s">
        <v>12026</v>
      </c>
      <c r="I4698" s="636" t="s">
        <v>2180</v>
      </c>
      <c r="J4698" s="644" t="s">
        <v>2174</v>
      </c>
      <c r="K4698" s="735">
        <v>6</v>
      </c>
      <c r="L4698" s="735">
        <v>12</v>
      </c>
      <c r="M4698" s="736">
        <v>26379.599999999999</v>
      </c>
      <c r="N4698" s="735">
        <v>2</v>
      </c>
      <c r="O4698" s="735">
        <v>6</v>
      </c>
      <c r="P4698" s="736">
        <v>11844.780000000002</v>
      </c>
      <c r="Q4698" s="214"/>
    </row>
    <row r="4699" spans="1:17" ht="12" customHeight="1" x14ac:dyDescent="0.2">
      <c r="A4699" s="735" t="s">
        <v>11808</v>
      </c>
      <c r="B4699" s="646" t="s">
        <v>11337</v>
      </c>
      <c r="C4699" s="735" t="s">
        <v>451</v>
      </c>
      <c r="D4699" s="644" t="s">
        <v>12032</v>
      </c>
      <c r="E4699" s="736">
        <v>3500</v>
      </c>
      <c r="F4699" s="638" t="s">
        <v>12033</v>
      </c>
      <c r="G4699" s="636" t="s">
        <v>12034</v>
      </c>
      <c r="H4699" s="636" t="s">
        <v>7782</v>
      </c>
      <c r="I4699" s="636" t="s">
        <v>2180</v>
      </c>
      <c r="J4699" s="644" t="s">
        <v>2208</v>
      </c>
      <c r="K4699" s="735">
        <v>6</v>
      </c>
      <c r="L4699" s="735">
        <v>12</v>
      </c>
      <c r="M4699" s="736">
        <v>46662.930000000008</v>
      </c>
      <c r="N4699" s="735">
        <v>1</v>
      </c>
      <c r="O4699" s="735">
        <v>6</v>
      </c>
      <c r="P4699" s="736">
        <v>22044.780000000002</v>
      </c>
      <c r="Q4699" s="214"/>
    </row>
    <row r="4700" spans="1:17" ht="12" customHeight="1" x14ac:dyDescent="0.2">
      <c r="A4700" s="735" t="s">
        <v>11808</v>
      </c>
      <c r="B4700" s="646" t="s">
        <v>11337</v>
      </c>
      <c r="C4700" s="735" t="s">
        <v>451</v>
      </c>
      <c r="D4700" s="644" t="s">
        <v>12035</v>
      </c>
      <c r="E4700" s="736">
        <v>1800</v>
      </c>
      <c r="F4700" s="638" t="s">
        <v>12036</v>
      </c>
      <c r="G4700" s="636" t="s">
        <v>12037</v>
      </c>
      <c r="H4700" s="636" t="s">
        <v>12038</v>
      </c>
      <c r="I4700" s="636" t="s">
        <v>643</v>
      </c>
      <c r="J4700" s="644" t="s">
        <v>12038</v>
      </c>
      <c r="K4700" s="735">
        <v>6</v>
      </c>
      <c r="L4700" s="735">
        <v>12</v>
      </c>
      <c r="M4700" s="736">
        <v>26379.599999999999</v>
      </c>
      <c r="N4700" s="735">
        <v>1</v>
      </c>
      <c r="O4700" s="735">
        <v>6</v>
      </c>
      <c r="P4700" s="736">
        <v>11844.780000000002</v>
      </c>
      <c r="Q4700" s="214"/>
    </row>
    <row r="4701" spans="1:17" ht="12" customHeight="1" x14ac:dyDescent="0.2">
      <c r="A4701" s="735" t="s">
        <v>11808</v>
      </c>
      <c r="B4701" s="646" t="s">
        <v>11337</v>
      </c>
      <c r="C4701" s="735" t="s">
        <v>451</v>
      </c>
      <c r="D4701" s="644" t="s">
        <v>5109</v>
      </c>
      <c r="E4701" s="736">
        <v>8000</v>
      </c>
      <c r="F4701" s="638" t="s">
        <v>12039</v>
      </c>
      <c r="G4701" s="636" t="s">
        <v>12040</v>
      </c>
      <c r="H4701" s="636" t="s">
        <v>2179</v>
      </c>
      <c r="I4701" s="636" t="s">
        <v>6548</v>
      </c>
      <c r="J4701" s="644" t="s">
        <v>2179</v>
      </c>
      <c r="K4701" s="735">
        <v>3</v>
      </c>
      <c r="L4701" s="735">
        <v>6</v>
      </c>
      <c r="M4701" s="736">
        <v>50089.8</v>
      </c>
      <c r="N4701" s="735"/>
      <c r="O4701" s="735">
        <v>0</v>
      </c>
      <c r="P4701" s="736">
        <v>0</v>
      </c>
      <c r="Q4701" s="214"/>
    </row>
    <row r="4702" spans="1:17" ht="12" customHeight="1" x14ac:dyDescent="0.2">
      <c r="A4702" s="735" t="s">
        <v>11808</v>
      </c>
      <c r="B4702" s="646" t="s">
        <v>11337</v>
      </c>
      <c r="C4702" s="735" t="s">
        <v>451</v>
      </c>
      <c r="D4702" s="644" t="s">
        <v>12041</v>
      </c>
      <c r="E4702" s="736">
        <v>1800</v>
      </c>
      <c r="F4702" s="638" t="s">
        <v>12042</v>
      </c>
      <c r="G4702" s="636" t="s">
        <v>12043</v>
      </c>
      <c r="H4702" s="636" t="s">
        <v>11882</v>
      </c>
      <c r="I4702" s="636" t="s">
        <v>2180</v>
      </c>
      <c r="J4702" s="644" t="s">
        <v>11883</v>
      </c>
      <c r="K4702" s="735">
        <v>6</v>
      </c>
      <c r="L4702" s="735">
        <v>12</v>
      </c>
      <c r="M4702" s="736">
        <v>33612.93</v>
      </c>
      <c r="N4702" s="735">
        <v>4</v>
      </c>
      <c r="O4702" s="735">
        <v>6</v>
      </c>
      <c r="P4702" s="736">
        <v>31044.780000000002</v>
      </c>
      <c r="Q4702" s="214"/>
    </row>
    <row r="4703" spans="1:17" ht="12" customHeight="1" x14ac:dyDescent="0.2">
      <c r="A4703" s="735" t="s">
        <v>11808</v>
      </c>
      <c r="B4703" s="646" t="s">
        <v>11337</v>
      </c>
      <c r="C4703" s="735" t="s">
        <v>451</v>
      </c>
      <c r="D4703" s="644" t="s">
        <v>12044</v>
      </c>
      <c r="E4703" s="736">
        <v>1500</v>
      </c>
      <c r="F4703" s="638" t="s">
        <v>12045</v>
      </c>
      <c r="G4703" s="636" t="s">
        <v>12046</v>
      </c>
      <c r="H4703" s="636" t="s">
        <v>197</v>
      </c>
      <c r="I4703" s="636" t="s">
        <v>2253</v>
      </c>
      <c r="J4703" s="644" t="s">
        <v>197</v>
      </c>
      <c r="K4703" s="735">
        <v>6</v>
      </c>
      <c r="L4703" s="735">
        <v>12</v>
      </c>
      <c r="M4703" s="736">
        <v>22779.599999999999</v>
      </c>
      <c r="N4703" s="735">
        <v>1</v>
      </c>
      <c r="O4703" s="735">
        <v>6</v>
      </c>
      <c r="P4703" s="736">
        <v>10044.780000000002</v>
      </c>
      <c r="Q4703" s="214"/>
    </row>
    <row r="4704" spans="1:17" ht="12" customHeight="1" x14ac:dyDescent="0.2">
      <c r="A4704" s="735" t="s">
        <v>11808</v>
      </c>
      <c r="B4704" s="646" t="s">
        <v>11337</v>
      </c>
      <c r="C4704" s="735" t="s">
        <v>451</v>
      </c>
      <c r="D4704" s="644" t="s">
        <v>6308</v>
      </c>
      <c r="E4704" s="736">
        <v>3000</v>
      </c>
      <c r="F4704" s="638" t="s">
        <v>12047</v>
      </c>
      <c r="G4704" s="636" t="s">
        <v>12048</v>
      </c>
      <c r="H4704" s="636" t="s">
        <v>12049</v>
      </c>
      <c r="I4704" s="636" t="s">
        <v>2180</v>
      </c>
      <c r="J4704" s="644" t="s">
        <v>12050</v>
      </c>
      <c r="K4704" s="735">
        <v>5</v>
      </c>
      <c r="L4704" s="735">
        <v>12</v>
      </c>
      <c r="M4704" s="736">
        <v>40379.600000000006</v>
      </c>
      <c r="N4704" s="735"/>
      <c r="O4704" s="735">
        <v>0</v>
      </c>
      <c r="P4704" s="736">
        <v>0</v>
      </c>
      <c r="Q4704" s="214"/>
    </row>
    <row r="4705" spans="1:17" ht="12" customHeight="1" x14ac:dyDescent="0.2">
      <c r="A4705" s="735" t="s">
        <v>11808</v>
      </c>
      <c r="B4705" s="646" t="s">
        <v>11337</v>
      </c>
      <c r="C4705" s="735" t="s">
        <v>451</v>
      </c>
      <c r="D4705" s="644" t="s">
        <v>12051</v>
      </c>
      <c r="E4705" s="736">
        <v>6000</v>
      </c>
      <c r="F4705" s="638" t="s">
        <v>12052</v>
      </c>
      <c r="G4705" s="636" t="s">
        <v>12053</v>
      </c>
      <c r="H4705" s="636" t="s">
        <v>6778</v>
      </c>
      <c r="I4705" s="636" t="s">
        <v>3760</v>
      </c>
      <c r="J4705" s="644" t="s">
        <v>12054</v>
      </c>
      <c r="K4705" s="735">
        <v>5</v>
      </c>
      <c r="L4705" s="735">
        <v>12</v>
      </c>
      <c r="M4705" s="736">
        <v>76779.600000000006</v>
      </c>
      <c r="N4705" s="735"/>
      <c r="O4705" s="735"/>
      <c r="P4705" s="736"/>
      <c r="Q4705" s="214"/>
    </row>
    <row r="4706" spans="1:17" ht="12" customHeight="1" x14ac:dyDescent="0.2">
      <c r="A4706" s="735" t="s">
        <v>11808</v>
      </c>
      <c r="B4706" s="735" t="s">
        <v>2170</v>
      </c>
      <c r="C4706" s="735" t="s">
        <v>451</v>
      </c>
      <c r="D4706" s="644" t="s">
        <v>12051</v>
      </c>
      <c r="E4706" s="736">
        <v>6000</v>
      </c>
      <c r="F4706" s="638" t="s">
        <v>12052</v>
      </c>
      <c r="G4706" s="636" t="s">
        <v>12053</v>
      </c>
      <c r="H4706" s="636" t="s">
        <v>6778</v>
      </c>
      <c r="I4706" s="636" t="s">
        <v>3760</v>
      </c>
      <c r="J4706" s="644" t="s">
        <v>12054</v>
      </c>
      <c r="K4706" s="735"/>
      <c r="L4706" s="735"/>
      <c r="M4706" s="736"/>
      <c r="N4706" s="735">
        <v>1</v>
      </c>
      <c r="O4706" s="735">
        <v>6</v>
      </c>
      <c r="P4706" s="736">
        <v>37044.78</v>
      </c>
      <c r="Q4706" s="214"/>
    </row>
    <row r="4707" spans="1:17" ht="12" customHeight="1" x14ac:dyDescent="0.2">
      <c r="A4707" s="735" t="s">
        <v>11808</v>
      </c>
      <c r="B4707" s="646" t="s">
        <v>11337</v>
      </c>
      <c r="C4707" s="735" t="s">
        <v>451</v>
      </c>
      <c r="D4707" s="644" t="s">
        <v>12055</v>
      </c>
      <c r="E4707" s="736">
        <v>2500</v>
      </c>
      <c r="F4707" s="638" t="s">
        <v>12056</v>
      </c>
      <c r="G4707" s="636" t="s">
        <v>12057</v>
      </c>
      <c r="H4707" s="636" t="s">
        <v>12058</v>
      </c>
      <c r="I4707" s="636" t="s">
        <v>2766</v>
      </c>
      <c r="J4707" s="644" t="s">
        <v>12059</v>
      </c>
      <c r="K4707" s="735">
        <v>6</v>
      </c>
      <c r="L4707" s="735">
        <v>12</v>
      </c>
      <c r="M4707" s="736">
        <v>34779.599999999999</v>
      </c>
      <c r="N4707" s="735">
        <v>2</v>
      </c>
      <c r="O4707" s="735">
        <v>6</v>
      </c>
      <c r="P4707" s="736">
        <v>16044.780000000002</v>
      </c>
      <c r="Q4707" s="214"/>
    </row>
    <row r="4708" spans="1:17" ht="12" customHeight="1" x14ac:dyDescent="0.2">
      <c r="A4708" s="735" t="s">
        <v>11808</v>
      </c>
      <c r="B4708" s="646" t="s">
        <v>11337</v>
      </c>
      <c r="C4708" s="735" t="s">
        <v>451</v>
      </c>
      <c r="D4708" s="644" t="s">
        <v>12060</v>
      </c>
      <c r="E4708" s="736">
        <v>2000</v>
      </c>
      <c r="F4708" s="638" t="s">
        <v>12061</v>
      </c>
      <c r="G4708" s="636" t="s">
        <v>12062</v>
      </c>
      <c r="H4708" s="636" t="s">
        <v>12063</v>
      </c>
      <c r="I4708" s="636" t="s">
        <v>2253</v>
      </c>
      <c r="J4708" s="644" t="s">
        <v>12063</v>
      </c>
      <c r="K4708" s="735">
        <v>6</v>
      </c>
      <c r="L4708" s="735">
        <v>12</v>
      </c>
      <c r="M4708" s="736">
        <v>28712.93</v>
      </c>
      <c r="N4708" s="735">
        <v>1</v>
      </c>
      <c r="O4708" s="735">
        <v>6</v>
      </c>
      <c r="P4708" s="736">
        <v>13044.780000000002</v>
      </c>
      <c r="Q4708" s="214"/>
    </row>
    <row r="4709" spans="1:17" ht="12" customHeight="1" x14ac:dyDescent="0.2">
      <c r="A4709" s="735" t="s">
        <v>11808</v>
      </c>
      <c r="B4709" s="646" t="s">
        <v>11337</v>
      </c>
      <c r="C4709" s="735" t="s">
        <v>451</v>
      </c>
      <c r="D4709" s="644" t="s">
        <v>12064</v>
      </c>
      <c r="E4709" s="736">
        <v>7500</v>
      </c>
      <c r="F4709" s="638" t="s">
        <v>12065</v>
      </c>
      <c r="G4709" s="636" t="s">
        <v>12066</v>
      </c>
      <c r="H4709" s="636" t="s">
        <v>2208</v>
      </c>
      <c r="I4709" s="636" t="s">
        <v>6548</v>
      </c>
      <c r="J4709" s="644" t="s">
        <v>2208</v>
      </c>
      <c r="K4709" s="735">
        <v>3</v>
      </c>
      <c r="L4709" s="735">
        <v>9</v>
      </c>
      <c r="M4709" s="736">
        <v>70384.700000000012</v>
      </c>
      <c r="N4709" s="735">
        <v>2</v>
      </c>
      <c r="O4709" s="735">
        <v>6</v>
      </c>
      <c r="P4709" s="736">
        <v>48544.78</v>
      </c>
      <c r="Q4709" s="214"/>
    </row>
    <row r="4710" spans="1:17" ht="12" customHeight="1" x14ac:dyDescent="0.2">
      <c r="A4710" s="735" t="s">
        <v>11808</v>
      </c>
      <c r="B4710" s="646" t="s">
        <v>11337</v>
      </c>
      <c r="C4710" s="735" t="s">
        <v>451</v>
      </c>
      <c r="D4710" s="644" t="s">
        <v>11250</v>
      </c>
      <c r="E4710" s="736">
        <v>7000</v>
      </c>
      <c r="F4710" s="638" t="s">
        <v>12067</v>
      </c>
      <c r="G4710" s="636" t="s">
        <v>12068</v>
      </c>
      <c r="H4710" s="636" t="s">
        <v>12069</v>
      </c>
      <c r="I4710" s="636" t="s">
        <v>6548</v>
      </c>
      <c r="J4710" s="644" t="s">
        <v>12069</v>
      </c>
      <c r="K4710" s="735">
        <v>5</v>
      </c>
      <c r="L4710" s="735">
        <v>12</v>
      </c>
      <c r="M4710" s="736">
        <v>88779.6</v>
      </c>
      <c r="N4710" s="735"/>
      <c r="O4710" s="735"/>
      <c r="P4710" s="736"/>
      <c r="Q4710" s="214"/>
    </row>
    <row r="4711" spans="1:17" ht="12" customHeight="1" x14ac:dyDescent="0.2">
      <c r="A4711" s="735" t="s">
        <v>11808</v>
      </c>
      <c r="B4711" s="735" t="s">
        <v>2170</v>
      </c>
      <c r="C4711" s="735" t="s">
        <v>451</v>
      </c>
      <c r="D4711" s="644" t="s">
        <v>11250</v>
      </c>
      <c r="E4711" s="736">
        <v>7000</v>
      </c>
      <c r="F4711" s="638" t="s">
        <v>12067</v>
      </c>
      <c r="G4711" s="636" t="s">
        <v>12068</v>
      </c>
      <c r="H4711" s="636" t="s">
        <v>12069</v>
      </c>
      <c r="I4711" s="636" t="s">
        <v>6548</v>
      </c>
      <c r="J4711" s="644" t="s">
        <v>12069</v>
      </c>
      <c r="K4711" s="735"/>
      <c r="L4711" s="735"/>
      <c r="M4711" s="736"/>
      <c r="N4711" s="735">
        <v>1</v>
      </c>
      <c r="O4711" s="735">
        <v>6</v>
      </c>
      <c r="P4711" s="736">
        <v>43044.78</v>
      </c>
      <c r="Q4711" s="214"/>
    </row>
    <row r="4712" spans="1:17" ht="12" customHeight="1" x14ac:dyDescent="0.2">
      <c r="A4712" s="735" t="s">
        <v>11808</v>
      </c>
      <c r="B4712" s="646" t="s">
        <v>11337</v>
      </c>
      <c r="C4712" s="735" t="s">
        <v>451</v>
      </c>
      <c r="D4712" s="644" t="s">
        <v>12070</v>
      </c>
      <c r="E4712" s="736">
        <v>2000</v>
      </c>
      <c r="F4712" s="638" t="s">
        <v>12071</v>
      </c>
      <c r="G4712" s="636" t="s">
        <v>12072</v>
      </c>
      <c r="H4712" s="636" t="s">
        <v>12073</v>
      </c>
      <c r="I4712" s="636" t="s">
        <v>643</v>
      </c>
      <c r="J4712" s="644" t="s">
        <v>12073</v>
      </c>
      <c r="K4712" s="735">
        <v>5</v>
      </c>
      <c r="L4712" s="735">
        <v>10</v>
      </c>
      <c r="M4712" s="736">
        <v>24083</v>
      </c>
      <c r="N4712" s="735">
        <v>2</v>
      </c>
      <c r="O4712" s="735">
        <v>6</v>
      </c>
      <c r="P4712" s="736">
        <v>13044.780000000002</v>
      </c>
      <c r="Q4712" s="214"/>
    </row>
    <row r="4713" spans="1:17" ht="12" customHeight="1" x14ac:dyDescent="0.2">
      <c r="A4713" s="735" t="s">
        <v>11808</v>
      </c>
      <c r="B4713" s="646" t="s">
        <v>11337</v>
      </c>
      <c r="C4713" s="735" t="s">
        <v>451</v>
      </c>
      <c r="D4713" s="644" t="s">
        <v>12074</v>
      </c>
      <c r="E4713" s="736">
        <v>1350</v>
      </c>
      <c r="F4713" s="638" t="s">
        <v>12075</v>
      </c>
      <c r="G4713" s="636" t="s">
        <v>12076</v>
      </c>
      <c r="H4713" s="636" t="s">
        <v>3522</v>
      </c>
      <c r="I4713" s="636" t="s">
        <v>2180</v>
      </c>
      <c r="J4713" s="644" t="s">
        <v>12077</v>
      </c>
      <c r="K4713" s="735">
        <v>6</v>
      </c>
      <c r="L4713" s="735">
        <v>12</v>
      </c>
      <c r="M4713" s="736">
        <v>20979.599999999999</v>
      </c>
      <c r="N4713" s="735">
        <v>2</v>
      </c>
      <c r="O4713" s="735">
        <v>6</v>
      </c>
      <c r="P4713" s="736">
        <v>9144.7800000000007</v>
      </c>
      <c r="Q4713" s="214"/>
    </row>
    <row r="4714" spans="1:17" ht="12" customHeight="1" x14ac:dyDescent="0.2">
      <c r="A4714" s="735" t="s">
        <v>11808</v>
      </c>
      <c r="B4714" s="646" t="s">
        <v>11337</v>
      </c>
      <c r="C4714" s="735" t="s">
        <v>451</v>
      </c>
      <c r="D4714" s="644" t="s">
        <v>12078</v>
      </c>
      <c r="E4714" s="736">
        <v>1350</v>
      </c>
      <c r="F4714" s="638" t="s">
        <v>12079</v>
      </c>
      <c r="G4714" s="636" t="s">
        <v>12080</v>
      </c>
      <c r="H4714" s="636" t="s">
        <v>197</v>
      </c>
      <c r="I4714" s="636" t="s">
        <v>2253</v>
      </c>
      <c r="J4714" s="644" t="s">
        <v>197</v>
      </c>
      <c r="K4714" s="735">
        <v>6</v>
      </c>
      <c r="L4714" s="735">
        <v>12</v>
      </c>
      <c r="M4714" s="736">
        <v>20979.599999999999</v>
      </c>
      <c r="N4714" s="735">
        <v>2</v>
      </c>
      <c r="O4714" s="735">
        <v>6</v>
      </c>
      <c r="P4714" s="736">
        <v>9144.7800000000007</v>
      </c>
      <c r="Q4714" s="214"/>
    </row>
    <row r="4715" spans="1:17" ht="12" customHeight="1" x14ac:dyDescent="0.2">
      <c r="A4715" s="735" t="s">
        <v>11808</v>
      </c>
      <c r="B4715" s="646" t="s">
        <v>11337</v>
      </c>
      <c r="C4715" s="735" t="s">
        <v>451</v>
      </c>
      <c r="D4715" s="644" t="s">
        <v>12081</v>
      </c>
      <c r="E4715" s="736">
        <v>3000</v>
      </c>
      <c r="F4715" s="638" t="s">
        <v>12082</v>
      </c>
      <c r="G4715" s="636" t="s">
        <v>12083</v>
      </c>
      <c r="H4715" s="636" t="s">
        <v>12084</v>
      </c>
      <c r="I4715" s="636" t="s">
        <v>3760</v>
      </c>
      <c r="J4715" s="644" t="s">
        <v>12085</v>
      </c>
      <c r="K4715" s="735">
        <v>5</v>
      </c>
      <c r="L4715" s="735">
        <v>12</v>
      </c>
      <c r="M4715" s="736">
        <v>40779.600000000006</v>
      </c>
      <c r="N4715" s="735">
        <v>1</v>
      </c>
      <c r="O4715" s="735">
        <v>6</v>
      </c>
      <c r="P4715" s="736">
        <v>19044.780000000002</v>
      </c>
      <c r="Q4715" s="214"/>
    </row>
    <row r="4716" spans="1:17" ht="12" customHeight="1" x14ac:dyDescent="0.2">
      <c r="A4716" s="735" t="s">
        <v>11808</v>
      </c>
      <c r="B4716" s="646" t="s">
        <v>11337</v>
      </c>
      <c r="C4716" s="735" t="s">
        <v>451</v>
      </c>
      <c r="D4716" s="644" t="s">
        <v>12086</v>
      </c>
      <c r="E4716" s="736">
        <v>1600</v>
      </c>
      <c r="F4716" s="638" t="s">
        <v>12087</v>
      </c>
      <c r="G4716" s="636" t="s">
        <v>12088</v>
      </c>
      <c r="H4716" s="636" t="s">
        <v>197</v>
      </c>
      <c r="I4716" s="636" t="s">
        <v>2253</v>
      </c>
      <c r="J4716" s="644" t="s">
        <v>197</v>
      </c>
      <c r="K4716" s="735">
        <v>6</v>
      </c>
      <c r="L4716" s="735">
        <v>12</v>
      </c>
      <c r="M4716" s="736">
        <v>23979.599999999999</v>
      </c>
      <c r="N4716" s="735">
        <v>2</v>
      </c>
      <c r="O4716" s="735">
        <v>6</v>
      </c>
      <c r="P4716" s="736">
        <v>10644.780000000002</v>
      </c>
      <c r="Q4716" s="214"/>
    </row>
    <row r="4717" spans="1:17" ht="12" customHeight="1" x14ac:dyDescent="0.2">
      <c r="A4717" s="735" t="s">
        <v>11808</v>
      </c>
      <c r="B4717" s="646" t="s">
        <v>11337</v>
      </c>
      <c r="C4717" s="735" t="s">
        <v>451</v>
      </c>
      <c r="D4717" s="644" t="s">
        <v>6883</v>
      </c>
      <c r="E4717" s="736">
        <v>2000</v>
      </c>
      <c r="F4717" s="638" t="s">
        <v>12089</v>
      </c>
      <c r="G4717" s="636" t="s">
        <v>12090</v>
      </c>
      <c r="H4717" s="636" t="s">
        <v>6668</v>
      </c>
      <c r="I4717" s="636" t="s">
        <v>643</v>
      </c>
      <c r="J4717" s="644" t="s">
        <v>12091</v>
      </c>
      <c r="K4717" s="735">
        <v>3</v>
      </c>
      <c r="L4717" s="735">
        <v>4</v>
      </c>
      <c r="M4717" s="736">
        <v>9393.2000000000007</v>
      </c>
      <c r="N4717" s="735"/>
      <c r="O4717" s="735">
        <v>0</v>
      </c>
      <c r="P4717" s="736">
        <v>0</v>
      </c>
      <c r="Q4717" s="214"/>
    </row>
    <row r="4718" spans="1:17" ht="12" customHeight="1" x14ac:dyDescent="0.2">
      <c r="A4718" s="735" t="s">
        <v>11808</v>
      </c>
      <c r="B4718" s="646" t="s">
        <v>11337</v>
      </c>
      <c r="C4718" s="735" t="s">
        <v>451</v>
      </c>
      <c r="D4718" s="644" t="s">
        <v>12092</v>
      </c>
      <c r="E4718" s="736">
        <v>1500</v>
      </c>
      <c r="F4718" s="638" t="s">
        <v>12093</v>
      </c>
      <c r="G4718" s="636" t="s">
        <v>12094</v>
      </c>
      <c r="H4718" s="636" t="s">
        <v>3522</v>
      </c>
      <c r="I4718" s="636" t="s">
        <v>2180</v>
      </c>
      <c r="J4718" s="644" t="s">
        <v>12077</v>
      </c>
      <c r="K4718" s="735">
        <v>6</v>
      </c>
      <c r="L4718" s="735">
        <v>12</v>
      </c>
      <c r="M4718" s="736">
        <v>22779.599999999999</v>
      </c>
      <c r="N4718" s="735">
        <v>1</v>
      </c>
      <c r="O4718" s="735">
        <v>6</v>
      </c>
      <c r="P4718" s="736">
        <v>10044.780000000002</v>
      </c>
      <c r="Q4718" s="214"/>
    </row>
    <row r="4719" spans="1:17" ht="12" customHeight="1" x14ac:dyDescent="0.2">
      <c r="A4719" s="735" t="s">
        <v>11808</v>
      </c>
      <c r="B4719" s="646" t="s">
        <v>11337</v>
      </c>
      <c r="C4719" s="735" t="s">
        <v>451</v>
      </c>
      <c r="D4719" s="644" t="s">
        <v>12074</v>
      </c>
      <c r="E4719" s="736">
        <v>1350</v>
      </c>
      <c r="F4719" s="638" t="s">
        <v>12095</v>
      </c>
      <c r="G4719" s="636" t="s">
        <v>12096</v>
      </c>
      <c r="H4719" s="636" t="s">
        <v>8089</v>
      </c>
      <c r="I4719" s="636" t="s">
        <v>2180</v>
      </c>
      <c r="J4719" s="644" t="s">
        <v>12097</v>
      </c>
      <c r="K4719" s="735">
        <v>7</v>
      </c>
      <c r="L4719" s="735">
        <v>12</v>
      </c>
      <c r="M4719" s="736">
        <v>20979.599999999999</v>
      </c>
      <c r="N4719" s="735">
        <v>4</v>
      </c>
      <c r="O4719" s="735">
        <v>6</v>
      </c>
      <c r="P4719" s="736">
        <v>43044.78</v>
      </c>
      <c r="Q4719" s="214"/>
    </row>
    <row r="4720" spans="1:17" ht="12" customHeight="1" x14ac:dyDescent="0.2">
      <c r="A4720" s="735" t="s">
        <v>11808</v>
      </c>
      <c r="B4720" s="646" t="s">
        <v>11337</v>
      </c>
      <c r="C4720" s="735" t="s">
        <v>451</v>
      </c>
      <c r="D4720" s="644" t="s">
        <v>12098</v>
      </c>
      <c r="E4720" s="736">
        <v>1700</v>
      </c>
      <c r="F4720" s="638" t="s">
        <v>12099</v>
      </c>
      <c r="G4720" s="636" t="s">
        <v>12100</v>
      </c>
      <c r="H4720" s="636" t="s">
        <v>197</v>
      </c>
      <c r="I4720" s="636" t="s">
        <v>2253</v>
      </c>
      <c r="J4720" s="644" t="s">
        <v>197</v>
      </c>
      <c r="K4720" s="735">
        <v>6</v>
      </c>
      <c r="L4720" s="735">
        <v>12</v>
      </c>
      <c r="M4720" s="736">
        <v>25179.599999999999</v>
      </c>
      <c r="N4720" s="735">
        <v>2</v>
      </c>
      <c r="O4720" s="735">
        <v>6</v>
      </c>
      <c r="P4720" s="736">
        <v>11244.780000000002</v>
      </c>
      <c r="Q4720" s="214"/>
    </row>
    <row r="4721" spans="1:17" ht="12" customHeight="1" x14ac:dyDescent="0.2">
      <c r="A4721" s="735" t="s">
        <v>11808</v>
      </c>
      <c r="B4721" s="646" t="s">
        <v>11337</v>
      </c>
      <c r="C4721" s="735" t="s">
        <v>451</v>
      </c>
      <c r="D4721" s="644" t="s">
        <v>2410</v>
      </c>
      <c r="E4721" s="736">
        <v>5200</v>
      </c>
      <c r="F4721" s="638" t="s">
        <v>12101</v>
      </c>
      <c r="G4721" s="636" t="s">
        <v>12102</v>
      </c>
      <c r="H4721" s="636" t="s">
        <v>12103</v>
      </c>
      <c r="I4721" s="636" t="s">
        <v>11965</v>
      </c>
      <c r="J4721" s="644" t="s">
        <v>6745</v>
      </c>
      <c r="K4721" s="735">
        <v>5</v>
      </c>
      <c r="L4721" s="735">
        <v>12</v>
      </c>
      <c r="M4721" s="736">
        <v>62079.600000000006</v>
      </c>
      <c r="N4721" s="735">
        <v>1</v>
      </c>
      <c r="O4721" s="735">
        <v>6</v>
      </c>
      <c r="P4721" s="736">
        <v>32244.780000000002</v>
      </c>
      <c r="Q4721" s="214"/>
    </row>
    <row r="4722" spans="1:17" ht="12" customHeight="1" x14ac:dyDescent="0.2">
      <c r="A4722" s="735" t="s">
        <v>11808</v>
      </c>
      <c r="B4722" s="646" t="s">
        <v>11337</v>
      </c>
      <c r="C4722" s="735" t="s">
        <v>451</v>
      </c>
      <c r="D4722" s="644" t="s">
        <v>12104</v>
      </c>
      <c r="E4722" s="736">
        <v>12500</v>
      </c>
      <c r="F4722" s="638" t="s">
        <v>12105</v>
      </c>
      <c r="G4722" s="636" t="s">
        <v>12106</v>
      </c>
      <c r="H4722" s="636" t="s">
        <v>2179</v>
      </c>
      <c r="I4722" s="636" t="s">
        <v>6548</v>
      </c>
      <c r="J4722" s="644" t="s">
        <v>2179</v>
      </c>
      <c r="K4722" s="735">
        <v>1</v>
      </c>
      <c r="L4722" s="735">
        <v>5</v>
      </c>
      <c r="M4722" s="736">
        <v>64241.5</v>
      </c>
      <c r="N4722" s="735"/>
      <c r="O4722" s="735">
        <v>0</v>
      </c>
      <c r="P4722" s="736">
        <v>0</v>
      </c>
      <c r="Q4722" s="214"/>
    </row>
    <row r="4723" spans="1:17" ht="12" customHeight="1" x14ac:dyDescent="0.2">
      <c r="A4723" s="735" t="s">
        <v>11808</v>
      </c>
      <c r="B4723" s="646" t="s">
        <v>11337</v>
      </c>
      <c r="C4723" s="735" t="s">
        <v>451</v>
      </c>
      <c r="D4723" s="644" t="s">
        <v>12107</v>
      </c>
      <c r="E4723" s="736">
        <v>1200</v>
      </c>
      <c r="F4723" s="638" t="s">
        <v>12108</v>
      </c>
      <c r="G4723" s="636" t="s">
        <v>12109</v>
      </c>
      <c r="H4723" s="636" t="s">
        <v>197</v>
      </c>
      <c r="I4723" s="636" t="s">
        <v>2253</v>
      </c>
      <c r="J4723" s="644" t="s">
        <v>197</v>
      </c>
      <c r="K4723" s="735">
        <v>6</v>
      </c>
      <c r="L4723" s="735">
        <v>12</v>
      </c>
      <c r="M4723" s="736">
        <v>19179.599999999999</v>
      </c>
      <c r="N4723" s="735">
        <v>2</v>
      </c>
      <c r="O4723" s="735">
        <v>6</v>
      </c>
      <c r="P4723" s="736">
        <v>8244.7800000000007</v>
      </c>
      <c r="Q4723" s="214"/>
    </row>
    <row r="4724" spans="1:17" ht="12" customHeight="1" x14ac:dyDescent="0.2">
      <c r="A4724" s="735" t="s">
        <v>11808</v>
      </c>
      <c r="B4724" s="646" t="s">
        <v>11337</v>
      </c>
      <c r="C4724" s="735" t="s">
        <v>451</v>
      </c>
      <c r="D4724" s="644" t="s">
        <v>12110</v>
      </c>
      <c r="E4724" s="736">
        <v>5000</v>
      </c>
      <c r="F4724" s="638" t="s">
        <v>12111</v>
      </c>
      <c r="G4724" s="636" t="s">
        <v>12112</v>
      </c>
      <c r="H4724" s="636" t="s">
        <v>12113</v>
      </c>
      <c r="I4724" s="636" t="s">
        <v>12114</v>
      </c>
      <c r="J4724" s="644" t="s">
        <v>12115</v>
      </c>
      <c r="K4724" s="735">
        <v>6</v>
      </c>
      <c r="L4724" s="735">
        <v>12</v>
      </c>
      <c r="M4724" s="736">
        <v>64779.600000000006</v>
      </c>
      <c r="N4724" s="735">
        <v>1</v>
      </c>
      <c r="O4724" s="735">
        <v>6</v>
      </c>
      <c r="P4724" s="736">
        <v>31044.780000000002</v>
      </c>
      <c r="Q4724" s="214"/>
    </row>
    <row r="4725" spans="1:17" ht="12" customHeight="1" x14ac:dyDescent="0.2">
      <c r="A4725" s="735" t="s">
        <v>11808</v>
      </c>
      <c r="B4725" s="646" t="s">
        <v>11337</v>
      </c>
      <c r="C4725" s="735" t="s">
        <v>451</v>
      </c>
      <c r="D4725" s="644" t="s">
        <v>12116</v>
      </c>
      <c r="E4725" s="736">
        <v>6000</v>
      </c>
      <c r="F4725" s="638" t="s">
        <v>12117</v>
      </c>
      <c r="G4725" s="636" t="s">
        <v>12118</v>
      </c>
      <c r="H4725" s="636" t="s">
        <v>3915</v>
      </c>
      <c r="I4725" s="636" t="s">
        <v>2180</v>
      </c>
      <c r="J4725" s="644" t="s">
        <v>3070</v>
      </c>
      <c r="K4725" s="735">
        <v>5</v>
      </c>
      <c r="L4725" s="735">
        <v>7</v>
      </c>
      <c r="M4725" s="736">
        <v>44738.100000000006</v>
      </c>
      <c r="N4725" s="735"/>
      <c r="O4725" s="735">
        <v>0</v>
      </c>
      <c r="P4725" s="736">
        <v>0</v>
      </c>
      <c r="Q4725" s="214"/>
    </row>
    <row r="4726" spans="1:17" ht="12" customHeight="1" x14ac:dyDescent="0.2">
      <c r="A4726" s="735" t="s">
        <v>11808</v>
      </c>
      <c r="B4726" s="646" t="s">
        <v>11337</v>
      </c>
      <c r="C4726" s="735" t="s">
        <v>451</v>
      </c>
      <c r="D4726" s="644" t="s">
        <v>12119</v>
      </c>
      <c r="E4726" s="736">
        <v>1500</v>
      </c>
      <c r="F4726" s="638" t="s">
        <v>12120</v>
      </c>
      <c r="G4726" s="636" t="s">
        <v>12121</v>
      </c>
      <c r="H4726" s="636" t="s">
        <v>6778</v>
      </c>
      <c r="I4726" s="636" t="s">
        <v>3760</v>
      </c>
      <c r="J4726" s="644" t="s">
        <v>12054</v>
      </c>
      <c r="K4726" s="735">
        <v>6</v>
      </c>
      <c r="L4726" s="735">
        <v>12</v>
      </c>
      <c r="M4726" s="736">
        <v>22779.599999999999</v>
      </c>
      <c r="N4726" s="735">
        <v>2</v>
      </c>
      <c r="O4726" s="735">
        <v>6</v>
      </c>
      <c r="P4726" s="736">
        <v>10044.780000000002</v>
      </c>
      <c r="Q4726" s="214"/>
    </row>
    <row r="4727" spans="1:17" ht="12" customHeight="1" x14ac:dyDescent="0.2">
      <c r="A4727" s="735" t="s">
        <v>11808</v>
      </c>
      <c r="B4727" s="646" t="s">
        <v>11337</v>
      </c>
      <c r="C4727" s="735" t="s">
        <v>451</v>
      </c>
      <c r="D4727" s="644" t="s">
        <v>12122</v>
      </c>
      <c r="E4727" s="736">
        <v>1800</v>
      </c>
      <c r="F4727" s="638" t="s">
        <v>12123</v>
      </c>
      <c r="G4727" s="636" t="s">
        <v>12124</v>
      </c>
      <c r="H4727" s="636" t="s">
        <v>197</v>
      </c>
      <c r="I4727" s="636" t="s">
        <v>2253</v>
      </c>
      <c r="J4727" s="644" t="s">
        <v>197</v>
      </c>
      <c r="K4727" s="735">
        <v>6</v>
      </c>
      <c r="L4727" s="735">
        <v>12</v>
      </c>
      <c r="M4727" s="736">
        <v>26379.599999999999</v>
      </c>
      <c r="N4727" s="735">
        <v>1</v>
      </c>
      <c r="O4727" s="735">
        <v>6</v>
      </c>
      <c r="P4727" s="736">
        <v>11844.780000000002</v>
      </c>
      <c r="Q4727" s="214"/>
    </row>
    <row r="4728" spans="1:17" ht="12" customHeight="1" x14ac:dyDescent="0.2">
      <c r="A4728" s="638" t="s">
        <v>12125</v>
      </c>
      <c r="B4728" s="735" t="s">
        <v>2170</v>
      </c>
      <c r="C4728" s="638" t="s">
        <v>451</v>
      </c>
      <c r="D4728" s="644" t="s">
        <v>2261</v>
      </c>
      <c r="E4728" s="736">
        <v>2500</v>
      </c>
      <c r="F4728" s="638" t="s">
        <v>12126</v>
      </c>
      <c r="G4728" s="636" t="s">
        <v>12127</v>
      </c>
      <c r="H4728" s="636" t="s">
        <v>2261</v>
      </c>
      <c r="I4728" s="636"/>
      <c r="J4728" s="644"/>
      <c r="K4728" s="739"/>
      <c r="L4728" s="760"/>
      <c r="M4728" s="736">
        <v>0</v>
      </c>
      <c r="N4728" s="739"/>
      <c r="O4728" s="753">
        <v>4</v>
      </c>
      <c r="P4728" s="736">
        <v>10000</v>
      </c>
      <c r="Q4728" s="214"/>
    </row>
    <row r="4729" spans="1:17" ht="12" customHeight="1" x14ac:dyDescent="0.2">
      <c r="A4729" s="638" t="s">
        <v>12125</v>
      </c>
      <c r="B4729" s="735" t="s">
        <v>2170</v>
      </c>
      <c r="C4729" s="638" t="s">
        <v>451</v>
      </c>
      <c r="D4729" s="644" t="s">
        <v>2225</v>
      </c>
      <c r="E4729" s="736">
        <v>5500</v>
      </c>
      <c r="F4729" s="638" t="s">
        <v>12128</v>
      </c>
      <c r="G4729" s="636" t="s">
        <v>12129</v>
      </c>
      <c r="H4729" s="636" t="s">
        <v>2236</v>
      </c>
      <c r="I4729" s="636" t="s">
        <v>6548</v>
      </c>
      <c r="J4729" s="644" t="s">
        <v>642</v>
      </c>
      <c r="K4729" s="739"/>
      <c r="L4729" s="760">
        <v>2</v>
      </c>
      <c r="M4729" s="736">
        <v>11000</v>
      </c>
      <c r="N4729" s="739"/>
      <c r="O4729" s="753">
        <v>6</v>
      </c>
      <c r="P4729" s="736">
        <v>33000</v>
      </c>
      <c r="Q4729" s="214"/>
    </row>
    <row r="4730" spans="1:17" ht="12" customHeight="1" x14ac:dyDescent="0.2">
      <c r="A4730" s="638" t="s">
        <v>12125</v>
      </c>
      <c r="B4730" s="735" t="s">
        <v>2170</v>
      </c>
      <c r="C4730" s="638" t="s">
        <v>451</v>
      </c>
      <c r="D4730" s="644" t="s">
        <v>12130</v>
      </c>
      <c r="E4730" s="736">
        <v>1000</v>
      </c>
      <c r="F4730" s="638" t="s">
        <v>12131</v>
      </c>
      <c r="G4730" s="636" t="s">
        <v>12132</v>
      </c>
      <c r="H4730" s="636" t="s">
        <v>11483</v>
      </c>
      <c r="I4730" s="636" t="s">
        <v>11483</v>
      </c>
      <c r="J4730" s="644"/>
      <c r="K4730" s="739"/>
      <c r="L4730" s="760">
        <v>4</v>
      </c>
      <c r="M4730" s="736">
        <v>4000</v>
      </c>
      <c r="N4730" s="739"/>
      <c r="O4730" s="753">
        <v>6</v>
      </c>
      <c r="P4730" s="736">
        <v>6000</v>
      </c>
      <c r="Q4730" s="214"/>
    </row>
    <row r="4731" spans="1:17" ht="12" customHeight="1" x14ac:dyDescent="0.2">
      <c r="A4731" s="638" t="s">
        <v>12125</v>
      </c>
      <c r="B4731" s="735" t="s">
        <v>2170</v>
      </c>
      <c r="C4731" s="638" t="s">
        <v>451</v>
      </c>
      <c r="D4731" s="644" t="s">
        <v>2925</v>
      </c>
      <c r="E4731" s="736">
        <v>9000</v>
      </c>
      <c r="F4731" s="638" t="s">
        <v>12133</v>
      </c>
      <c r="G4731" s="636" t="s">
        <v>12134</v>
      </c>
      <c r="H4731" s="636" t="s">
        <v>2179</v>
      </c>
      <c r="I4731" s="636" t="s">
        <v>6548</v>
      </c>
      <c r="J4731" s="644" t="s">
        <v>642</v>
      </c>
      <c r="K4731" s="739"/>
      <c r="L4731" s="760">
        <v>4</v>
      </c>
      <c r="M4731" s="736">
        <v>36000</v>
      </c>
      <c r="N4731" s="739"/>
      <c r="O4731" s="753"/>
      <c r="P4731" s="736">
        <v>0</v>
      </c>
      <c r="Q4731" s="214"/>
    </row>
    <row r="4732" spans="1:17" ht="12" customHeight="1" x14ac:dyDescent="0.2">
      <c r="A4732" s="638" t="s">
        <v>12125</v>
      </c>
      <c r="B4732" s="735" t="s">
        <v>2170</v>
      </c>
      <c r="C4732" s="638" t="s">
        <v>451</v>
      </c>
      <c r="D4732" s="644" t="s">
        <v>5856</v>
      </c>
      <c r="E4732" s="736">
        <v>5500</v>
      </c>
      <c r="F4732" s="638" t="s">
        <v>12135</v>
      </c>
      <c r="G4732" s="636" t="s">
        <v>12136</v>
      </c>
      <c r="H4732" s="636" t="s">
        <v>12137</v>
      </c>
      <c r="I4732" s="636" t="s">
        <v>6548</v>
      </c>
      <c r="J4732" s="644" t="s">
        <v>642</v>
      </c>
      <c r="K4732" s="739"/>
      <c r="L4732" s="760"/>
      <c r="M4732" s="736">
        <v>0</v>
      </c>
      <c r="N4732" s="739"/>
      <c r="O4732" s="753">
        <v>6</v>
      </c>
      <c r="P4732" s="736">
        <v>33000</v>
      </c>
      <c r="Q4732" s="214"/>
    </row>
    <row r="4733" spans="1:17" ht="12" customHeight="1" x14ac:dyDescent="0.2">
      <c r="A4733" s="638" t="s">
        <v>12125</v>
      </c>
      <c r="B4733" s="735" t="s">
        <v>2170</v>
      </c>
      <c r="C4733" s="638" t="s">
        <v>451</v>
      </c>
      <c r="D4733" s="644" t="s">
        <v>12138</v>
      </c>
      <c r="E4733" s="736">
        <v>3500</v>
      </c>
      <c r="F4733" s="638" t="s">
        <v>12139</v>
      </c>
      <c r="G4733" s="636" t="s">
        <v>12140</v>
      </c>
      <c r="H4733" s="636" t="s">
        <v>12141</v>
      </c>
      <c r="I4733" s="636" t="s">
        <v>2766</v>
      </c>
      <c r="J4733" s="644" t="s">
        <v>6778</v>
      </c>
      <c r="K4733" s="739"/>
      <c r="L4733" s="760">
        <v>12</v>
      </c>
      <c r="M4733" s="736">
        <v>42000</v>
      </c>
      <c r="N4733" s="739"/>
      <c r="O4733" s="753">
        <v>6</v>
      </c>
      <c r="P4733" s="736">
        <v>21000</v>
      </c>
      <c r="Q4733" s="214"/>
    </row>
    <row r="4734" spans="1:17" ht="12" customHeight="1" x14ac:dyDescent="0.2">
      <c r="A4734" s="638" t="s">
        <v>12125</v>
      </c>
      <c r="B4734" s="735" t="s">
        <v>2170</v>
      </c>
      <c r="C4734" s="638" t="s">
        <v>451</v>
      </c>
      <c r="D4734" s="644" t="s">
        <v>12142</v>
      </c>
      <c r="E4734" s="736">
        <v>6000</v>
      </c>
      <c r="F4734" s="638" t="s">
        <v>12143</v>
      </c>
      <c r="G4734" s="636" t="s">
        <v>12144</v>
      </c>
      <c r="H4734" s="636" t="s">
        <v>6745</v>
      </c>
      <c r="I4734" s="636" t="s">
        <v>6548</v>
      </c>
      <c r="J4734" s="644" t="s">
        <v>642</v>
      </c>
      <c r="K4734" s="739"/>
      <c r="L4734" s="760">
        <v>12</v>
      </c>
      <c r="M4734" s="736">
        <v>72000</v>
      </c>
      <c r="N4734" s="739"/>
      <c r="O4734" s="753">
        <v>2</v>
      </c>
      <c r="P4734" s="736">
        <v>12000</v>
      </c>
      <c r="Q4734" s="214"/>
    </row>
    <row r="4735" spans="1:17" ht="12" customHeight="1" x14ac:dyDescent="0.2">
      <c r="A4735" s="638" t="s">
        <v>12125</v>
      </c>
      <c r="B4735" s="735" t="s">
        <v>2170</v>
      </c>
      <c r="C4735" s="638" t="s">
        <v>451</v>
      </c>
      <c r="D4735" s="644" t="s">
        <v>12145</v>
      </c>
      <c r="E4735" s="736">
        <v>6500</v>
      </c>
      <c r="F4735" s="638" t="s">
        <v>12146</v>
      </c>
      <c r="G4735" s="636" t="s">
        <v>12147</v>
      </c>
      <c r="H4735" s="636" t="s">
        <v>12148</v>
      </c>
      <c r="I4735" s="636" t="s">
        <v>2766</v>
      </c>
      <c r="J4735" s="644" t="s">
        <v>12149</v>
      </c>
      <c r="K4735" s="739"/>
      <c r="L4735" s="760"/>
      <c r="M4735" s="736">
        <v>0</v>
      </c>
      <c r="N4735" s="739"/>
      <c r="O4735" s="753">
        <v>5</v>
      </c>
      <c r="P4735" s="736">
        <v>32500</v>
      </c>
      <c r="Q4735" s="214"/>
    </row>
    <row r="4736" spans="1:17" ht="12" customHeight="1" x14ac:dyDescent="0.2">
      <c r="A4736" s="638" t="s">
        <v>12125</v>
      </c>
      <c r="B4736" s="735" t="s">
        <v>2170</v>
      </c>
      <c r="C4736" s="638" t="s">
        <v>451</v>
      </c>
      <c r="D4736" s="644" t="s">
        <v>722</v>
      </c>
      <c r="E4736" s="736">
        <v>1000</v>
      </c>
      <c r="F4736" s="638" t="s">
        <v>12150</v>
      </c>
      <c r="G4736" s="636" t="s">
        <v>12151</v>
      </c>
      <c r="H4736" s="636" t="s">
        <v>2504</v>
      </c>
      <c r="I4736" s="636"/>
      <c r="J4736" s="644"/>
      <c r="K4736" s="739"/>
      <c r="L4736" s="760">
        <v>4</v>
      </c>
      <c r="M4736" s="736">
        <v>4000</v>
      </c>
      <c r="N4736" s="739"/>
      <c r="O4736" s="753">
        <v>6</v>
      </c>
      <c r="P4736" s="736">
        <v>6000</v>
      </c>
      <c r="Q4736" s="214"/>
    </row>
    <row r="4737" spans="1:17" ht="12" customHeight="1" x14ac:dyDescent="0.2">
      <c r="A4737" s="638" t="s">
        <v>12125</v>
      </c>
      <c r="B4737" s="735" t="s">
        <v>2170</v>
      </c>
      <c r="C4737" s="638" t="s">
        <v>451</v>
      </c>
      <c r="D4737" s="644" t="s">
        <v>12152</v>
      </c>
      <c r="E4737" s="736">
        <v>7200</v>
      </c>
      <c r="F4737" s="638" t="s">
        <v>12153</v>
      </c>
      <c r="G4737" s="636" t="s">
        <v>12154</v>
      </c>
      <c r="H4737" s="636" t="s">
        <v>12155</v>
      </c>
      <c r="I4737" s="636" t="s">
        <v>6548</v>
      </c>
      <c r="J4737" s="644" t="s">
        <v>642</v>
      </c>
      <c r="K4737" s="739"/>
      <c r="L4737" s="760">
        <v>4</v>
      </c>
      <c r="M4737" s="736">
        <v>28800</v>
      </c>
      <c r="N4737" s="739"/>
      <c r="O4737" s="753">
        <v>6</v>
      </c>
      <c r="P4737" s="736">
        <v>43200</v>
      </c>
      <c r="Q4737" s="214"/>
    </row>
    <row r="4738" spans="1:17" ht="12" customHeight="1" x14ac:dyDescent="0.2">
      <c r="A4738" s="638" t="s">
        <v>12125</v>
      </c>
      <c r="B4738" s="735" t="s">
        <v>2170</v>
      </c>
      <c r="C4738" s="638" t="s">
        <v>451</v>
      </c>
      <c r="D4738" s="644" t="s">
        <v>12156</v>
      </c>
      <c r="E4738" s="736">
        <v>6500</v>
      </c>
      <c r="F4738" s="638" t="s">
        <v>12157</v>
      </c>
      <c r="G4738" s="636" t="s">
        <v>12158</v>
      </c>
      <c r="H4738" s="636" t="s">
        <v>2174</v>
      </c>
      <c r="I4738" s="636" t="s">
        <v>6548</v>
      </c>
      <c r="J4738" s="644" t="s">
        <v>642</v>
      </c>
      <c r="K4738" s="739"/>
      <c r="L4738" s="760"/>
      <c r="M4738" s="736">
        <v>0</v>
      </c>
      <c r="N4738" s="739"/>
      <c r="O4738" s="753">
        <v>4</v>
      </c>
      <c r="P4738" s="736">
        <v>26000</v>
      </c>
      <c r="Q4738" s="214"/>
    </row>
    <row r="4739" spans="1:17" ht="12" customHeight="1" x14ac:dyDescent="0.2">
      <c r="A4739" s="638" t="s">
        <v>12125</v>
      </c>
      <c r="B4739" s="735" t="s">
        <v>2170</v>
      </c>
      <c r="C4739" s="638" t="s">
        <v>451</v>
      </c>
      <c r="D4739" s="644" t="s">
        <v>722</v>
      </c>
      <c r="E4739" s="736">
        <v>4000</v>
      </c>
      <c r="F4739" s="638" t="s">
        <v>12159</v>
      </c>
      <c r="G4739" s="636" t="s">
        <v>12160</v>
      </c>
      <c r="H4739" s="636"/>
      <c r="I4739" s="636"/>
      <c r="J4739" s="644"/>
      <c r="K4739" s="739"/>
      <c r="L4739" s="760">
        <v>5</v>
      </c>
      <c r="M4739" s="736">
        <v>20000</v>
      </c>
      <c r="N4739" s="739"/>
      <c r="O4739" s="753">
        <v>1</v>
      </c>
      <c r="P4739" s="736">
        <v>4000</v>
      </c>
      <c r="Q4739" s="214"/>
    </row>
    <row r="4740" spans="1:17" ht="12" customHeight="1" x14ac:dyDescent="0.2">
      <c r="A4740" s="638" t="s">
        <v>12125</v>
      </c>
      <c r="B4740" s="735" t="s">
        <v>2170</v>
      </c>
      <c r="C4740" s="638" t="s">
        <v>451</v>
      </c>
      <c r="D4740" s="644" t="s">
        <v>6271</v>
      </c>
      <c r="E4740" s="736">
        <v>9000</v>
      </c>
      <c r="F4740" s="638" t="s">
        <v>12161</v>
      </c>
      <c r="G4740" s="636" t="s">
        <v>12162</v>
      </c>
      <c r="H4740" s="636" t="s">
        <v>12163</v>
      </c>
      <c r="I4740" s="636" t="s">
        <v>2766</v>
      </c>
      <c r="J4740" s="644" t="s">
        <v>12164</v>
      </c>
      <c r="K4740" s="739"/>
      <c r="L4740" s="760">
        <v>6</v>
      </c>
      <c r="M4740" s="736">
        <v>54000</v>
      </c>
      <c r="N4740" s="739"/>
      <c r="O4740" s="753">
        <v>6</v>
      </c>
      <c r="P4740" s="736">
        <v>54000</v>
      </c>
      <c r="Q4740" s="214"/>
    </row>
    <row r="4741" spans="1:17" ht="12" customHeight="1" x14ac:dyDescent="0.2">
      <c r="A4741" s="638" t="s">
        <v>12125</v>
      </c>
      <c r="B4741" s="735" t="s">
        <v>2170</v>
      </c>
      <c r="C4741" s="638" t="s">
        <v>451</v>
      </c>
      <c r="D4741" s="644" t="s">
        <v>12165</v>
      </c>
      <c r="E4741" s="736">
        <v>1000</v>
      </c>
      <c r="F4741" s="638" t="s">
        <v>12166</v>
      </c>
      <c r="G4741" s="636" t="s">
        <v>12167</v>
      </c>
      <c r="H4741" s="636" t="s">
        <v>11483</v>
      </c>
      <c r="I4741" s="636"/>
      <c r="J4741" s="644"/>
      <c r="K4741" s="739"/>
      <c r="L4741" s="760">
        <v>12</v>
      </c>
      <c r="M4741" s="736">
        <v>12000</v>
      </c>
      <c r="N4741" s="739"/>
      <c r="O4741" s="753">
        <v>6</v>
      </c>
      <c r="P4741" s="736">
        <v>6000</v>
      </c>
      <c r="Q4741" s="214"/>
    </row>
    <row r="4742" spans="1:17" ht="12" customHeight="1" x14ac:dyDescent="0.2">
      <c r="A4742" s="638" t="s">
        <v>12125</v>
      </c>
      <c r="B4742" s="735" t="s">
        <v>2170</v>
      </c>
      <c r="C4742" s="638" t="s">
        <v>451</v>
      </c>
      <c r="D4742" s="644" t="s">
        <v>12168</v>
      </c>
      <c r="E4742" s="736">
        <v>5000</v>
      </c>
      <c r="F4742" s="638" t="s">
        <v>12169</v>
      </c>
      <c r="G4742" s="636" t="s">
        <v>12170</v>
      </c>
      <c r="H4742" s="636" t="s">
        <v>2179</v>
      </c>
      <c r="I4742" s="636" t="s">
        <v>6548</v>
      </c>
      <c r="J4742" s="644" t="s">
        <v>642</v>
      </c>
      <c r="K4742" s="739"/>
      <c r="L4742" s="760">
        <v>6</v>
      </c>
      <c r="M4742" s="736">
        <v>30000</v>
      </c>
      <c r="N4742" s="739"/>
      <c r="O4742" s="753"/>
      <c r="P4742" s="736">
        <v>0</v>
      </c>
      <c r="Q4742" s="214"/>
    </row>
    <row r="4743" spans="1:17" ht="12" customHeight="1" x14ac:dyDescent="0.2">
      <c r="A4743" s="638" t="s">
        <v>12125</v>
      </c>
      <c r="B4743" s="735" t="s">
        <v>2170</v>
      </c>
      <c r="C4743" s="638" t="s">
        <v>451</v>
      </c>
      <c r="D4743" s="644" t="s">
        <v>12168</v>
      </c>
      <c r="E4743" s="736">
        <v>7000</v>
      </c>
      <c r="F4743" s="638" t="s">
        <v>12169</v>
      </c>
      <c r="G4743" s="636" t="s">
        <v>12170</v>
      </c>
      <c r="H4743" s="636" t="s">
        <v>2179</v>
      </c>
      <c r="I4743" s="636" t="s">
        <v>6548</v>
      </c>
      <c r="J4743" s="644" t="s">
        <v>642</v>
      </c>
      <c r="K4743" s="739"/>
      <c r="L4743" s="760">
        <v>4</v>
      </c>
      <c r="M4743" s="736">
        <v>28000</v>
      </c>
      <c r="N4743" s="739"/>
      <c r="O4743" s="753"/>
      <c r="P4743" s="736">
        <v>0</v>
      </c>
      <c r="Q4743" s="214"/>
    </row>
    <row r="4744" spans="1:17" ht="12" customHeight="1" x14ac:dyDescent="0.2">
      <c r="A4744" s="638" t="s">
        <v>12125</v>
      </c>
      <c r="B4744" s="735" t="s">
        <v>2170</v>
      </c>
      <c r="C4744" s="638" t="s">
        <v>451</v>
      </c>
      <c r="D4744" s="644" t="s">
        <v>2261</v>
      </c>
      <c r="E4744" s="736">
        <v>1500</v>
      </c>
      <c r="F4744" s="638" t="s">
        <v>12171</v>
      </c>
      <c r="G4744" s="636" t="s">
        <v>12172</v>
      </c>
      <c r="H4744" s="636" t="s">
        <v>12141</v>
      </c>
      <c r="I4744" s="636" t="s">
        <v>2766</v>
      </c>
      <c r="J4744" s="644" t="s">
        <v>6778</v>
      </c>
      <c r="K4744" s="739"/>
      <c r="L4744" s="760">
        <v>5</v>
      </c>
      <c r="M4744" s="736">
        <v>7500</v>
      </c>
      <c r="N4744" s="739"/>
      <c r="O4744" s="753"/>
      <c r="P4744" s="736">
        <v>0</v>
      </c>
      <c r="Q4744" s="214"/>
    </row>
    <row r="4745" spans="1:17" ht="12" customHeight="1" x14ac:dyDescent="0.2">
      <c r="A4745" s="638" t="s">
        <v>12125</v>
      </c>
      <c r="B4745" s="735" t="s">
        <v>2170</v>
      </c>
      <c r="C4745" s="638" t="s">
        <v>451</v>
      </c>
      <c r="D4745" s="644" t="s">
        <v>2410</v>
      </c>
      <c r="E4745" s="736">
        <v>5000</v>
      </c>
      <c r="F4745" s="638" t="s">
        <v>12173</v>
      </c>
      <c r="G4745" s="636" t="s">
        <v>12174</v>
      </c>
      <c r="H4745" s="636" t="s">
        <v>12175</v>
      </c>
      <c r="I4745" s="636"/>
      <c r="J4745" s="644"/>
      <c r="K4745" s="739"/>
      <c r="L4745" s="760">
        <v>4</v>
      </c>
      <c r="M4745" s="736">
        <v>20000</v>
      </c>
      <c r="N4745" s="739"/>
      <c r="O4745" s="753"/>
      <c r="P4745" s="736">
        <v>0</v>
      </c>
      <c r="Q4745" s="214"/>
    </row>
    <row r="4746" spans="1:17" ht="12" customHeight="1" x14ac:dyDescent="0.2">
      <c r="A4746" s="638" t="s">
        <v>12125</v>
      </c>
      <c r="B4746" s="735" t="s">
        <v>2170</v>
      </c>
      <c r="C4746" s="638" t="s">
        <v>451</v>
      </c>
      <c r="D4746" s="644" t="s">
        <v>2225</v>
      </c>
      <c r="E4746" s="736">
        <v>7000</v>
      </c>
      <c r="F4746" s="638" t="s">
        <v>12176</v>
      </c>
      <c r="G4746" s="636" t="s">
        <v>12177</v>
      </c>
      <c r="H4746" s="636" t="s">
        <v>6571</v>
      </c>
      <c r="I4746" s="636" t="s">
        <v>6548</v>
      </c>
      <c r="J4746" s="644" t="s">
        <v>642</v>
      </c>
      <c r="K4746" s="739"/>
      <c r="L4746" s="760">
        <v>3</v>
      </c>
      <c r="M4746" s="736">
        <v>21000</v>
      </c>
      <c r="N4746" s="739"/>
      <c r="O4746" s="753"/>
      <c r="P4746" s="736">
        <v>0</v>
      </c>
      <c r="Q4746" s="214"/>
    </row>
    <row r="4747" spans="1:17" ht="12" customHeight="1" x14ac:dyDescent="0.2">
      <c r="A4747" s="638" t="s">
        <v>12125</v>
      </c>
      <c r="B4747" s="735" t="s">
        <v>2170</v>
      </c>
      <c r="C4747" s="638" t="s">
        <v>451</v>
      </c>
      <c r="D4747" s="644" t="s">
        <v>12178</v>
      </c>
      <c r="E4747" s="736">
        <v>8000</v>
      </c>
      <c r="F4747" s="638" t="s">
        <v>12179</v>
      </c>
      <c r="G4747" s="636" t="s">
        <v>12180</v>
      </c>
      <c r="H4747" s="636" t="s">
        <v>12181</v>
      </c>
      <c r="I4747" s="636" t="s">
        <v>6548</v>
      </c>
      <c r="J4747" s="644" t="s">
        <v>642</v>
      </c>
      <c r="K4747" s="739"/>
      <c r="L4747" s="760">
        <v>8</v>
      </c>
      <c r="M4747" s="736">
        <v>64000</v>
      </c>
      <c r="N4747" s="739"/>
      <c r="O4747" s="753">
        <v>6</v>
      </c>
      <c r="P4747" s="736">
        <v>48000</v>
      </c>
      <c r="Q4747" s="214"/>
    </row>
    <row r="4748" spans="1:17" ht="12" customHeight="1" x14ac:dyDescent="0.2">
      <c r="A4748" s="638" t="s">
        <v>12125</v>
      </c>
      <c r="B4748" s="735" t="s">
        <v>2170</v>
      </c>
      <c r="C4748" s="638" t="s">
        <v>451</v>
      </c>
      <c r="D4748" s="644" t="s">
        <v>5691</v>
      </c>
      <c r="E4748" s="736">
        <v>2500</v>
      </c>
      <c r="F4748" s="638" t="s">
        <v>12182</v>
      </c>
      <c r="G4748" s="636" t="s">
        <v>12183</v>
      </c>
      <c r="H4748" s="636" t="s">
        <v>12184</v>
      </c>
      <c r="I4748" s="636"/>
      <c r="J4748" s="644" t="s">
        <v>643</v>
      </c>
      <c r="K4748" s="739"/>
      <c r="L4748" s="760">
        <v>4</v>
      </c>
      <c r="M4748" s="736">
        <v>10000</v>
      </c>
      <c r="N4748" s="739"/>
      <c r="O4748" s="753"/>
      <c r="P4748" s="736">
        <v>0</v>
      </c>
      <c r="Q4748" s="214"/>
    </row>
    <row r="4749" spans="1:17" ht="12" customHeight="1" x14ac:dyDescent="0.2">
      <c r="A4749" s="638" t="s">
        <v>12125</v>
      </c>
      <c r="B4749" s="735" t="s">
        <v>2170</v>
      </c>
      <c r="C4749" s="638" t="s">
        <v>451</v>
      </c>
      <c r="D4749" s="644" t="s">
        <v>2190</v>
      </c>
      <c r="E4749" s="736">
        <v>1800</v>
      </c>
      <c r="F4749" s="638" t="s">
        <v>12185</v>
      </c>
      <c r="G4749" s="636" t="s">
        <v>12186</v>
      </c>
      <c r="H4749" s="636"/>
      <c r="I4749" s="636"/>
      <c r="J4749" s="644" t="s">
        <v>3800</v>
      </c>
      <c r="K4749" s="739"/>
      <c r="L4749" s="760">
        <v>6</v>
      </c>
      <c r="M4749" s="736">
        <v>10800</v>
      </c>
      <c r="N4749" s="739"/>
      <c r="O4749" s="753"/>
      <c r="P4749" s="736">
        <v>0</v>
      </c>
      <c r="Q4749" s="214"/>
    </row>
    <row r="4750" spans="1:17" ht="12" customHeight="1" x14ac:dyDescent="0.2">
      <c r="A4750" s="638" t="s">
        <v>12125</v>
      </c>
      <c r="B4750" s="735" t="s">
        <v>2170</v>
      </c>
      <c r="C4750" s="638" t="s">
        <v>451</v>
      </c>
      <c r="D4750" s="644" t="s">
        <v>2788</v>
      </c>
      <c r="E4750" s="736">
        <v>1800</v>
      </c>
      <c r="F4750" s="638" t="s">
        <v>12187</v>
      </c>
      <c r="G4750" s="636" t="s">
        <v>12188</v>
      </c>
      <c r="H4750" s="636" t="s">
        <v>643</v>
      </c>
      <c r="I4750" s="636"/>
      <c r="J4750" s="644"/>
      <c r="K4750" s="739"/>
      <c r="L4750" s="760">
        <v>12</v>
      </c>
      <c r="M4750" s="736">
        <v>21600</v>
      </c>
      <c r="N4750" s="739"/>
      <c r="O4750" s="753"/>
      <c r="P4750" s="736">
        <v>0</v>
      </c>
      <c r="Q4750" s="214"/>
    </row>
    <row r="4751" spans="1:17" ht="12" customHeight="1" x14ac:dyDescent="0.2">
      <c r="A4751" s="638" t="s">
        <v>12125</v>
      </c>
      <c r="B4751" s="735" t="s">
        <v>2170</v>
      </c>
      <c r="C4751" s="638" t="s">
        <v>451</v>
      </c>
      <c r="D4751" s="644" t="s">
        <v>5691</v>
      </c>
      <c r="E4751" s="736">
        <v>2500</v>
      </c>
      <c r="F4751" s="638" t="s">
        <v>12189</v>
      </c>
      <c r="G4751" s="636" t="s">
        <v>12190</v>
      </c>
      <c r="H4751" s="636" t="s">
        <v>2253</v>
      </c>
      <c r="I4751" s="636" t="s">
        <v>2253</v>
      </c>
      <c r="J4751" s="644" t="s">
        <v>5691</v>
      </c>
      <c r="K4751" s="739"/>
      <c r="L4751" s="760">
        <v>12</v>
      </c>
      <c r="M4751" s="736">
        <v>30000</v>
      </c>
      <c r="N4751" s="739"/>
      <c r="O4751" s="753">
        <v>6</v>
      </c>
      <c r="P4751" s="736">
        <v>15000</v>
      </c>
      <c r="Q4751" s="214"/>
    </row>
    <row r="4752" spans="1:17" ht="12" customHeight="1" x14ac:dyDescent="0.2">
      <c r="A4752" s="638" t="s">
        <v>12125</v>
      </c>
      <c r="B4752" s="735" t="s">
        <v>2170</v>
      </c>
      <c r="C4752" s="638" t="s">
        <v>451</v>
      </c>
      <c r="D4752" s="644" t="s">
        <v>12191</v>
      </c>
      <c r="E4752" s="736">
        <v>1800</v>
      </c>
      <c r="F4752" s="638" t="s">
        <v>12192</v>
      </c>
      <c r="G4752" s="636" t="s">
        <v>12193</v>
      </c>
      <c r="H4752" s="636" t="s">
        <v>1683</v>
      </c>
      <c r="I4752" s="636" t="s">
        <v>12194</v>
      </c>
      <c r="J4752" s="644" t="s">
        <v>12195</v>
      </c>
      <c r="K4752" s="739"/>
      <c r="L4752" s="760">
        <v>5</v>
      </c>
      <c r="M4752" s="736">
        <v>9000</v>
      </c>
      <c r="N4752" s="739"/>
      <c r="O4752" s="753"/>
      <c r="P4752" s="736">
        <v>0</v>
      </c>
      <c r="Q4752" s="214"/>
    </row>
    <row r="4753" spans="1:17" ht="12" customHeight="1" x14ac:dyDescent="0.2">
      <c r="A4753" s="638" t="s">
        <v>12125</v>
      </c>
      <c r="B4753" s="735" t="s">
        <v>2170</v>
      </c>
      <c r="C4753" s="638" t="s">
        <v>451</v>
      </c>
      <c r="D4753" s="644" t="s">
        <v>5538</v>
      </c>
      <c r="E4753" s="736">
        <v>7500</v>
      </c>
      <c r="F4753" s="638" t="s">
        <v>12196</v>
      </c>
      <c r="G4753" s="636" t="s">
        <v>12197</v>
      </c>
      <c r="H4753" s="636"/>
      <c r="I4753" s="636"/>
      <c r="J4753" s="644"/>
      <c r="K4753" s="739"/>
      <c r="L4753" s="760">
        <v>2</v>
      </c>
      <c r="M4753" s="736">
        <v>15000</v>
      </c>
      <c r="N4753" s="739"/>
      <c r="O4753" s="753"/>
      <c r="P4753" s="736">
        <v>0</v>
      </c>
      <c r="Q4753" s="214"/>
    </row>
    <row r="4754" spans="1:17" ht="12" customHeight="1" x14ac:dyDescent="0.2">
      <c r="A4754" s="638" t="s">
        <v>12125</v>
      </c>
      <c r="B4754" s="735" t="s">
        <v>2170</v>
      </c>
      <c r="C4754" s="638" t="s">
        <v>451</v>
      </c>
      <c r="D4754" s="644" t="s">
        <v>5691</v>
      </c>
      <c r="E4754" s="736">
        <v>2500</v>
      </c>
      <c r="F4754" s="638" t="s">
        <v>12198</v>
      </c>
      <c r="G4754" s="636" t="s">
        <v>12199</v>
      </c>
      <c r="H4754" s="636" t="s">
        <v>2253</v>
      </c>
      <c r="I4754" s="636" t="s">
        <v>6680</v>
      </c>
      <c r="J4754" s="644" t="s">
        <v>5691</v>
      </c>
      <c r="K4754" s="739"/>
      <c r="L4754" s="760">
        <v>4</v>
      </c>
      <c r="M4754" s="736">
        <v>10000</v>
      </c>
      <c r="N4754" s="739"/>
      <c r="O4754" s="753"/>
      <c r="P4754" s="736">
        <v>0</v>
      </c>
      <c r="Q4754" s="214"/>
    </row>
    <row r="4755" spans="1:17" ht="12" customHeight="1" x14ac:dyDescent="0.2">
      <c r="A4755" s="638" t="s">
        <v>12125</v>
      </c>
      <c r="B4755" s="735" t="s">
        <v>2170</v>
      </c>
      <c r="C4755" s="638" t="s">
        <v>451</v>
      </c>
      <c r="D4755" s="644" t="s">
        <v>12200</v>
      </c>
      <c r="E4755" s="736">
        <v>2000</v>
      </c>
      <c r="F4755" s="638" t="s">
        <v>12201</v>
      </c>
      <c r="G4755" s="636" t="s">
        <v>12202</v>
      </c>
      <c r="H4755" s="636" t="s">
        <v>2602</v>
      </c>
      <c r="I4755" s="636" t="s">
        <v>12203</v>
      </c>
      <c r="J4755" s="644" t="s">
        <v>2346</v>
      </c>
      <c r="K4755" s="739"/>
      <c r="L4755" s="760">
        <v>12</v>
      </c>
      <c r="M4755" s="736">
        <v>24000</v>
      </c>
      <c r="N4755" s="739"/>
      <c r="O4755" s="753">
        <v>6</v>
      </c>
      <c r="P4755" s="736">
        <v>12000</v>
      </c>
      <c r="Q4755" s="214"/>
    </row>
    <row r="4756" spans="1:17" ht="12" customHeight="1" x14ac:dyDescent="0.2">
      <c r="A4756" s="638" t="s">
        <v>12125</v>
      </c>
      <c r="B4756" s="735" t="s">
        <v>2170</v>
      </c>
      <c r="C4756" s="638" t="s">
        <v>451</v>
      </c>
      <c r="D4756" s="644" t="s">
        <v>5788</v>
      </c>
      <c r="E4756" s="736">
        <v>10000</v>
      </c>
      <c r="F4756" s="638" t="s">
        <v>12204</v>
      </c>
      <c r="G4756" s="636" t="s">
        <v>12205</v>
      </c>
      <c r="H4756" s="636" t="s">
        <v>6571</v>
      </c>
      <c r="I4756" s="636" t="s">
        <v>6548</v>
      </c>
      <c r="J4756" s="644" t="s">
        <v>642</v>
      </c>
      <c r="K4756" s="739"/>
      <c r="L4756" s="760">
        <v>10</v>
      </c>
      <c r="M4756" s="736">
        <v>100000</v>
      </c>
      <c r="N4756" s="739"/>
      <c r="O4756" s="753"/>
      <c r="P4756" s="736">
        <v>0</v>
      </c>
      <c r="Q4756" s="214"/>
    </row>
    <row r="4757" spans="1:17" ht="12" customHeight="1" x14ac:dyDescent="0.2">
      <c r="A4757" s="638" t="s">
        <v>12125</v>
      </c>
      <c r="B4757" s="735" t="s">
        <v>2170</v>
      </c>
      <c r="C4757" s="638" t="s">
        <v>451</v>
      </c>
      <c r="D4757" s="644" t="s">
        <v>2602</v>
      </c>
      <c r="E4757" s="736">
        <v>2000</v>
      </c>
      <c r="F4757" s="638" t="s">
        <v>12206</v>
      </c>
      <c r="G4757" s="636" t="s">
        <v>12207</v>
      </c>
      <c r="H4757" s="636" t="s">
        <v>12208</v>
      </c>
      <c r="I4757" s="636" t="s">
        <v>12209</v>
      </c>
      <c r="J4757" s="644" t="s">
        <v>2602</v>
      </c>
      <c r="K4757" s="739"/>
      <c r="L4757" s="760">
        <v>12</v>
      </c>
      <c r="M4757" s="736">
        <v>24000</v>
      </c>
      <c r="N4757" s="739"/>
      <c r="O4757" s="753">
        <v>6</v>
      </c>
      <c r="P4757" s="736">
        <v>12000</v>
      </c>
      <c r="Q4757" s="214"/>
    </row>
    <row r="4758" spans="1:17" ht="12" customHeight="1" x14ac:dyDescent="0.2">
      <c r="A4758" s="638" t="s">
        <v>12125</v>
      </c>
      <c r="B4758" s="735" t="s">
        <v>2170</v>
      </c>
      <c r="C4758" s="638" t="s">
        <v>451</v>
      </c>
      <c r="D4758" s="644" t="s">
        <v>12210</v>
      </c>
      <c r="E4758" s="736">
        <v>3500</v>
      </c>
      <c r="F4758" s="638" t="s">
        <v>12211</v>
      </c>
      <c r="G4758" s="636" t="s">
        <v>12212</v>
      </c>
      <c r="H4758" s="636" t="s">
        <v>12213</v>
      </c>
      <c r="I4758" s="636"/>
      <c r="J4758" s="644"/>
      <c r="K4758" s="739"/>
      <c r="L4758" s="760">
        <v>10</v>
      </c>
      <c r="M4758" s="736">
        <v>35000</v>
      </c>
      <c r="N4758" s="739"/>
      <c r="O4758" s="753">
        <v>6</v>
      </c>
      <c r="P4758" s="736">
        <v>21000</v>
      </c>
      <c r="Q4758" s="214"/>
    </row>
    <row r="4759" spans="1:17" ht="12" customHeight="1" x14ac:dyDescent="0.2">
      <c r="A4759" s="638" t="s">
        <v>12125</v>
      </c>
      <c r="B4759" s="735" t="s">
        <v>2170</v>
      </c>
      <c r="C4759" s="638" t="s">
        <v>451</v>
      </c>
      <c r="D4759" s="644" t="s">
        <v>12214</v>
      </c>
      <c r="E4759" s="736">
        <v>5000</v>
      </c>
      <c r="F4759" s="638" t="s">
        <v>12215</v>
      </c>
      <c r="G4759" s="636" t="s">
        <v>12216</v>
      </c>
      <c r="H4759" s="636" t="s">
        <v>2179</v>
      </c>
      <c r="I4759" s="636" t="s">
        <v>6548</v>
      </c>
      <c r="J4759" s="644" t="s">
        <v>642</v>
      </c>
      <c r="K4759" s="739"/>
      <c r="L4759" s="760">
        <v>12</v>
      </c>
      <c r="M4759" s="736">
        <v>60000</v>
      </c>
      <c r="N4759" s="739"/>
      <c r="O4759" s="753">
        <v>6</v>
      </c>
      <c r="P4759" s="736">
        <v>30000</v>
      </c>
      <c r="Q4759" s="214"/>
    </row>
    <row r="4760" spans="1:17" ht="12" customHeight="1" x14ac:dyDescent="0.2">
      <c r="A4760" s="638" t="s">
        <v>12125</v>
      </c>
      <c r="B4760" s="735" t="s">
        <v>2170</v>
      </c>
      <c r="C4760" s="638" t="s">
        <v>451</v>
      </c>
      <c r="D4760" s="644" t="s">
        <v>12217</v>
      </c>
      <c r="E4760" s="736">
        <v>6000</v>
      </c>
      <c r="F4760" s="638" t="s">
        <v>12218</v>
      </c>
      <c r="G4760" s="636" t="s">
        <v>12219</v>
      </c>
      <c r="H4760" s="636" t="s">
        <v>2245</v>
      </c>
      <c r="I4760" s="636" t="s">
        <v>6548</v>
      </c>
      <c r="J4760" s="644" t="s">
        <v>642</v>
      </c>
      <c r="K4760" s="739"/>
      <c r="L4760" s="760">
        <v>1</v>
      </c>
      <c r="M4760" s="736">
        <v>6000</v>
      </c>
      <c r="N4760" s="739"/>
      <c r="O4760" s="753">
        <v>6</v>
      </c>
      <c r="P4760" s="736">
        <v>36000</v>
      </c>
      <c r="Q4760" s="214"/>
    </row>
    <row r="4761" spans="1:17" ht="12" customHeight="1" x14ac:dyDescent="0.2">
      <c r="A4761" s="638" t="s">
        <v>12125</v>
      </c>
      <c r="B4761" s="735" t="s">
        <v>2170</v>
      </c>
      <c r="C4761" s="638" t="s">
        <v>451</v>
      </c>
      <c r="D4761" s="644" t="s">
        <v>12214</v>
      </c>
      <c r="E4761" s="736">
        <v>6000</v>
      </c>
      <c r="F4761" s="638" t="s">
        <v>12220</v>
      </c>
      <c r="G4761" s="636" t="s">
        <v>12221</v>
      </c>
      <c r="H4761" s="636" t="s">
        <v>2189</v>
      </c>
      <c r="I4761" s="636" t="s">
        <v>6548</v>
      </c>
      <c r="J4761" s="644" t="s">
        <v>642</v>
      </c>
      <c r="K4761" s="739"/>
      <c r="L4761" s="760">
        <v>2</v>
      </c>
      <c r="M4761" s="736">
        <v>12000</v>
      </c>
      <c r="N4761" s="739"/>
      <c r="O4761" s="753"/>
      <c r="P4761" s="736">
        <v>0</v>
      </c>
      <c r="Q4761" s="214"/>
    </row>
    <row r="4762" spans="1:17" ht="12" customHeight="1" x14ac:dyDescent="0.2">
      <c r="A4762" s="638" t="s">
        <v>12125</v>
      </c>
      <c r="B4762" s="735" t="s">
        <v>2170</v>
      </c>
      <c r="C4762" s="638" t="s">
        <v>451</v>
      </c>
      <c r="D4762" s="644" t="s">
        <v>12222</v>
      </c>
      <c r="E4762" s="736">
        <v>6500</v>
      </c>
      <c r="F4762" s="638" t="s">
        <v>12223</v>
      </c>
      <c r="G4762" s="636" t="s">
        <v>12224</v>
      </c>
      <c r="H4762" s="636" t="s">
        <v>6962</v>
      </c>
      <c r="I4762" s="636" t="s">
        <v>6548</v>
      </c>
      <c r="J4762" s="644" t="s">
        <v>642</v>
      </c>
      <c r="K4762" s="739"/>
      <c r="L4762" s="760">
        <v>12</v>
      </c>
      <c r="M4762" s="736">
        <v>78000</v>
      </c>
      <c r="N4762" s="739"/>
      <c r="O4762" s="753"/>
      <c r="P4762" s="736">
        <v>0</v>
      </c>
      <c r="Q4762" s="214"/>
    </row>
    <row r="4763" spans="1:17" ht="12" customHeight="1" x14ac:dyDescent="0.2">
      <c r="A4763" s="638" t="s">
        <v>12125</v>
      </c>
      <c r="B4763" s="735" t="s">
        <v>2170</v>
      </c>
      <c r="C4763" s="638" t="s">
        <v>451</v>
      </c>
      <c r="D4763" s="644" t="s">
        <v>12225</v>
      </c>
      <c r="E4763" s="736">
        <v>10000</v>
      </c>
      <c r="F4763" s="638" t="s">
        <v>12226</v>
      </c>
      <c r="G4763" s="636" t="s">
        <v>12227</v>
      </c>
      <c r="H4763" s="636" t="s">
        <v>2179</v>
      </c>
      <c r="I4763" s="636" t="s">
        <v>6548</v>
      </c>
      <c r="J4763" s="644" t="s">
        <v>642</v>
      </c>
      <c r="K4763" s="739"/>
      <c r="L4763" s="760">
        <v>12</v>
      </c>
      <c r="M4763" s="736">
        <v>120000</v>
      </c>
      <c r="N4763" s="739"/>
      <c r="O4763" s="753">
        <v>6</v>
      </c>
      <c r="P4763" s="736">
        <v>60000</v>
      </c>
      <c r="Q4763" s="214"/>
    </row>
    <row r="4764" spans="1:17" ht="12" customHeight="1" x14ac:dyDescent="0.2">
      <c r="A4764" s="638" t="s">
        <v>12125</v>
      </c>
      <c r="B4764" s="735" t="s">
        <v>2170</v>
      </c>
      <c r="C4764" s="638" t="s">
        <v>451</v>
      </c>
      <c r="D4764" s="644" t="s">
        <v>2225</v>
      </c>
      <c r="E4764" s="736">
        <v>6000</v>
      </c>
      <c r="F4764" s="638" t="s">
        <v>12228</v>
      </c>
      <c r="G4764" s="636" t="s">
        <v>12229</v>
      </c>
      <c r="H4764" s="636" t="s">
        <v>6571</v>
      </c>
      <c r="I4764" s="636" t="s">
        <v>6548</v>
      </c>
      <c r="J4764" s="644" t="s">
        <v>642</v>
      </c>
      <c r="K4764" s="739"/>
      <c r="L4764" s="760">
        <v>9</v>
      </c>
      <c r="M4764" s="736">
        <v>54000</v>
      </c>
      <c r="N4764" s="739"/>
      <c r="O4764" s="753">
        <v>3</v>
      </c>
      <c r="P4764" s="736">
        <v>18000</v>
      </c>
      <c r="Q4764" s="214"/>
    </row>
    <row r="4765" spans="1:17" ht="12" customHeight="1" x14ac:dyDescent="0.2">
      <c r="A4765" s="638" t="s">
        <v>12125</v>
      </c>
      <c r="B4765" s="735" t="s">
        <v>2170</v>
      </c>
      <c r="C4765" s="638" t="s">
        <v>451</v>
      </c>
      <c r="D4765" s="644" t="s">
        <v>2236</v>
      </c>
      <c r="E4765" s="736">
        <v>4000</v>
      </c>
      <c r="F4765" s="638" t="s">
        <v>12230</v>
      </c>
      <c r="G4765" s="636" t="s">
        <v>12231</v>
      </c>
      <c r="H4765" s="636" t="s">
        <v>6571</v>
      </c>
      <c r="I4765" s="636" t="s">
        <v>6548</v>
      </c>
      <c r="J4765" s="644" t="s">
        <v>642</v>
      </c>
      <c r="K4765" s="739"/>
      <c r="L4765" s="760">
        <v>2</v>
      </c>
      <c r="M4765" s="736">
        <v>8000</v>
      </c>
      <c r="N4765" s="739"/>
      <c r="O4765" s="753"/>
      <c r="P4765" s="736">
        <v>0</v>
      </c>
      <c r="Q4765" s="214"/>
    </row>
    <row r="4766" spans="1:17" ht="12" customHeight="1" x14ac:dyDescent="0.2">
      <c r="A4766" s="638" t="s">
        <v>12125</v>
      </c>
      <c r="B4766" s="735" t="s">
        <v>2170</v>
      </c>
      <c r="C4766" s="638" t="s">
        <v>451</v>
      </c>
      <c r="D4766" s="644" t="s">
        <v>2261</v>
      </c>
      <c r="E4766" s="736">
        <v>2500</v>
      </c>
      <c r="F4766" s="638" t="s">
        <v>12232</v>
      </c>
      <c r="G4766" s="636" t="s">
        <v>12233</v>
      </c>
      <c r="H4766" s="636"/>
      <c r="I4766" s="636" t="s">
        <v>12209</v>
      </c>
      <c r="J4766" s="644" t="s">
        <v>2602</v>
      </c>
      <c r="K4766" s="739"/>
      <c r="L4766" s="760">
        <v>2</v>
      </c>
      <c r="M4766" s="736">
        <v>5000</v>
      </c>
      <c r="N4766" s="739"/>
      <c r="O4766" s="753"/>
      <c r="P4766" s="736">
        <v>0</v>
      </c>
      <c r="Q4766" s="214"/>
    </row>
    <row r="4767" spans="1:17" ht="12" customHeight="1" x14ac:dyDescent="0.2">
      <c r="A4767" s="638" t="s">
        <v>12125</v>
      </c>
      <c r="B4767" s="735" t="s">
        <v>2170</v>
      </c>
      <c r="C4767" s="638" t="s">
        <v>451</v>
      </c>
      <c r="D4767" s="644" t="s">
        <v>6016</v>
      </c>
      <c r="E4767" s="736">
        <v>4000</v>
      </c>
      <c r="F4767" s="638" t="s">
        <v>12234</v>
      </c>
      <c r="G4767" s="636" t="s">
        <v>12235</v>
      </c>
      <c r="H4767" s="636" t="s">
        <v>12141</v>
      </c>
      <c r="I4767" s="636" t="s">
        <v>2766</v>
      </c>
      <c r="J4767" s="644" t="s">
        <v>6778</v>
      </c>
      <c r="K4767" s="739"/>
      <c r="L4767" s="760">
        <v>12</v>
      </c>
      <c r="M4767" s="736">
        <v>48000</v>
      </c>
      <c r="N4767" s="739"/>
      <c r="O4767" s="753">
        <v>6</v>
      </c>
      <c r="P4767" s="736">
        <v>24000</v>
      </c>
      <c r="Q4767" s="214"/>
    </row>
    <row r="4768" spans="1:17" ht="12" customHeight="1" x14ac:dyDescent="0.2">
      <c r="A4768" s="638" t="s">
        <v>12125</v>
      </c>
      <c r="B4768" s="735" t="s">
        <v>2170</v>
      </c>
      <c r="C4768" s="638" t="s">
        <v>451</v>
      </c>
      <c r="D4768" s="644" t="s">
        <v>3057</v>
      </c>
      <c r="E4768" s="736">
        <v>3500</v>
      </c>
      <c r="F4768" s="638" t="s">
        <v>12236</v>
      </c>
      <c r="G4768" s="636" t="s">
        <v>12237</v>
      </c>
      <c r="H4768" s="636" t="s">
        <v>3057</v>
      </c>
      <c r="I4768" s="636" t="s">
        <v>6548</v>
      </c>
      <c r="J4768" s="644" t="s">
        <v>642</v>
      </c>
      <c r="K4768" s="739"/>
      <c r="L4768" s="760">
        <v>12</v>
      </c>
      <c r="M4768" s="736">
        <v>42000</v>
      </c>
      <c r="N4768" s="739"/>
      <c r="O4768" s="753">
        <v>6</v>
      </c>
      <c r="P4768" s="736">
        <v>21000</v>
      </c>
      <c r="Q4768" s="214"/>
    </row>
    <row r="4769" spans="1:17" ht="12" customHeight="1" x14ac:dyDescent="0.2">
      <c r="A4769" s="638" t="s">
        <v>12125</v>
      </c>
      <c r="B4769" s="735" t="s">
        <v>2170</v>
      </c>
      <c r="C4769" s="638" t="s">
        <v>451</v>
      </c>
      <c r="D4769" s="644" t="s">
        <v>12238</v>
      </c>
      <c r="E4769" s="736">
        <v>6000</v>
      </c>
      <c r="F4769" s="638" t="s">
        <v>12239</v>
      </c>
      <c r="G4769" s="636" t="s">
        <v>12240</v>
      </c>
      <c r="H4769" s="636" t="s">
        <v>2179</v>
      </c>
      <c r="I4769" s="636" t="s">
        <v>6548</v>
      </c>
      <c r="J4769" s="644" t="s">
        <v>642</v>
      </c>
      <c r="K4769" s="739"/>
      <c r="L4769" s="760">
        <v>12</v>
      </c>
      <c r="M4769" s="736">
        <v>72000</v>
      </c>
      <c r="N4769" s="739"/>
      <c r="O4769" s="753">
        <v>6</v>
      </c>
      <c r="P4769" s="736">
        <v>36000</v>
      </c>
      <c r="Q4769" s="214"/>
    </row>
    <row r="4770" spans="1:17" ht="12" customHeight="1" x14ac:dyDescent="0.2">
      <c r="A4770" s="638" t="s">
        <v>12125</v>
      </c>
      <c r="B4770" s="735" t="s">
        <v>2170</v>
      </c>
      <c r="C4770" s="638" t="s">
        <v>451</v>
      </c>
      <c r="D4770" s="644" t="s">
        <v>12241</v>
      </c>
      <c r="E4770" s="736">
        <v>2200</v>
      </c>
      <c r="F4770" s="638" t="s">
        <v>12242</v>
      </c>
      <c r="G4770" s="636" t="s">
        <v>12243</v>
      </c>
      <c r="H4770" s="636" t="s">
        <v>2602</v>
      </c>
      <c r="I4770" s="636" t="s">
        <v>12114</v>
      </c>
      <c r="J4770" s="644" t="s">
        <v>2346</v>
      </c>
      <c r="K4770" s="739"/>
      <c r="L4770" s="760">
        <v>12</v>
      </c>
      <c r="M4770" s="736">
        <v>26400</v>
      </c>
      <c r="N4770" s="739"/>
      <c r="O4770" s="753">
        <v>6</v>
      </c>
      <c r="P4770" s="736">
        <v>13200</v>
      </c>
      <c r="Q4770" s="214"/>
    </row>
    <row r="4771" spans="1:17" ht="12" customHeight="1" x14ac:dyDescent="0.2">
      <c r="A4771" s="638" t="s">
        <v>12125</v>
      </c>
      <c r="B4771" s="735" t="s">
        <v>2170</v>
      </c>
      <c r="C4771" s="638" t="s">
        <v>451</v>
      </c>
      <c r="D4771" s="644" t="s">
        <v>12244</v>
      </c>
      <c r="E4771" s="736">
        <v>2000</v>
      </c>
      <c r="F4771" s="638" t="s">
        <v>12245</v>
      </c>
      <c r="G4771" s="636" t="s">
        <v>12246</v>
      </c>
      <c r="H4771" s="636" t="s">
        <v>2979</v>
      </c>
      <c r="I4771" s="636" t="s">
        <v>12203</v>
      </c>
      <c r="J4771" s="644"/>
      <c r="K4771" s="739"/>
      <c r="L4771" s="760">
        <v>3</v>
      </c>
      <c r="M4771" s="736">
        <v>6000</v>
      </c>
      <c r="N4771" s="739"/>
      <c r="O4771" s="753"/>
      <c r="P4771" s="736">
        <v>0</v>
      </c>
      <c r="Q4771" s="214"/>
    </row>
    <row r="4772" spans="1:17" ht="12" customHeight="1" x14ac:dyDescent="0.2">
      <c r="A4772" s="638" t="s">
        <v>12125</v>
      </c>
      <c r="B4772" s="735" t="s">
        <v>2170</v>
      </c>
      <c r="C4772" s="638" t="s">
        <v>451</v>
      </c>
      <c r="D4772" s="644" t="s">
        <v>2225</v>
      </c>
      <c r="E4772" s="736">
        <v>5000</v>
      </c>
      <c r="F4772" s="638" t="s">
        <v>12247</v>
      </c>
      <c r="G4772" s="636" t="s">
        <v>12248</v>
      </c>
      <c r="H4772" s="636" t="s">
        <v>2236</v>
      </c>
      <c r="I4772" s="636" t="s">
        <v>6548</v>
      </c>
      <c r="J4772" s="644" t="s">
        <v>642</v>
      </c>
      <c r="K4772" s="739"/>
      <c r="L4772" s="760">
        <v>11</v>
      </c>
      <c r="M4772" s="736">
        <v>55000</v>
      </c>
      <c r="N4772" s="739"/>
      <c r="O4772" s="753">
        <v>6</v>
      </c>
      <c r="P4772" s="736">
        <v>30000</v>
      </c>
      <c r="Q4772" s="214"/>
    </row>
    <row r="4773" spans="1:17" ht="12" customHeight="1" x14ac:dyDescent="0.2">
      <c r="A4773" s="638" t="s">
        <v>12125</v>
      </c>
      <c r="B4773" s="735" t="s">
        <v>2170</v>
      </c>
      <c r="C4773" s="638" t="s">
        <v>451</v>
      </c>
      <c r="D4773" s="644" t="s">
        <v>9199</v>
      </c>
      <c r="E4773" s="736">
        <v>5000</v>
      </c>
      <c r="F4773" s="638" t="s">
        <v>12249</v>
      </c>
      <c r="G4773" s="636" t="s">
        <v>12250</v>
      </c>
      <c r="H4773" s="636" t="s">
        <v>12181</v>
      </c>
      <c r="I4773" s="636" t="s">
        <v>6548</v>
      </c>
      <c r="J4773" s="644" t="s">
        <v>642</v>
      </c>
      <c r="K4773" s="739"/>
      <c r="L4773" s="760">
        <v>12</v>
      </c>
      <c r="M4773" s="736">
        <v>60000</v>
      </c>
      <c r="N4773" s="739"/>
      <c r="O4773" s="753">
        <v>6</v>
      </c>
      <c r="P4773" s="736">
        <v>30000</v>
      </c>
      <c r="Q4773" s="214"/>
    </row>
    <row r="4774" spans="1:17" ht="12" customHeight="1" x14ac:dyDescent="0.2">
      <c r="A4774" s="638" t="s">
        <v>12125</v>
      </c>
      <c r="B4774" s="735" t="s">
        <v>2170</v>
      </c>
      <c r="C4774" s="638" t="s">
        <v>451</v>
      </c>
      <c r="D4774" s="644" t="s">
        <v>12251</v>
      </c>
      <c r="E4774" s="736">
        <v>7000</v>
      </c>
      <c r="F4774" s="638" t="s">
        <v>12252</v>
      </c>
      <c r="G4774" s="636" t="s">
        <v>12253</v>
      </c>
      <c r="H4774" s="636" t="s">
        <v>11857</v>
      </c>
      <c r="I4774" s="636" t="s">
        <v>6548</v>
      </c>
      <c r="J4774" s="644" t="s">
        <v>642</v>
      </c>
      <c r="K4774" s="739"/>
      <c r="L4774" s="760">
        <v>4</v>
      </c>
      <c r="M4774" s="736">
        <v>28000</v>
      </c>
      <c r="N4774" s="739"/>
      <c r="O4774" s="753">
        <v>6</v>
      </c>
      <c r="P4774" s="736">
        <v>42000</v>
      </c>
      <c r="Q4774" s="214"/>
    </row>
    <row r="4775" spans="1:17" ht="12" customHeight="1" x14ac:dyDescent="0.2">
      <c r="A4775" s="638" t="s">
        <v>12125</v>
      </c>
      <c r="B4775" s="735" t="s">
        <v>2170</v>
      </c>
      <c r="C4775" s="638" t="s">
        <v>451</v>
      </c>
      <c r="D4775" s="644" t="s">
        <v>5538</v>
      </c>
      <c r="E4775" s="736">
        <v>7500</v>
      </c>
      <c r="F4775" s="638" t="s">
        <v>12254</v>
      </c>
      <c r="G4775" s="636" t="s">
        <v>12255</v>
      </c>
      <c r="H4775" s="636" t="s">
        <v>2189</v>
      </c>
      <c r="I4775" s="636" t="s">
        <v>6548</v>
      </c>
      <c r="J4775" s="644" t="s">
        <v>642</v>
      </c>
      <c r="K4775" s="739"/>
      <c r="L4775" s="760">
        <v>2</v>
      </c>
      <c r="M4775" s="736">
        <v>15000</v>
      </c>
      <c r="N4775" s="739"/>
      <c r="O4775" s="753"/>
      <c r="P4775" s="736">
        <v>0</v>
      </c>
      <c r="Q4775" s="214"/>
    </row>
    <row r="4776" spans="1:17" ht="12" customHeight="1" x14ac:dyDescent="0.2">
      <c r="A4776" s="638" t="s">
        <v>12125</v>
      </c>
      <c r="B4776" s="735" t="s">
        <v>2170</v>
      </c>
      <c r="C4776" s="638" t="s">
        <v>451</v>
      </c>
      <c r="D4776" s="644" t="s">
        <v>12256</v>
      </c>
      <c r="E4776" s="736">
        <v>7000</v>
      </c>
      <c r="F4776" s="638" t="s">
        <v>12257</v>
      </c>
      <c r="G4776" s="636" t="s">
        <v>12258</v>
      </c>
      <c r="H4776" s="636" t="s">
        <v>2236</v>
      </c>
      <c r="I4776" s="636" t="s">
        <v>6548</v>
      </c>
      <c r="J4776" s="644" t="s">
        <v>642</v>
      </c>
      <c r="K4776" s="739"/>
      <c r="L4776" s="760">
        <v>12</v>
      </c>
      <c r="M4776" s="736">
        <v>84000</v>
      </c>
      <c r="N4776" s="739"/>
      <c r="O4776" s="753">
        <v>6</v>
      </c>
      <c r="P4776" s="736">
        <v>42000</v>
      </c>
      <c r="Q4776" s="214"/>
    </row>
    <row r="4777" spans="1:17" ht="12" customHeight="1" x14ac:dyDescent="0.2">
      <c r="A4777" s="638" t="s">
        <v>12125</v>
      </c>
      <c r="B4777" s="735" t="s">
        <v>2170</v>
      </c>
      <c r="C4777" s="638" t="s">
        <v>451</v>
      </c>
      <c r="D4777" s="644" t="s">
        <v>2190</v>
      </c>
      <c r="E4777" s="736">
        <v>2000</v>
      </c>
      <c r="F4777" s="638" t="s">
        <v>12259</v>
      </c>
      <c r="G4777" s="636" t="s">
        <v>12260</v>
      </c>
      <c r="H4777" s="636" t="s">
        <v>2979</v>
      </c>
      <c r="I4777" s="636"/>
      <c r="J4777" s="644" t="s">
        <v>643</v>
      </c>
      <c r="K4777" s="739"/>
      <c r="L4777" s="760">
        <v>4</v>
      </c>
      <c r="M4777" s="736">
        <v>8000</v>
      </c>
      <c r="N4777" s="739"/>
      <c r="O4777" s="753"/>
      <c r="P4777" s="736">
        <v>0</v>
      </c>
      <c r="Q4777" s="214"/>
    </row>
    <row r="4778" spans="1:17" ht="12" customHeight="1" x14ac:dyDescent="0.2">
      <c r="A4778" s="638" t="s">
        <v>12125</v>
      </c>
      <c r="B4778" s="735" t="s">
        <v>2170</v>
      </c>
      <c r="C4778" s="638" t="s">
        <v>451</v>
      </c>
      <c r="D4778" s="644" t="s">
        <v>12261</v>
      </c>
      <c r="E4778" s="736">
        <v>6000</v>
      </c>
      <c r="F4778" s="638" t="s">
        <v>12262</v>
      </c>
      <c r="G4778" s="636" t="s">
        <v>12263</v>
      </c>
      <c r="H4778" s="636" t="s">
        <v>2189</v>
      </c>
      <c r="I4778" s="636" t="s">
        <v>6548</v>
      </c>
      <c r="J4778" s="644" t="s">
        <v>642</v>
      </c>
      <c r="K4778" s="739"/>
      <c r="L4778" s="760">
        <v>3</v>
      </c>
      <c r="M4778" s="736">
        <v>18000</v>
      </c>
      <c r="N4778" s="739"/>
      <c r="O4778" s="753">
        <v>6</v>
      </c>
      <c r="P4778" s="736">
        <v>36000</v>
      </c>
      <c r="Q4778" s="214"/>
    </row>
    <row r="4779" spans="1:17" ht="12" customHeight="1" x14ac:dyDescent="0.2">
      <c r="A4779" s="638" t="s">
        <v>12125</v>
      </c>
      <c r="B4779" s="735" t="s">
        <v>2170</v>
      </c>
      <c r="C4779" s="638" t="s">
        <v>451</v>
      </c>
      <c r="D4779" s="644" t="s">
        <v>12264</v>
      </c>
      <c r="E4779" s="736">
        <v>4000</v>
      </c>
      <c r="F4779" s="638" t="s">
        <v>12265</v>
      </c>
      <c r="G4779" s="636" t="s">
        <v>12266</v>
      </c>
      <c r="H4779" s="636" t="s">
        <v>2236</v>
      </c>
      <c r="I4779" s="636" t="s">
        <v>6548</v>
      </c>
      <c r="J4779" s="644" t="s">
        <v>642</v>
      </c>
      <c r="K4779" s="739"/>
      <c r="L4779" s="760">
        <v>10</v>
      </c>
      <c r="M4779" s="736">
        <v>40000</v>
      </c>
      <c r="N4779" s="739"/>
      <c r="O4779" s="753">
        <v>6</v>
      </c>
      <c r="P4779" s="736">
        <v>24000</v>
      </c>
      <c r="Q4779" s="214"/>
    </row>
    <row r="4780" spans="1:17" ht="12" customHeight="1" x14ac:dyDescent="0.2">
      <c r="A4780" s="638" t="s">
        <v>12125</v>
      </c>
      <c r="B4780" s="735" t="s">
        <v>2170</v>
      </c>
      <c r="C4780" s="638" t="s">
        <v>451</v>
      </c>
      <c r="D4780" s="644" t="s">
        <v>12264</v>
      </c>
      <c r="E4780" s="736">
        <v>4000</v>
      </c>
      <c r="F4780" s="638" t="s">
        <v>12267</v>
      </c>
      <c r="G4780" s="636" t="s">
        <v>12268</v>
      </c>
      <c r="H4780" s="636" t="s">
        <v>2236</v>
      </c>
      <c r="I4780" s="636" t="s">
        <v>6548</v>
      </c>
      <c r="J4780" s="644" t="s">
        <v>642</v>
      </c>
      <c r="K4780" s="739"/>
      <c r="L4780" s="760">
        <v>10</v>
      </c>
      <c r="M4780" s="736">
        <v>40000</v>
      </c>
      <c r="N4780" s="739"/>
      <c r="O4780" s="753">
        <v>6</v>
      </c>
      <c r="P4780" s="736">
        <v>24000</v>
      </c>
      <c r="Q4780" s="214"/>
    </row>
    <row r="4781" spans="1:17" ht="12" customHeight="1" x14ac:dyDescent="0.2">
      <c r="A4781" s="638" t="s">
        <v>12125</v>
      </c>
      <c r="B4781" s="735" t="s">
        <v>2170</v>
      </c>
      <c r="C4781" s="638" t="s">
        <v>451</v>
      </c>
      <c r="D4781" s="644" t="s">
        <v>12269</v>
      </c>
      <c r="E4781" s="736">
        <v>1750</v>
      </c>
      <c r="F4781" s="638" t="s">
        <v>12270</v>
      </c>
      <c r="G4781" s="636" t="s">
        <v>12271</v>
      </c>
      <c r="H4781" s="636" t="s">
        <v>2979</v>
      </c>
      <c r="I4781" s="636" t="s">
        <v>6680</v>
      </c>
      <c r="J4781" s="644" t="s">
        <v>12272</v>
      </c>
      <c r="K4781" s="739"/>
      <c r="L4781" s="760">
        <v>5</v>
      </c>
      <c r="M4781" s="736">
        <v>8750</v>
      </c>
      <c r="N4781" s="739"/>
      <c r="O4781" s="753"/>
      <c r="P4781" s="736">
        <v>0</v>
      </c>
      <c r="Q4781" s="214"/>
    </row>
    <row r="4782" spans="1:17" ht="12" customHeight="1" x14ac:dyDescent="0.2">
      <c r="A4782" s="638" t="s">
        <v>12125</v>
      </c>
      <c r="B4782" s="735" t="s">
        <v>2170</v>
      </c>
      <c r="C4782" s="638" t="s">
        <v>451</v>
      </c>
      <c r="D4782" s="644" t="s">
        <v>12273</v>
      </c>
      <c r="E4782" s="736">
        <v>10000</v>
      </c>
      <c r="F4782" s="638" t="s">
        <v>12274</v>
      </c>
      <c r="G4782" s="636" t="s">
        <v>12275</v>
      </c>
      <c r="H4782" s="636" t="s">
        <v>2236</v>
      </c>
      <c r="I4782" s="636" t="s">
        <v>6548</v>
      </c>
      <c r="J4782" s="644" t="s">
        <v>642</v>
      </c>
      <c r="K4782" s="739"/>
      <c r="L4782" s="760">
        <v>4</v>
      </c>
      <c r="M4782" s="736">
        <v>40000</v>
      </c>
      <c r="N4782" s="739"/>
      <c r="O4782" s="753"/>
      <c r="P4782" s="736">
        <v>0</v>
      </c>
      <c r="Q4782" s="214"/>
    </row>
    <row r="4783" spans="1:17" ht="12" customHeight="1" x14ac:dyDescent="0.2">
      <c r="A4783" s="638" t="s">
        <v>12125</v>
      </c>
      <c r="B4783" s="735" t="s">
        <v>2170</v>
      </c>
      <c r="C4783" s="638" t="s">
        <v>451</v>
      </c>
      <c r="D4783" s="644" t="s">
        <v>2190</v>
      </c>
      <c r="E4783" s="736">
        <v>1800</v>
      </c>
      <c r="F4783" s="638" t="s">
        <v>12276</v>
      </c>
      <c r="G4783" s="636" t="s">
        <v>12277</v>
      </c>
      <c r="H4783" s="636" t="s">
        <v>2478</v>
      </c>
      <c r="I4783" s="636" t="s">
        <v>6548</v>
      </c>
      <c r="J4783" s="644" t="s">
        <v>642</v>
      </c>
      <c r="K4783" s="739"/>
      <c r="L4783" s="760">
        <v>4</v>
      </c>
      <c r="M4783" s="736">
        <v>7200</v>
      </c>
      <c r="N4783" s="739"/>
      <c r="O4783" s="753">
        <v>6</v>
      </c>
      <c r="P4783" s="736">
        <v>10800</v>
      </c>
      <c r="Q4783" s="214"/>
    </row>
    <row r="4784" spans="1:17" ht="12" customHeight="1" x14ac:dyDescent="0.2">
      <c r="A4784" s="638" t="s">
        <v>12125</v>
      </c>
      <c r="B4784" s="735" t="s">
        <v>2170</v>
      </c>
      <c r="C4784" s="638" t="s">
        <v>451</v>
      </c>
      <c r="D4784" s="644" t="s">
        <v>5691</v>
      </c>
      <c r="E4784" s="736">
        <v>2500</v>
      </c>
      <c r="F4784" s="638" t="s">
        <v>12278</v>
      </c>
      <c r="G4784" s="636" t="s">
        <v>12279</v>
      </c>
      <c r="H4784" s="636" t="s">
        <v>12280</v>
      </c>
      <c r="I4784" s="636"/>
      <c r="J4784" s="644" t="s">
        <v>643</v>
      </c>
      <c r="K4784" s="739"/>
      <c r="L4784" s="760">
        <v>4</v>
      </c>
      <c r="M4784" s="736">
        <v>10000</v>
      </c>
      <c r="N4784" s="739"/>
      <c r="O4784" s="753">
        <v>6</v>
      </c>
      <c r="P4784" s="736">
        <v>15000</v>
      </c>
      <c r="Q4784" s="214"/>
    </row>
    <row r="4785" spans="1:17" ht="12" customHeight="1" x14ac:dyDescent="0.2">
      <c r="A4785" s="638" t="s">
        <v>12125</v>
      </c>
      <c r="B4785" s="735" t="s">
        <v>2170</v>
      </c>
      <c r="C4785" s="638" t="s">
        <v>451</v>
      </c>
      <c r="D4785" s="644" t="s">
        <v>12264</v>
      </c>
      <c r="E4785" s="736">
        <v>3500</v>
      </c>
      <c r="F4785" s="638" t="s">
        <v>12281</v>
      </c>
      <c r="G4785" s="636" t="s">
        <v>12282</v>
      </c>
      <c r="H4785" s="636" t="s">
        <v>2179</v>
      </c>
      <c r="I4785" s="636" t="s">
        <v>6548</v>
      </c>
      <c r="J4785" s="644" t="s">
        <v>642</v>
      </c>
      <c r="K4785" s="739"/>
      <c r="L4785" s="760">
        <v>3</v>
      </c>
      <c r="M4785" s="736">
        <v>10500</v>
      </c>
      <c r="N4785" s="739"/>
      <c r="O4785" s="753"/>
      <c r="P4785" s="736">
        <v>0</v>
      </c>
      <c r="Q4785" s="214"/>
    </row>
    <row r="4786" spans="1:17" ht="12" customHeight="1" x14ac:dyDescent="0.2">
      <c r="A4786" s="638" t="s">
        <v>12125</v>
      </c>
      <c r="B4786" s="735" t="s">
        <v>2170</v>
      </c>
      <c r="C4786" s="638" t="s">
        <v>451</v>
      </c>
      <c r="D4786" s="644" t="s">
        <v>12264</v>
      </c>
      <c r="E4786" s="736">
        <v>4000</v>
      </c>
      <c r="F4786" s="638" t="s">
        <v>12281</v>
      </c>
      <c r="G4786" s="636" t="s">
        <v>12282</v>
      </c>
      <c r="H4786" s="636" t="s">
        <v>2179</v>
      </c>
      <c r="I4786" s="636" t="s">
        <v>6548</v>
      </c>
      <c r="J4786" s="644" t="s">
        <v>642</v>
      </c>
      <c r="K4786" s="739"/>
      <c r="L4786" s="760">
        <v>10</v>
      </c>
      <c r="M4786" s="736">
        <v>40000</v>
      </c>
      <c r="N4786" s="739"/>
      <c r="O4786" s="753">
        <v>6</v>
      </c>
      <c r="P4786" s="736">
        <v>24000</v>
      </c>
      <c r="Q4786" s="214"/>
    </row>
    <row r="4787" spans="1:17" ht="12" customHeight="1" x14ac:dyDescent="0.2">
      <c r="A4787" s="638" t="s">
        <v>12125</v>
      </c>
      <c r="B4787" s="735" t="s">
        <v>2170</v>
      </c>
      <c r="C4787" s="638" t="s">
        <v>451</v>
      </c>
      <c r="D4787" s="644" t="s">
        <v>12283</v>
      </c>
      <c r="E4787" s="736">
        <v>2500</v>
      </c>
      <c r="F4787" s="638" t="s">
        <v>12284</v>
      </c>
      <c r="G4787" s="636" t="s">
        <v>12285</v>
      </c>
      <c r="H4787" s="636" t="s">
        <v>6962</v>
      </c>
      <c r="I4787" s="636" t="s">
        <v>6548</v>
      </c>
      <c r="J4787" s="644" t="s">
        <v>642</v>
      </c>
      <c r="K4787" s="739"/>
      <c r="L4787" s="760">
        <v>9</v>
      </c>
      <c r="M4787" s="736">
        <v>22500</v>
      </c>
      <c r="N4787" s="739"/>
      <c r="O4787" s="753">
        <v>6</v>
      </c>
      <c r="P4787" s="736">
        <v>15000</v>
      </c>
      <c r="Q4787" s="214"/>
    </row>
    <row r="4788" spans="1:17" ht="12" customHeight="1" x14ac:dyDescent="0.2">
      <c r="A4788" s="638" t="s">
        <v>12125</v>
      </c>
      <c r="B4788" s="735" t="s">
        <v>2170</v>
      </c>
      <c r="C4788" s="638" t="s">
        <v>451</v>
      </c>
      <c r="D4788" s="644" t="s">
        <v>12286</v>
      </c>
      <c r="E4788" s="736">
        <v>7000</v>
      </c>
      <c r="F4788" s="638" t="s">
        <v>12287</v>
      </c>
      <c r="G4788" s="636" t="s">
        <v>12288</v>
      </c>
      <c r="H4788" s="636" t="s">
        <v>2236</v>
      </c>
      <c r="I4788" s="636" t="s">
        <v>6548</v>
      </c>
      <c r="J4788" s="644" t="s">
        <v>642</v>
      </c>
      <c r="K4788" s="739"/>
      <c r="L4788" s="760">
        <v>10</v>
      </c>
      <c r="M4788" s="736">
        <v>70000</v>
      </c>
      <c r="N4788" s="739"/>
      <c r="O4788" s="753">
        <v>6</v>
      </c>
      <c r="P4788" s="736">
        <v>42000</v>
      </c>
      <c r="Q4788" s="214"/>
    </row>
    <row r="4789" spans="1:17" ht="12" customHeight="1" x14ac:dyDescent="0.2">
      <c r="A4789" s="638" t="s">
        <v>12125</v>
      </c>
      <c r="B4789" s="735" t="s">
        <v>2170</v>
      </c>
      <c r="C4789" s="638" t="s">
        <v>451</v>
      </c>
      <c r="D4789" s="644" t="s">
        <v>2225</v>
      </c>
      <c r="E4789" s="736">
        <v>4500</v>
      </c>
      <c r="F4789" s="638" t="s">
        <v>12289</v>
      </c>
      <c r="G4789" s="636" t="s">
        <v>12290</v>
      </c>
      <c r="H4789" s="636" t="s">
        <v>2236</v>
      </c>
      <c r="I4789" s="636" t="s">
        <v>6548</v>
      </c>
      <c r="J4789" s="644" t="s">
        <v>642</v>
      </c>
      <c r="K4789" s="739"/>
      <c r="L4789" s="760">
        <v>4</v>
      </c>
      <c r="M4789" s="736">
        <v>18000</v>
      </c>
      <c r="N4789" s="739"/>
      <c r="O4789" s="753"/>
      <c r="P4789" s="736">
        <v>0</v>
      </c>
      <c r="Q4789" s="214"/>
    </row>
    <row r="4790" spans="1:17" ht="12" customHeight="1" x14ac:dyDescent="0.2">
      <c r="A4790" s="638" t="s">
        <v>12125</v>
      </c>
      <c r="B4790" s="735" t="s">
        <v>2170</v>
      </c>
      <c r="C4790" s="638" t="s">
        <v>451</v>
      </c>
      <c r="D4790" s="644" t="s">
        <v>12264</v>
      </c>
      <c r="E4790" s="736">
        <v>4000</v>
      </c>
      <c r="F4790" s="638" t="s">
        <v>12291</v>
      </c>
      <c r="G4790" s="636" t="s">
        <v>12292</v>
      </c>
      <c r="H4790" s="636" t="s">
        <v>2979</v>
      </c>
      <c r="I4790" s="636"/>
      <c r="J4790" s="644"/>
      <c r="K4790" s="739"/>
      <c r="L4790" s="760">
        <v>4</v>
      </c>
      <c r="M4790" s="736">
        <v>16000</v>
      </c>
      <c r="N4790" s="739"/>
      <c r="O4790" s="753"/>
      <c r="P4790" s="736">
        <v>0</v>
      </c>
      <c r="Q4790" s="214"/>
    </row>
    <row r="4791" spans="1:17" ht="12" customHeight="1" x14ac:dyDescent="0.2">
      <c r="A4791" s="638" t="s">
        <v>12125</v>
      </c>
      <c r="B4791" s="735" t="s">
        <v>2170</v>
      </c>
      <c r="C4791" s="638" t="s">
        <v>451</v>
      </c>
      <c r="D4791" s="644" t="s">
        <v>12264</v>
      </c>
      <c r="E4791" s="736">
        <v>3500</v>
      </c>
      <c r="F4791" s="638" t="s">
        <v>12293</v>
      </c>
      <c r="G4791" s="636" t="s">
        <v>12294</v>
      </c>
      <c r="H4791" s="636" t="s">
        <v>2236</v>
      </c>
      <c r="I4791" s="636" t="s">
        <v>6548</v>
      </c>
      <c r="J4791" s="644" t="s">
        <v>642</v>
      </c>
      <c r="K4791" s="739"/>
      <c r="L4791" s="760">
        <v>4</v>
      </c>
      <c r="M4791" s="736">
        <v>14000</v>
      </c>
      <c r="N4791" s="739"/>
      <c r="O4791" s="753">
        <v>6</v>
      </c>
      <c r="P4791" s="736">
        <v>21000</v>
      </c>
      <c r="Q4791" s="214"/>
    </row>
    <row r="4792" spans="1:17" ht="12" customHeight="1" x14ac:dyDescent="0.2">
      <c r="A4792" s="638" t="s">
        <v>12125</v>
      </c>
      <c r="B4792" s="735" t="s">
        <v>2170</v>
      </c>
      <c r="C4792" s="638" t="s">
        <v>451</v>
      </c>
      <c r="D4792" s="644" t="s">
        <v>5856</v>
      </c>
      <c r="E4792" s="736">
        <v>5500</v>
      </c>
      <c r="F4792" s="638" t="s">
        <v>12295</v>
      </c>
      <c r="G4792" s="636" t="s">
        <v>12296</v>
      </c>
      <c r="H4792" s="636" t="s">
        <v>12155</v>
      </c>
      <c r="I4792" s="636" t="s">
        <v>6548</v>
      </c>
      <c r="J4792" s="644" t="s">
        <v>642</v>
      </c>
      <c r="K4792" s="739"/>
      <c r="L4792" s="760"/>
      <c r="M4792" s="736">
        <v>0</v>
      </c>
      <c r="N4792" s="739"/>
      <c r="O4792" s="753">
        <v>6</v>
      </c>
      <c r="P4792" s="736">
        <v>33000</v>
      </c>
      <c r="Q4792" s="214"/>
    </row>
    <row r="4793" spans="1:17" ht="12" customHeight="1" x14ac:dyDescent="0.2">
      <c r="A4793" s="638" t="s">
        <v>12125</v>
      </c>
      <c r="B4793" s="735" t="s">
        <v>2170</v>
      </c>
      <c r="C4793" s="638" t="s">
        <v>451</v>
      </c>
      <c r="D4793" s="644" t="s">
        <v>12264</v>
      </c>
      <c r="E4793" s="736">
        <v>4300</v>
      </c>
      <c r="F4793" s="638" t="s">
        <v>12297</v>
      </c>
      <c r="G4793" s="636" t="s">
        <v>12298</v>
      </c>
      <c r="H4793" s="636" t="s">
        <v>2236</v>
      </c>
      <c r="I4793" s="636" t="s">
        <v>6548</v>
      </c>
      <c r="J4793" s="644" t="s">
        <v>642</v>
      </c>
      <c r="K4793" s="739"/>
      <c r="L4793" s="760">
        <v>4</v>
      </c>
      <c r="M4793" s="736">
        <v>17200</v>
      </c>
      <c r="N4793" s="739"/>
      <c r="O4793" s="753">
        <v>6</v>
      </c>
      <c r="P4793" s="736">
        <v>25800</v>
      </c>
      <c r="Q4793" s="214"/>
    </row>
    <row r="4794" spans="1:17" ht="12" customHeight="1" x14ac:dyDescent="0.2">
      <c r="A4794" s="638" t="s">
        <v>12125</v>
      </c>
      <c r="B4794" s="735" t="s">
        <v>2170</v>
      </c>
      <c r="C4794" s="638" t="s">
        <v>451</v>
      </c>
      <c r="D4794" s="644" t="s">
        <v>12299</v>
      </c>
      <c r="E4794" s="736">
        <v>6000</v>
      </c>
      <c r="F4794" s="638" t="s">
        <v>12300</v>
      </c>
      <c r="G4794" s="636" t="s">
        <v>12301</v>
      </c>
      <c r="H4794" s="636" t="s">
        <v>2236</v>
      </c>
      <c r="I4794" s="636" t="s">
        <v>6548</v>
      </c>
      <c r="J4794" s="644" t="s">
        <v>642</v>
      </c>
      <c r="K4794" s="739"/>
      <c r="L4794" s="760">
        <v>2</v>
      </c>
      <c r="M4794" s="736">
        <v>12000</v>
      </c>
      <c r="N4794" s="739"/>
      <c r="O4794" s="753"/>
      <c r="P4794" s="736">
        <v>0</v>
      </c>
      <c r="Q4794" s="214"/>
    </row>
    <row r="4795" spans="1:17" ht="12" customHeight="1" x14ac:dyDescent="0.2">
      <c r="A4795" s="638" t="s">
        <v>12125</v>
      </c>
      <c r="B4795" s="735" t="s">
        <v>2170</v>
      </c>
      <c r="C4795" s="638" t="s">
        <v>451</v>
      </c>
      <c r="D4795" s="644" t="s">
        <v>12264</v>
      </c>
      <c r="E4795" s="736">
        <v>4300</v>
      </c>
      <c r="F4795" s="638" t="s">
        <v>12302</v>
      </c>
      <c r="G4795" s="636" t="s">
        <v>12303</v>
      </c>
      <c r="H4795" s="636" t="s">
        <v>2236</v>
      </c>
      <c r="I4795" s="636" t="s">
        <v>6548</v>
      </c>
      <c r="J4795" s="644" t="s">
        <v>642</v>
      </c>
      <c r="K4795" s="739"/>
      <c r="L4795" s="760">
        <v>6</v>
      </c>
      <c r="M4795" s="736">
        <v>25800</v>
      </c>
      <c r="N4795" s="739"/>
      <c r="O4795" s="753">
        <v>6</v>
      </c>
      <c r="P4795" s="736">
        <v>25800</v>
      </c>
      <c r="Q4795" s="214"/>
    </row>
    <row r="4796" spans="1:17" ht="12" customHeight="1" x14ac:dyDescent="0.2">
      <c r="A4796" s="638" t="s">
        <v>12125</v>
      </c>
      <c r="B4796" s="735" t="s">
        <v>2170</v>
      </c>
      <c r="C4796" s="638" t="s">
        <v>451</v>
      </c>
      <c r="D4796" s="644" t="s">
        <v>2179</v>
      </c>
      <c r="E4796" s="736">
        <v>6000</v>
      </c>
      <c r="F4796" s="638" t="s">
        <v>12304</v>
      </c>
      <c r="G4796" s="636" t="s">
        <v>12305</v>
      </c>
      <c r="H4796" s="636" t="s">
        <v>2179</v>
      </c>
      <c r="I4796" s="636" t="s">
        <v>6548</v>
      </c>
      <c r="J4796" s="644" t="s">
        <v>642</v>
      </c>
      <c r="K4796" s="739"/>
      <c r="L4796" s="760">
        <v>12</v>
      </c>
      <c r="M4796" s="736">
        <v>72000</v>
      </c>
      <c r="N4796" s="739"/>
      <c r="O4796" s="753">
        <v>6</v>
      </c>
      <c r="P4796" s="736">
        <v>36000</v>
      </c>
      <c r="Q4796" s="214"/>
    </row>
    <row r="4797" spans="1:17" ht="12" customHeight="1" x14ac:dyDescent="0.2">
      <c r="A4797" s="638" t="s">
        <v>12125</v>
      </c>
      <c r="B4797" s="735" t="s">
        <v>2170</v>
      </c>
      <c r="C4797" s="638" t="s">
        <v>451</v>
      </c>
      <c r="D4797" s="644" t="s">
        <v>12306</v>
      </c>
      <c r="E4797" s="736">
        <v>4300</v>
      </c>
      <c r="F4797" s="638" t="s">
        <v>12307</v>
      </c>
      <c r="G4797" s="636" t="s">
        <v>12308</v>
      </c>
      <c r="H4797" s="636" t="s">
        <v>2236</v>
      </c>
      <c r="I4797" s="636" t="s">
        <v>6548</v>
      </c>
      <c r="J4797" s="644" t="s">
        <v>642</v>
      </c>
      <c r="K4797" s="739"/>
      <c r="L4797" s="760">
        <v>4</v>
      </c>
      <c r="M4797" s="736">
        <v>17200</v>
      </c>
      <c r="N4797" s="739"/>
      <c r="O4797" s="753"/>
      <c r="P4797" s="736">
        <v>0</v>
      </c>
      <c r="Q4797" s="214"/>
    </row>
    <row r="4798" spans="1:17" ht="12" customHeight="1" x14ac:dyDescent="0.2">
      <c r="A4798" s="638" t="s">
        <v>12125</v>
      </c>
      <c r="B4798" s="735" t="s">
        <v>2170</v>
      </c>
      <c r="C4798" s="638" t="s">
        <v>451</v>
      </c>
      <c r="D4798" s="644" t="s">
        <v>12309</v>
      </c>
      <c r="E4798" s="736">
        <v>7000</v>
      </c>
      <c r="F4798" s="638" t="s">
        <v>12310</v>
      </c>
      <c r="G4798" s="636" t="s">
        <v>12311</v>
      </c>
      <c r="H4798" s="636" t="s">
        <v>2179</v>
      </c>
      <c r="I4798" s="636" t="s">
        <v>6548</v>
      </c>
      <c r="J4798" s="644" t="s">
        <v>642</v>
      </c>
      <c r="K4798" s="739"/>
      <c r="L4798" s="760">
        <v>4</v>
      </c>
      <c r="M4798" s="736">
        <v>28000</v>
      </c>
      <c r="N4798" s="739"/>
      <c r="O4798" s="753"/>
      <c r="P4798" s="736">
        <v>0</v>
      </c>
      <c r="Q4798" s="214"/>
    </row>
    <row r="4799" spans="1:17" ht="12" customHeight="1" x14ac:dyDescent="0.2">
      <c r="A4799" s="638" t="s">
        <v>12125</v>
      </c>
      <c r="B4799" s="735" t="s">
        <v>2170</v>
      </c>
      <c r="C4799" s="638" t="s">
        <v>451</v>
      </c>
      <c r="D4799" s="644" t="s">
        <v>12214</v>
      </c>
      <c r="E4799" s="736">
        <v>4000</v>
      </c>
      <c r="F4799" s="638" t="s">
        <v>12312</v>
      </c>
      <c r="G4799" s="636" t="s">
        <v>12313</v>
      </c>
      <c r="H4799" s="636"/>
      <c r="I4799" s="636" t="s">
        <v>12114</v>
      </c>
      <c r="J4799" s="644" t="s">
        <v>2236</v>
      </c>
      <c r="K4799" s="739"/>
      <c r="L4799" s="760">
        <v>1</v>
      </c>
      <c r="M4799" s="736">
        <v>4000</v>
      </c>
      <c r="N4799" s="739"/>
      <c r="O4799" s="753"/>
      <c r="P4799" s="736">
        <v>0</v>
      </c>
      <c r="Q4799" s="214"/>
    </row>
    <row r="4800" spans="1:17" ht="12" customHeight="1" x14ac:dyDescent="0.2">
      <c r="A4800" s="638" t="s">
        <v>12125</v>
      </c>
      <c r="B4800" s="735" t="s">
        <v>2170</v>
      </c>
      <c r="C4800" s="638" t="s">
        <v>451</v>
      </c>
      <c r="D4800" s="644" t="s">
        <v>722</v>
      </c>
      <c r="E4800" s="736">
        <v>4000</v>
      </c>
      <c r="F4800" s="638" t="s">
        <v>12314</v>
      </c>
      <c r="G4800" s="636" t="s">
        <v>12315</v>
      </c>
      <c r="H4800" s="636"/>
      <c r="I4800" s="636"/>
      <c r="J4800" s="644"/>
      <c r="K4800" s="739"/>
      <c r="L4800" s="760">
        <v>1</v>
      </c>
      <c r="M4800" s="736">
        <v>4000</v>
      </c>
      <c r="N4800" s="739"/>
      <c r="O4800" s="753"/>
      <c r="P4800" s="736">
        <v>0</v>
      </c>
      <c r="Q4800" s="214"/>
    </row>
    <row r="4801" spans="1:17" ht="12" customHeight="1" x14ac:dyDescent="0.2">
      <c r="A4801" s="638" t="s">
        <v>12125</v>
      </c>
      <c r="B4801" s="735" t="s">
        <v>2170</v>
      </c>
      <c r="C4801" s="638" t="s">
        <v>451</v>
      </c>
      <c r="D4801" s="644" t="s">
        <v>12316</v>
      </c>
      <c r="E4801" s="736">
        <v>1500</v>
      </c>
      <c r="F4801" s="638" t="s">
        <v>12317</v>
      </c>
      <c r="G4801" s="636" t="s">
        <v>12318</v>
      </c>
      <c r="H4801" s="636" t="s">
        <v>2253</v>
      </c>
      <c r="I4801" s="636"/>
      <c r="J4801" s="644" t="s">
        <v>6680</v>
      </c>
      <c r="K4801" s="739"/>
      <c r="L4801" s="760">
        <v>10</v>
      </c>
      <c r="M4801" s="736">
        <v>15000</v>
      </c>
      <c r="N4801" s="739"/>
      <c r="O4801" s="753">
        <v>6</v>
      </c>
      <c r="P4801" s="736">
        <v>9000</v>
      </c>
      <c r="Q4801" s="214"/>
    </row>
    <row r="4802" spans="1:17" ht="12" customHeight="1" x14ac:dyDescent="0.2">
      <c r="A4802" s="638" t="s">
        <v>12125</v>
      </c>
      <c r="B4802" s="735" t="s">
        <v>2170</v>
      </c>
      <c r="C4802" s="638" t="s">
        <v>451</v>
      </c>
      <c r="D4802" s="644" t="s">
        <v>12319</v>
      </c>
      <c r="E4802" s="736">
        <v>3500</v>
      </c>
      <c r="F4802" s="638" t="s">
        <v>12320</v>
      </c>
      <c r="G4802" s="636" t="s">
        <v>12321</v>
      </c>
      <c r="H4802" s="636"/>
      <c r="I4802" s="636" t="s">
        <v>12322</v>
      </c>
      <c r="J4802" s="644" t="s">
        <v>12323</v>
      </c>
      <c r="K4802" s="739"/>
      <c r="L4802" s="760">
        <v>8</v>
      </c>
      <c r="M4802" s="736">
        <v>28000</v>
      </c>
      <c r="N4802" s="739"/>
      <c r="O4802" s="753"/>
      <c r="P4802" s="736">
        <v>0</v>
      </c>
      <c r="Q4802" s="214"/>
    </row>
    <row r="4803" spans="1:17" ht="12" customHeight="1" x14ac:dyDescent="0.2">
      <c r="A4803" s="638" t="s">
        <v>12125</v>
      </c>
      <c r="B4803" s="735" t="s">
        <v>2170</v>
      </c>
      <c r="C4803" s="638" t="s">
        <v>451</v>
      </c>
      <c r="D4803" s="644" t="s">
        <v>12168</v>
      </c>
      <c r="E4803" s="736">
        <v>4000</v>
      </c>
      <c r="F4803" s="638" t="s">
        <v>12324</v>
      </c>
      <c r="G4803" s="636" t="s">
        <v>12325</v>
      </c>
      <c r="H4803" s="636" t="s">
        <v>2179</v>
      </c>
      <c r="I4803" s="636" t="s">
        <v>6548</v>
      </c>
      <c r="J4803" s="644" t="s">
        <v>642</v>
      </c>
      <c r="K4803" s="739"/>
      <c r="L4803" s="760">
        <v>10</v>
      </c>
      <c r="M4803" s="736">
        <v>40000</v>
      </c>
      <c r="N4803" s="739"/>
      <c r="O4803" s="753">
        <v>6</v>
      </c>
      <c r="P4803" s="736">
        <v>24000</v>
      </c>
      <c r="Q4803" s="214"/>
    </row>
    <row r="4804" spans="1:17" ht="12" customHeight="1" x14ac:dyDescent="0.2">
      <c r="A4804" s="638" t="s">
        <v>12125</v>
      </c>
      <c r="B4804" s="735" t="s">
        <v>2170</v>
      </c>
      <c r="C4804" s="638" t="s">
        <v>451</v>
      </c>
      <c r="D4804" s="644" t="s">
        <v>722</v>
      </c>
      <c r="E4804" s="736">
        <v>1800</v>
      </c>
      <c r="F4804" s="638" t="s">
        <v>12326</v>
      </c>
      <c r="G4804" s="636" t="s">
        <v>12327</v>
      </c>
      <c r="H4804" s="636"/>
      <c r="I4804" s="636"/>
      <c r="J4804" s="644"/>
      <c r="K4804" s="739"/>
      <c r="L4804" s="760">
        <v>2</v>
      </c>
      <c r="M4804" s="736">
        <v>3600</v>
      </c>
      <c r="N4804" s="739"/>
      <c r="O4804" s="753"/>
      <c r="P4804" s="736">
        <v>0</v>
      </c>
      <c r="Q4804" s="214"/>
    </row>
    <row r="4805" spans="1:17" ht="12" customHeight="1" x14ac:dyDescent="0.2">
      <c r="A4805" s="638" t="s">
        <v>12125</v>
      </c>
      <c r="B4805" s="735" t="s">
        <v>2170</v>
      </c>
      <c r="C4805" s="638" t="s">
        <v>451</v>
      </c>
      <c r="D4805" s="644" t="s">
        <v>2225</v>
      </c>
      <c r="E4805" s="736">
        <v>5000</v>
      </c>
      <c r="F4805" s="638" t="s">
        <v>12328</v>
      </c>
      <c r="G4805" s="636" t="s">
        <v>12329</v>
      </c>
      <c r="H4805" s="636" t="s">
        <v>2179</v>
      </c>
      <c r="I4805" s="636" t="s">
        <v>6548</v>
      </c>
      <c r="J4805" s="644" t="s">
        <v>642</v>
      </c>
      <c r="K4805" s="739"/>
      <c r="L4805" s="760"/>
      <c r="M4805" s="736">
        <v>0</v>
      </c>
      <c r="N4805" s="739"/>
      <c r="O4805" s="753">
        <v>4</v>
      </c>
      <c r="P4805" s="736">
        <v>20000</v>
      </c>
      <c r="Q4805" s="214"/>
    </row>
    <row r="4806" spans="1:17" ht="12" customHeight="1" x14ac:dyDescent="0.2">
      <c r="A4806" s="638" t="s">
        <v>12125</v>
      </c>
      <c r="B4806" s="735" t="s">
        <v>2170</v>
      </c>
      <c r="C4806" s="638" t="s">
        <v>451</v>
      </c>
      <c r="D4806" s="644" t="s">
        <v>722</v>
      </c>
      <c r="E4806" s="736">
        <v>3500</v>
      </c>
      <c r="F4806" s="638" t="s">
        <v>12330</v>
      </c>
      <c r="G4806" s="636" t="s">
        <v>12331</v>
      </c>
      <c r="H4806" s="636"/>
      <c r="I4806" s="636"/>
      <c r="J4806" s="644"/>
      <c r="K4806" s="739"/>
      <c r="L4806" s="760">
        <v>5</v>
      </c>
      <c r="M4806" s="736">
        <v>17500</v>
      </c>
      <c r="N4806" s="739"/>
      <c r="O4806" s="753"/>
      <c r="P4806" s="736">
        <v>0</v>
      </c>
      <c r="Q4806" s="214"/>
    </row>
    <row r="4807" spans="1:17" ht="12" customHeight="1" x14ac:dyDescent="0.2">
      <c r="A4807" s="638" t="s">
        <v>12125</v>
      </c>
      <c r="B4807" s="735" t="s">
        <v>2170</v>
      </c>
      <c r="C4807" s="638" t="s">
        <v>451</v>
      </c>
      <c r="D4807" s="644" t="s">
        <v>12168</v>
      </c>
      <c r="E4807" s="736">
        <v>6000</v>
      </c>
      <c r="F4807" s="638" t="s">
        <v>12332</v>
      </c>
      <c r="G4807" s="636" t="s">
        <v>12333</v>
      </c>
      <c r="H4807" s="636" t="s">
        <v>2179</v>
      </c>
      <c r="I4807" s="636" t="s">
        <v>6548</v>
      </c>
      <c r="J4807" s="644" t="s">
        <v>642</v>
      </c>
      <c r="K4807" s="739"/>
      <c r="L4807" s="760">
        <v>3</v>
      </c>
      <c r="M4807" s="736">
        <v>18000</v>
      </c>
      <c r="N4807" s="739"/>
      <c r="O4807" s="753"/>
      <c r="P4807" s="736">
        <v>0</v>
      </c>
      <c r="Q4807" s="214"/>
    </row>
    <row r="4808" spans="1:17" ht="12" customHeight="1" x14ac:dyDescent="0.2">
      <c r="A4808" s="638" t="s">
        <v>12125</v>
      </c>
      <c r="B4808" s="735" t="s">
        <v>2170</v>
      </c>
      <c r="C4808" s="638" t="s">
        <v>451</v>
      </c>
      <c r="D4808" s="644" t="s">
        <v>12214</v>
      </c>
      <c r="E4808" s="736">
        <v>3500</v>
      </c>
      <c r="F4808" s="638" t="s">
        <v>12334</v>
      </c>
      <c r="G4808" s="636" t="s">
        <v>12335</v>
      </c>
      <c r="H4808" s="636" t="s">
        <v>2179</v>
      </c>
      <c r="I4808" s="636" t="s">
        <v>6548</v>
      </c>
      <c r="J4808" s="644" t="s">
        <v>642</v>
      </c>
      <c r="K4808" s="739"/>
      <c r="L4808" s="760">
        <v>7</v>
      </c>
      <c r="M4808" s="736">
        <v>24500</v>
      </c>
      <c r="N4808" s="739"/>
      <c r="O4808" s="753"/>
      <c r="P4808" s="736">
        <v>0</v>
      </c>
      <c r="Q4808" s="214"/>
    </row>
    <row r="4809" spans="1:17" ht="12" customHeight="1" x14ac:dyDescent="0.2">
      <c r="A4809" s="638" t="s">
        <v>12125</v>
      </c>
      <c r="B4809" s="735" t="s">
        <v>2170</v>
      </c>
      <c r="C4809" s="638" t="s">
        <v>451</v>
      </c>
      <c r="D4809" s="644" t="s">
        <v>2261</v>
      </c>
      <c r="E4809" s="736">
        <v>2500</v>
      </c>
      <c r="F4809" s="638" t="s">
        <v>12336</v>
      </c>
      <c r="G4809" s="636" t="s">
        <v>12337</v>
      </c>
      <c r="H4809" s="636" t="s">
        <v>2346</v>
      </c>
      <c r="I4809" s="636" t="s">
        <v>4559</v>
      </c>
      <c r="J4809" s="644" t="s">
        <v>12338</v>
      </c>
      <c r="K4809" s="739"/>
      <c r="L4809" s="760">
        <v>4</v>
      </c>
      <c r="M4809" s="736">
        <v>10000</v>
      </c>
      <c r="N4809" s="739"/>
      <c r="O4809" s="753">
        <v>6</v>
      </c>
      <c r="P4809" s="736">
        <v>15000</v>
      </c>
      <c r="Q4809" s="214"/>
    </row>
    <row r="4810" spans="1:17" ht="12" customHeight="1" x14ac:dyDescent="0.2">
      <c r="A4810" s="638" t="s">
        <v>12125</v>
      </c>
      <c r="B4810" s="735" t="s">
        <v>2170</v>
      </c>
      <c r="C4810" s="638" t="s">
        <v>451</v>
      </c>
      <c r="D4810" s="644" t="s">
        <v>12339</v>
      </c>
      <c r="E4810" s="736">
        <v>6000</v>
      </c>
      <c r="F4810" s="638" t="s">
        <v>12340</v>
      </c>
      <c r="G4810" s="636" t="s">
        <v>12341</v>
      </c>
      <c r="H4810" s="636" t="s">
        <v>6962</v>
      </c>
      <c r="I4810" s="636" t="s">
        <v>6548</v>
      </c>
      <c r="J4810" s="644" t="s">
        <v>642</v>
      </c>
      <c r="K4810" s="739"/>
      <c r="L4810" s="760">
        <v>12</v>
      </c>
      <c r="M4810" s="736">
        <v>72000</v>
      </c>
      <c r="N4810" s="739"/>
      <c r="O4810" s="753">
        <v>6</v>
      </c>
      <c r="P4810" s="736">
        <v>36000</v>
      </c>
      <c r="Q4810" s="214"/>
    </row>
    <row r="4811" spans="1:17" ht="12" customHeight="1" x14ac:dyDescent="0.2">
      <c r="A4811" s="638" t="s">
        <v>12125</v>
      </c>
      <c r="B4811" s="735" t="s">
        <v>2170</v>
      </c>
      <c r="C4811" s="638" t="s">
        <v>451</v>
      </c>
      <c r="D4811" s="644" t="s">
        <v>2261</v>
      </c>
      <c r="E4811" s="736">
        <v>2000</v>
      </c>
      <c r="F4811" s="638" t="s">
        <v>12342</v>
      </c>
      <c r="G4811" s="636" t="s">
        <v>12343</v>
      </c>
      <c r="H4811" s="636" t="s">
        <v>12344</v>
      </c>
      <c r="I4811" s="636" t="s">
        <v>2766</v>
      </c>
      <c r="J4811" s="644" t="s">
        <v>12345</v>
      </c>
      <c r="K4811" s="739"/>
      <c r="L4811" s="760">
        <v>12</v>
      </c>
      <c r="M4811" s="736">
        <v>24000</v>
      </c>
      <c r="N4811" s="739"/>
      <c r="O4811" s="753">
        <v>6</v>
      </c>
      <c r="P4811" s="736">
        <v>12000</v>
      </c>
      <c r="Q4811" s="214"/>
    </row>
    <row r="4812" spans="1:17" ht="12" customHeight="1" x14ac:dyDescent="0.2">
      <c r="A4812" s="638" t="s">
        <v>12125</v>
      </c>
      <c r="B4812" s="735" t="s">
        <v>2170</v>
      </c>
      <c r="C4812" s="638" t="s">
        <v>451</v>
      </c>
      <c r="D4812" s="644" t="s">
        <v>12346</v>
      </c>
      <c r="E4812" s="736">
        <v>3000</v>
      </c>
      <c r="F4812" s="638" t="s">
        <v>12347</v>
      </c>
      <c r="G4812" s="636" t="s">
        <v>12348</v>
      </c>
      <c r="H4812" s="636" t="s">
        <v>12349</v>
      </c>
      <c r="I4812" s="636"/>
      <c r="J4812" s="644" t="s">
        <v>6680</v>
      </c>
      <c r="K4812" s="739"/>
      <c r="L4812" s="760">
        <v>12</v>
      </c>
      <c r="M4812" s="736">
        <v>36000</v>
      </c>
      <c r="N4812" s="739"/>
      <c r="O4812" s="753">
        <v>6</v>
      </c>
      <c r="P4812" s="736">
        <v>18000</v>
      </c>
      <c r="Q4812" s="214"/>
    </row>
    <row r="4813" spans="1:17" ht="12" customHeight="1" x14ac:dyDescent="0.2">
      <c r="A4813" s="638" t="s">
        <v>12125</v>
      </c>
      <c r="B4813" s="735" t="s">
        <v>2170</v>
      </c>
      <c r="C4813" s="638" t="s">
        <v>451</v>
      </c>
      <c r="D4813" s="644" t="s">
        <v>12350</v>
      </c>
      <c r="E4813" s="736">
        <v>4000</v>
      </c>
      <c r="F4813" s="638" t="s">
        <v>12351</v>
      </c>
      <c r="G4813" s="636" t="s">
        <v>12352</v>
      </c>
      <c r="H4813" s="636" t="s">
        <v>2179</v>
      </c>
      <c r="I4813" s="636" t="s">
        <v>6548</v>
      </c>
      <c r="J4813" s="644" t="s">
        <v>642</v>
      </c>
      <c r="K4813" s="739"/>
      <c r="L4813" s="760">
        <v>6</v>
      </c>
      <c r="M4813" s="736">
        <v>24000</v>
      </c>
      <c r="N4813" s="739"/>
      <c r="O4813" s="753"/>
      <c r="P4813" s="736">
        <v>0</v>
      </c>
      <c r="Q4813" s="214"/>
    </row>
    <row r="4814" spans="1:17" ht="12" customHeight="1" x14ac:dyDescent="0.2">
      <c r="A4814" s="638" t="s">
        <v>12125</v>
      </c>
      <c r="B4814" s="735" t="s">
        <v>2170</v>
      </c>
      <c r="C4814" s="638" t="s">
        <v>451</v>
      </c>
      <c r="D4814" s="644" t="s">
        <v>12350</v>
      </c>
      <c r="E4814" s="736">
        <v>6000</v>
      </c>
      <c r="F4814" s="638" t="s">
        <v>12351</v>
      </c>
      <c r="G4814" s="636" t="s">
        <v>12352</v>
      </c>
      <c r="H4814" s="636" t="s">
        <v>2179</v>
      </c>
      <c r="I4814" s="636" t="s">
        <v>6548</v>
      </c>
      <c r="J4814" s="644" t="s">
        <v>642</v>
      </c>
      <c r="K4814" s="739"/>
      <c r="L4814" s="760">
        <v>4</v>
      </c>
      <c r="M4814" s="736">
        <v>24000</v>
      </c>
      <c r="N4814" s="739"/>
      <c r="O4814" s="753"/>
      <c r="P4814" s="736">
        <v>0</v>
      </c>
      <c r="Q4814" s="214"/>
    </row>
    <row r="4815" spans="1:17" ht="12" customHeight="1" x14ac:dyDescent="0.2">
      <c r="A4815" s="638" t="s">
        <v>12125</v>
      </c>
      <c r="B4815" s="735" t="s">
        <v>2170</v>
      </c>
      <c r="C4815" s="638" t="s">
        <v>451</v>
      </c>
      <c r="D4815" s="644" t="s">
        <v>12264</v>
      </c>
      <c r="E4815" s="736">
        <v>4000</v>
      </c>
      <c r="F4815" s="638" t="s">
        <v>12353</v>
      </c>
      <c r="G4815" s="636" t="s">
        <v>12354</v>
      </c>
      <c r="H4815" s="636" t="s">
        <v>2236</v>
      </c>
      <c r="I4815" s="636" t="s">
        <v>6548</v>
      </c>
      <c r="J4815" s="644" t="s">
        <v>642</v>
      </c>
      <c r="K4815" s="739"/>
      <c r="L4815" s="760">
        <v>4</v>
      </c>
      <c r="M4815" s="736">
        <v>16000</v>
      </c>
      <c r="N4815" s="739"/>
      <c r="O4815" s="753"/>
      <c r="P4815" s="736">
        <v>0</v>
      </c>
      <c r="Q4815" s="214"/>
    </row>
    <row r="4816" spans="1:17" ht="12" customHeight="1" x14ac:dyDescent="0.2">
      <c r="A4816" s="638" t="s">
        <v>12125</v>
      </c>
      <c r="B4816" s="735" t="s">
        <v>2170</v>
      </c>
      <c r="C4816" s="638" t="s">
        <v>451</v>
      </c>
      <c r="D4816" s="644" t="s">
        <v>12355</v>
      </c>
      <c r="E4816" s="736">
        <v>2500</v>
      </c>
      <c r="F4816" s="638" t="s">
        <v>12356</v>
      </c>
      <c r="G4816" s="636" t="s">
        <v>12357</v>
      </c>
      <c r="H4816" s="636"/>
      <c r="I4816" s="636" t="s">
        <v>12209</v>
      </c>
      <c r="J4816" s="644" t="s">
        <v>6962</v>
      </c>
      <c r="K4816" s="739"/>
      <c r="L4816" s="760">
        <v>12</v>
      </c>
      <c r="M4816" s="736">
        <v>30000</v>
      </c>
      <c r="N4816" s="739"/>
      <c r="O4816" s="753">
        <v>2</v>
      </c>
      <c r="P4816" s="736">
        <v>5000</v>
      </c>
      <c r="Q4816" s="214"/>
    </row>
    <row r="4817" spans="1:17" ht="12" customHeight="1" x14ac:dyDescent="0.2">
      <c r="A4817" s="638" t="s">
        <v>12125</v>
      </c>
      <c r="B4817" s="735" t="s">
        <v>2170</v>
      </c>
      <c r="C4817" s="638" t="s">
        <v>451</v>
      </c>
      <c r="D4817" s="644" t="s">
        <v>2261</v>
      </c>
      <c r="E4817" s="736">
        <v>3500</v>
      </c>
      <c r="F4817" s="638" t="s">
        <v>12358</v>
      </c>
      <c r="G4817" s="636" t="s">
        <v>12359</v>
      </c>
      <c r="H4817" s="636" t="s">
        <v>12360</v>
      </c>
      <c r="I4817" s="636" t="s">
        <v>2766</v>
      </c>
      <c r="J4817" s="644" t="s">
        <v>12361</v>
      </c>
      <c r="K4817" s="753">
        <v>1</v>
      </c>
      <c r="L4817" s="760">
        <v>12</v>
      </c>
      <c r="M4817" s="736">
        <v>42000</v>
      </c>
      <c r="N4817" s="739"/>
      <c r="O4817" s="753">
        <v>6</v>
      </c>
      <c r="P4817" s="736">
        <v>21000</v>
      </c>
      <c r="Q4817" s="214"/>
    </row>
    <row r="4818" spans="1:17" ht="12" customHeight="1" x14ac:dyDescent="0.2">
      <c r="A4818" s="638" t="s">
        <v>12125</v>
      </c>
      <c r="B4818" s="735" t="s">
        <v>2170</v>
      </c>
      <c r="C4818" s="638" t="s">
        <v>451</v>
      </c>
      <c r="D4818" s="644" t="s">
        <v>12362</v>
      </c>
      <c r="E4818" s="736">
        <v>5000</v>
      </c>
      <c r="F4818" s="638" t="s">
        <v>12363</v>
      </c>
      <c r="G4818" s="636" t="s">
        <v>12364</v>
      </c>
      <c r="H4818" s="636" t="s">
        <v>12365</v>
      </c>
      <c r="I4818" s="636" t="s">
        <v>6548</v>
      </c>
      <c r="J4818" s="644" t="s">
        <v>642</v>
      </c>
      <c r="K4818" s="739"/>
      <c r="L4818" s="760">
        <v>1</v>
      </c>
      <c r="M4818" s="736">
        <v>5000</v>
      </c>
      <c r="N4818" s="739"/>
      <c r="O4818" s="753"/>
      <c r="P4818" s="736">
        <v>0</v>
      </c>
      <c r="Q4818" s="214"/>
    </row>
    <row r="4819" spans="1:17" ht="12" customHeight="1" x14ac:dyDescent="0.2">
      <c r="A4819" s="638" t="s">
        <v>12125</v>
      </c>
      <c r="B4819" s="735" t="s">
        <v>2170</v>
      </c>
      <c r="C4819" s="638" t="s">
        <v>451</v>
      </c>
      <c r="D4819" s="644" t="s">
        <v>12214</v>
      </c>
      <c r="E4819" s="736">
        <v>4000</v>
      </c>
      <c r="F4819" s="638" t="s">
        <v>12366</v>
      </c>
      <c r="G4819" s="636" t="s">
        <v>12367</v>
      </c>
      <c r="H4819" s="636" t="s">
        <v>2236</v>
      </c>
      <c r="I4819" s="636" t="s">
        <v>6548</v>
      </c>
      <c r="J4819" s="644" t="s">
        <v>642</v>
      </c>
      <c r="K4819" s="739"/>
      <c r="L4819" s="760">
        <v>1</v>
      </c>
      <c r="M4819" s="736">
        <v>4000</v>
      </c>
      <c r="N4819" s="739"/>
      <c r="O4819" s="753"/>
      <c r="P4819" s="736">
        <v>0</v>
      </c>
      <c r="Q4819" s="214"/>
    </row>
    <row r="4820" spans="1:17" ht="12" customHeight="1" x14ac:dyDescent="0.2">
      <c r="A4820" s="638" t="s">
        <v>12125</v>
      </c>
      <c r="B4820" s="735" t="s">
        <v>2170</v>
      </c>
      <c r="C4820" s="638" t="s">
        <v>451</v>
      </c>
      <c r="D4820" s="644" t="s">
        <v>12368</v>
      </c>
      <c r="E4820" s="736">
        <v>1500</v>
      </c>
      <c r="F4820" s="638" t="s">
        <v>12369</v>
      </c>
      <c r="G4820" s="636" t="s">
        <v>12370</v>
      </c>
      <c r="H4820" s="636" t="s">
        <v>12371</v>
      </c>
      <c r="I4820" s="636"/>
      <c r="J4820" s="644" t="s">
        <v>6680</v>
      </c>
      <c r="K4820" s="739"/>
      <c r="L4820" s="760">
        <v>10</v>
      </c>
      <c r="M4820" s="736">
        <v>15000</v>
      </c>
      <c r="N4820" s="739"/>
      <c r="O4820" s="753">
        <v>6</v>
      </c>
      <c r="P4820" s="736">
        <v>9000</v>
      </c>
      <c r="Q4820" s="214"/>
    </row>
    <row r="4821" spans="1:17" ht="12" customHeight="1" x14ac:dyDescent="0.2">
      <c r="A4821" s="638" t="s">
        <v>12125</v>
      </c>
      <c r="B4821" s="735" t="s">
        <v>2170</v>
      </c>
      <c r="C4821" s="638" t="s">
        <v>451</v>
      </c>
      <c r="D4821" s="644" t="s">
        <v>3611</v>
      </c>
      <c r="E4821" s="736">
        <v>2500</v>
      </c>
      <c r="F4821" s="638" t="s">
        <v>12372</v>
      </c>
      <c r="G4821" s="636" t="s">
        <v>12373</v>
      </c>
      <c r="H4821" s="636" t="s">
        <v>2569</v>
      </c>
      <c r="I4821" s="636" t="s">
        <v>2766</v>
      </c>
      <c r="J4821" s="644" t="s">
        <v>12374</v>
      </c>
      <c r="K4821" s="739"/>
      <c r="L4821" s="760">
        <v>4</v>
      </c>
      <c r="M4821" s="736">
        <v>10000</v>
      </c>
      <c r="N4821" s="739"/>
      <c r="O4821" s="753"/>
      <c r="P4821" s="736">
        <v>0</v>
      </c>
      <c r="Q4821" s="214"/>
    </row>
    <row r="4822" spans="1:17" ht="12" customHeight="1" x14ac:dyDescent="0.2">
      <c r="A4822" s="638" t="s">
        <v>12125</v>
      </c>
      <c r="B4822" s="735" t="s">
        <v>2170</v>
      </c>
      <c r="C4822" s="638" t="s">
        <v>451</v>
      </c>
      <c r="D4822" s="644" t="s">
        <v>2225</v>
      </c>
      <c r="E4822" s="736">
        <v>5000</v>
      </c>
      <c r="F4822" s="638" t="s">
        <v>12375</v>
      </c>
      <c r="G4822" s="636" t="s">
        <v>12376</v>
      </c>
      <c r="H4822" s="636" t="s">
        <v>2179</v>
      </c>
      <c r="I4822" s="636" t="s">
        <v>6548</v>
      </c>
      <c r="J4822" s="644" t="s">
        <v>642</v>
      </c>
      <c r="K4822" s="739"/>
      <c r="L4822" s="760">
        <v>12</v>
      </c>
      <c r="M4822" s="736">
        <v>60000</v>
      </c>
      <c r="N4822" s="739"/>
      <c r="O4822" s="753"/>
      <c r="P4822" s="736">
        <v>0</v>
      </c>
      <c r="Q4822" s="214"/>
    </row>
    <row r="4823" spans="1:17" ht="12" customHeight="1" x14ac:dyDescent="0.2">
      <c r="A4823" s="638" t="s">
        <v>12125</v>
      </c>
      <c r="B4823" s="735" t="s">
        <v>2170</v>
      </c>
      <c r="C4823" s="638" t="s">
        <v>451</v>
      </c>
      <c r="D4823" s="644" t="s">
        <v>2906</v>
      </c>
      <c r="E4823" s="736">
        <v>3200</v>
      </c>
      <c r="F4823" s="638" t="s">
        <v>12377</v>
      </c>
      <c r="G4823" s="636" t="s">
        <v>12378</v>
      </c>
      <c r="H4823" s="636"/>
      <c r="I4823" s="636" t="s">
        <v>2766</v>
      </c>
      <c r="J4823" s="644" t="s">
        <v>12164</v>
      </c>
      <c r="K4823" s="739"/>
      <c r="L4823" s="760">
        <v>6</v>
      </c>
      <c r="M4823" s="736">
        <v>19200</v>
      </c>
      <c r="N4823" s="739"/>
      <c r="O4823" s="753"/>
      <c r="P4823" s="736">
        <v>0</v>
      </c>
      <c r="Q4823" s="214"/>
    </row>
    <row r="4824" spans="1:17" ht="12" customHeight="1" x14ac:dyDescent="0.2">
      <c r="A4824" s="638" t="s">
        <v>12125</v>
      </c>
      <c r="B4824" s="735" t="s">
        <v>2170</v>
      </c>
      <c r="C4824" s="638" t="s">
        <v>451</v>
      </c>
      <c r="D4824" s="644" t="s">
        <v>2788</v>
      </c>
      <c r="E4824" s="736">
        <v>1800</v>
      </c>
      <c r="F4824" s="638" t="s">
        <v>12379</v>
      </c>
      <c r="G4824" s="636" t="s">
        <v>12380</v>
      </c>
      <c r="H4824" s="636" t="s">
        <v>12381</v>
      </c>
      <c r="I4824" s="636"/>
      <c r="J4824" s="644"/>
      <c r="K4824" s="739"/>
      <c r="L4824" s="760">
        <v>2</v>
      </c>
      <c r="M4824" s="736">
        <v>3600</v>
      </c>
      <c r="N4824" s="739"/>
      <c r="O4824" s="753">
        <v>6</v>
      </c>
      <c r="P4824" s="736">
        <v>10800</v>
      </c>
      <c r="Q4824" s="214"/>
    </row>
    <row r="4825" spans="1:17" ht="12" customHeight="1" x14ac:dyDescent="0.2">
      <c r="A4825" s="638" t="s">
        <v>12125</v>
      </c>
      <c r="B4825" s="735" t="s">
        <v>2170</v>
      </c>
      <c r="C4825" s="638" t="s">
        <v>451</v>
      </c>
      <c r="D4825" s="644" t="s">
        <v>12382</v>
      </c>
      <c r="E4825" s="736">
        <v>3000</v>
      </c>
      <c r="F4825" s="638" t="s">
        <v>12383</v>
      </c>
      <c r="G4825" s="636" t="s">
        <v>12384</v>
      </c>
      <c r="H4825" s="636" t="s">
        <v>12385</v>
      </c>
      <c r="I4825" s="636" t="s">
        <v>6548</v>
      </c>
      <c r="J4825" s="644" t="s">
        <v>642</v>
      </c>
      <c r="K4825" s="739"/>
      <c r="L4825" s="760">
        <v>9</v>
      </c>
      <c r="M4825" s="736">
        <v>27000</v>
      </c>
      <c r="N4825" s="739"/>
      <c r="O4825" s="753"/>
      <c r="P4825" s="736">
        <v>0</v>
      </c>
      <c r="Q4825" s="214"/>
    </row>
    <row r="4826" spans="1:17" ht="12" customHeight="1" x14ac:dyDescent="0.2">
      <c r="A4826" s="638" t="s">
        <v>12125</v>
      </c>
      <c r="B4826" s="735" t="s">
        <v>2170</v>
      </c>
      <c r="C4826" s="638" t="s">
        <v>451</v>
      </c>
      <c r="D4826" s="644" t="s">
        <v>12386</v>
      </c>
      <c r="E4826" s="736">
        <v>6000</v>
      </c>
      <c r="F4826" s="638" t="s">
        <v>12387</v>
      </c>
      <c r="G4826" s="636" t="s">
        <v>12388</v>
      </c>
      <c r="H4826" s="636" t="s">
        <v>12389</v>
      </c>
      <c r="I4826" s="636" t="s">
        <v>6548</v>
      </c>
      <c r="J4826" s="644" t="s">
        <v>642</v>
      </c>
      <c r="K4826" s="739"/>
      <c r="L4826" s="760">
        <v>3</v>
      </c>
      <c r="M4826" s="736">
        <v>18000</v>
      </c>
      <c r="N4826" s="739"/>
      <c r="O4826" s="753">
        <v>6</v>
      </c>
      <c r="P4826" s="736">
        <v>36000</v>
      </c>
      <c r="Q4826" s="214"/>
    </row>
    <row r="4827" spans="1:17" ht="12" customHeight="1" x14ac:dyDescent="0.2">
      <c r="A4827" s="638" t="s">
        <v>12125</v>
      </c>
      <c r="B4827" s="735" t="s">
        <v>2170</v>
      </c>
      <c r="C4827" s="638" t="s">
        <v>451</v>
      </c>
      <c r="D4827" s="644" t="s">
        <v>2208</v>
      </c>
      <c r="E4827" s="736">
        <v>3000</v>
      </c>
      <c r="F4827" s="638" t="s">
        <v>12390</v>
      </c>
      <c r="G4827" s="636" t="s">
        <v>12391</v>
      </c>
      <c r="H4827" s="636" t="s">
        <v>2208</v>
      </c>
      <c r="I4827" s="636" t="s">
        <v>6548</v>
      </c>
      <c r="J4827" s="644" t="s">
        <v>642</v>
      </c>
      <c r="K4827" s="739"/>
      <c r="L4827" s="760">
        <v>12</v>
      </c>
      <c r="M4827" s="736">
        <v>36000</v>
      </c>
      <c r="N4827" s="739"/>
      <c r="O4827" s="753">
        <v>6</v>
      </c>
      <c r="P4827" s="736">
        <v>18000</v>
      </c>
      <c r="Q4827" s="214"/>
    </row>
    <row r="4828" spans="1:17" ht="12" customHeight="1" x14ac:dyDescent="0.2">
      <c r="A4828" s="638" t="s">
        <v>12125</v>
      </c>
      <c r="B4828" s="735" t="s">
        <v>2170</v>
      </c>
      <c r="C4828" s="638" t="s">
        <v>451</v>
      </c>
      <c r="D4828" s="644" t="s">
        <v>12392</v>
      </c>
      <c r="E4828" s="736">
        <v>3500</v>
      </c>
      <c r="F4828" s="638" t="s">
        <v>12393</v>
      </c>
      <c r="G4828" s="636" t="s">
        <v>12394</v>
      </c>
      <c r="H4828" s="636" t="s">
        <v>12395</v>
      </c>
      <c r="I4828" s="636" t="s">
        <v>2766</v>
      </c>
      <c r="J4828" s="644" t="s">
        <v>12396</v>
      </c>
      <c r="K4828" s="739"/>
      <c r="L4828" s="760">
        <v>12</v>
      </c>
      <c r="M4828" s="736">
        <v>42000</v>
      </c>
      <c r="N4828" s="739"/>
      <c r="O4828" s="753">
        <v>6</v>
      </c>
      <c r="P4828" s="736">
        <v>21000</v>
      </c>
      <c r="Q4828" s="214"/>
    </row>
    <row r="4829" spans="1:17" ht="12" customHeight="1" x14ac:dyDescent="0.2">
      <c r="A4829" s="638" t="s">
        <v>12125</v>
      </c>
      <c r="B4829" s="735" t="s">
        <v>2170</v>
      </c>
      <c r="C4829" s="638" t="s">
        <v>451</v>
      </c>
      <c r="D4829" s="644" t="s">
        <v>12397</v>
      </c>
      <c r="E4829" s="736">
        <v>4000</v>
      </c>
      <c r="F4829" s="638" t="s">
        <v>12398</v>
      </c>
      <c r="G4829" s="636" t="s">
        <v>12399</v>
      </c>
      <c r="H4829" s="636" t="s">
        <v>11896</v>
      </c>
      <c r="I4829" s="636" t="s">
        <v>6548</v>
      </c>
      <c r="J4829" s="644" t="s">
        <v>642</v>
      </c>
      <c r="K4829" s="739"/>
      <c r="L4829" s="760">
        <v>5</v>
      </c>
      <c r="M4829" s="736">
        <v>20000</v>
      </c>
      <c r="N4829" s="739"/>
      <c r="O4829" s="753"/>
      <c r="P4829" s="736">
        <v>0</v>
      </c>
      <c r="Q4829" s="214"/>
    </row>
    <row r="4830" spans="1:17" ht="12" customHeight="1" x14ac:dyDescent="0.2">
      <c r="A4830" s="638" t="s">
        <v>12125</v>
      </c>
      <c r="B4830" s="735" t="s">
        <v>2170</v>
      </c>
      <c r="C4830" s="638" t="s">
        <v>451</v>
      </c>
      <c r="D4830" s="644" t="s">
        <v>12397</v>
      </c>
      <c r="E4830" s="736">
        <v>5500</v>
      </c>
      <c r="F4830" s="638" t="s">
        <v>12398</v>
      </c>
      <c r="G4830" s="636" t="s">
        <v>12399</v>
      </c>
      <c r="H4830" s="636" t="s">
        <v>11896</v>
      </c>
      <c r="I4830" s="636" t="s">
        <v>6548</v>
      </c>
      <c r="J4830" s="644" t="s">
        <v>642</v>
      </c>
      <c r="K4830" s="739"/>
      <c r="L4830" s="760">
        <v>2</v>
      </c>
      <c r="M4830" s="736">
        <v>11000</v>
      </c>
      <c r="N4830" s="739"/>
      <c r="O4830" s="753">
        <v>6</v>
      </c>
      <c r="P4830" s="736">
        <v>33000</v>
      </c>
      <c r="Q4830" s="214"/>
    </row>
    <row r="4831" spans="1:17" ht="12" customHeight="1" x14ac:dyDescent="0.2">
      <c r="A4831" s="638" t="s">
        <v>12125</v>
      </c>
      <c r="B4831" s="735" t="s">
        <v>2170</v>
      </c>
      <c r="C4831" s="638" t="s">
        <v>451</v>
      </c>
      <c r="D4831" s="644" t="s">
        <v>2236</v>
      </c>
      <c r="E4831" s="736">
        <v>3500</v>
      </c>
      <c r="F4831" s="638" t="s">
        <v>12400</v>
      </c>
      <c r="G4831" s="636" t="s">
        <v>12401</v>
      </c>
      <c r="H4831" s="636" t="s">
        <v>2236</v>
      </c>
      <c r="I4831" s="636" t="s">
        <v>6548</v>
      </c>
      <c r="J4831" s="644" t="s">
        <v>642</v>
      </c>
      <c r="K4831" s="739"/>
      <c r="L4831" s="760">
        <v>5</v>
      </c>
      <c r="M4831" s="736">
        <v>17500</v>
      </c>
      <c r="N4831" s="739"/>
      <c r="O4831" s="753"/>
      <c r="P4831" s="736">
        <v>0</v>
      </c>
      <c r="Q4831" s="214"/>
    </row>
    <row r="4832" spans="1:17" ht="12" customHeight="1" x14ac:dyDescent="0.2">
      <c r="A4832" s="638" t="s">
        <v>12125</v>
      </c>
      <c r="B4832" s="735" t="s">
        <v>2170</v>
      </c>
      <c r="C4832" s="638" t="s">
        <v>451</v>
      </c>
      <c r="D4832" s="644" t="s">
        <v>12402</v>
      </c>
      <c r="E4832" s="736">
        <v>4000</v>
      </c>
      <c r="F4832" s="638" t="s">
        <v>12403</v>
      </c>
      <c r="G4832" s="636" t="s">
        <v>12404</v>
      </c>
      <c r="H4832" s="636"/>
      <c r="I4832" s="636" t="s">
        <v>12114</v>
      </c>
      <c r="J4832" s="644" t="s">
        <v>2245</v>
      </c>
      <c r="K4832" s="739"/>
      <c r="L4832" s="760">
        <v>12</v>
      </c>
      <c r="M4832" s="736">
        <v>48000</v>
      </c>
      <c r="N4832" s="739"/>
      <c r="O4832" s="753"/>
      <c r="P4832" s="736">
        <v>0</v>
      </c>
      <c r="Q4832" s="214"/>
    </row>
    <row r="4833" spans="1:17" ht="12" customHeight="1" x14ac:dyDescent="0.2">
      <c r="A4833" s="638" t="s">
        <v>12125</v>
      </c>
      <c r="B4833" s="735" t="s">
        <v>2170</v>
      </c>
      <c r="C4833" s="638" t="s">
        <v>451</v>
      </c>
      <c r="D4833" s="644" t="s">
        <v>12405</v>
      </c>
      <c r="E4833" s="736">
        <v>4000</v>
      </c>
      <c r="F4833" s="638" t="s">
        <v>12406</v>
      </c>
      <c r="G4833" s="636" t="s">
        <v>12407</v>
      </c>
      <c r="H4833" s="636" t="s">
        <v>12408</v>
      </c>
      <c r="I4833" s="636" t="s">
        <v>6548</v>
      </c>
      <c r="J4833" s="644" t="s">
        <v>642</v>
      </c>
      <c r="K4833" s="739"/>
      <c r="L4833" s="760">
        <v>7</v>
      </c>
      <c r="M4833" s="736">
        <v>28000</v>
      </c>
      <c r="N4833" s="739"/>
      <c r="O4833" s="753"/>
      <c r="P4833" s="736">
        <v>0</v>
      </c>
      <c r="Q4833" s="214"/>
    </row>
    <row r="4834" spans="1:17" ht="12" customHeight="1" x14ac:dyDescent="0.2">
      <c r="A4834" s="638" t="s">
        <v>12125</v>
      </c>
      <c r="B4834" s="735" t="s">
        <v>2170</v>
      </c>
      <c r="C4834" s="638" t="s">
        <v>451</v>
      </c>
      <c r="D4834" s="644" t="s">
        <v>12405</v>
      </c>
      <c r="E4834" s="736">
        <v>6000</v>
      </c>
      <c r="F4834" s="638" t="s">
        <v>12406</v>
      </c>
      <c r="G4834" s="636" t="s">
        <v>12407</v>
      </c>
      <c r="H4834" s="636" t="s">
        <v>12408</v>
      </c>
      <c r="I4834" s="636" t="s">
        <v>6548</v>
      </c>
      <c r="J4834" s="644" t="s">
        <v>642</v>
      </c>
      <c r="K4834" s="739"/>
      <c r="L4834" s="760">
        <v>5</v>
      </c>
      <c r="M4834" s="736">
        <v>30000</v>
      </c>
      <c r="N4834" s="739"/>
      <c r="O4834" s="753">
        <v>6</v>
      </c>
      <c r="P4834" s="736">
        <v>36000</v>
      </c>
      <c r="Q4834" s="214"/>
    </row>
    <row r="4835" spans="1:17" ht="12" customHeight="1" x14ac:dyDescent="0.2">
      <c r="A4835" s="638" t="s">
        <v>12125</v>
      </c>
      <c r="B4835" s="735" t="s">
        <v>2170</v>
      </c>
      <c r="C4835" s="638" t="s">
        <v>451</v>
      </c>
      <c r="D4835" s="644" t="s">
        <v>12392</v>
      </c>
      <c r="E4835" s="736">
        <v>3500</v>
      </c>
      <c r="F4835" s="638" t="s">
        <v>12409</v>
      </c>
      <c r="G4835" s="636" t="s">
        <v>12410</v>
      </c>
      <c r="H4835" s="636" t="s">
        <v>12411</v>
      </c>
      <c r="I4835" s="636"/>
      <c r="J4835" s="644"/>
      <c r="K4835" s="739"/>
      <c r="L4835" s="760">
        <v>4</v>
      </c>
      <c r="M4835" s="736">
        <v>14000</v>
      </c>
      <c r="N4835" s="739"/>
      <c r="O4835" s="753">
        <v>6</v>
      </c>
      <c r="P4835" s="736">
        <v>21000</v>
      </c>
      <c r="Q4835" s="214"/>
    </row>
    <row r="4836" spans="1:17" ht="12" customHeight="1" x14ac:dyDescent="0.2">
      <c r="A4836" s="638" t="s">
        <v>12125</v>
      </c>
      <c r="B4836" s="735" t="s">
        <v>2170</v>
      </c>
      <c r="C4836" s="638" t="s">
        <v>451</v>
      </c>
      <c r="D4836" s="644" t="s">
        <v>9523</v>
      </c>
      <c r="E4836" s="736">
        <v>3500</v>
      </c>
      <c r="F4836" s="638" t="s">
        <v>12412</v>
      </c>
      <c r="G4836" s="636" t="s">
        <v>12413</v>
      </c>
      <c r="H4836" s="636" t="s">
        <v>9523</v>
      </c>
      <c r="I4836" s="636" t="s">
        <v>12414</v>
      </c>
      <c r="J4836" s="644" t="s">
        <v>12414</v>
      </c>
      <c r="K4836" s="739"/>
      <c r="L4836" s="760">
        <v>12</v>
      </c>
      <c r="M4836" s="736">
        <v>42000</v>
      </c>
      <c r="N4836" s="739"/>
      <c r="O4836" s="753">
        <v>6</v>
      </c>
      <c r="P4836" s="736">
        <v>21000</v>
      </c>
      <c r="Q4836" s="214"/>
    </row>
    <row r="4837" spans="1:17" ht="12" customHeight="1" x14ac:dyDescent="0.2">
      <c r="A4837" s="638" t="s">
        <v>12125</v>
      </c>
      <c r="B4837" s="735" t="s">
        <v>2170</v>
      </c>
      <c r="C4837" s="638" t="s">
        <v>451</v>
      </c>
      <c r="D4837" s="644" t="s">
        <v>12264</v>
      </c>
      <c r="E4837" s="736">
        <v>4000</v>
      </c>
      <c r="F4837" s="638" t="s">
        <v>12415</v>
      </c>
      <c r="G4837" s="636" t="s">
        <v>12416</v>
      </c>
      <c r="H4837" s="636" t="s">
        <v>12395</v>
      </c>
      <c r="I4837" s="636" t="s">
        <v>2766</v>
      </c>
      <c r="J4837" s="644" t="s">
        <v>12396</v>
      </c>
      <c r="K4837" s="739"/>
      <c r="L4837" s="760">
        <v>12</v>
      </c>
      <c r="M4837" s="736">
        <v>48000</v>
      </c>
      <c r="N4837" s="739"/>
      <c r="O4837" s="753">
        <v>6</v>
      </c>
      <c r="P4837" s="736">
        <v>24000</v>
      </c>
      <c r="Q4837" s="214"/>
    </row>
    <row r="4838" spans="1:17" ht="12" customHeight="1" x14ac:dyDescent="0.2">
      <c r="A4838" s="638" t="s">
        <v>12125</v>
      </c>
      <c r="B4838" s="735" t="s">
        <v>2170</v>
      </c>
      <c r="C4838" s="638" t="s">
        <v>451</v>
      </c>
      <c r="D4838" s="644" t="s">
        <v>12417</v>
      </c>
      <c r="E4838" s="736">
        <v>3500</v>
      </c>
      <c r="F4838" s="638" t="s">
        <v>12418</v>
      </c>
      <c r="G4838" s="636" t="s">
        <v>12419</v>
      </c>
      <c r="H4838" s="636"/>
      <c r="I4838" s="636" t="s">
        <v>2766</v>
      </c>
      <c r="J4838" s="644" t="s">
        <v>6571</v>
      </c>
      <c r="K4838" s="739"/>
      <c r="L4838" s="760">
        <v>10</v>
      </c>
      <c r="M4838" s="736">
        <v>35000</v>
      </c>
      <c r="N4838" s="739"/>
      <c r="O4838" s="753"/>
      <c r="P4838" s="736">
        <v>0</v>
      </c>
      <c r="Q4838" s="214"/>
    </row>
    <row r="4839" spans="1:17" ht="12" customHeight="1" x14ac:dyDescent="0.2">
      <c r="A4839" s="638" t="s">
        <v>12125</v>
      </c>
      <c r="B4839" s="735" t="s">
        <v>2170</v>
      </c>
      <c r="C4839" s="638" t="s">
        <v>451</v>
      </c>
      <c r="D4839" s="644" t="s">
        <v>12420</v>
      </c>
      <c r="E4839" s="736">
        <v>2500</v>
      </c>
      <c r="F4839" s="638" t="s">
        <v>12421</v>
      </c>
      <c r="G4839" s="636" t="s">
        <v>12422</v>
      </c>
      <c r="H4839" s="636" t="s">
        <v>6680</v>
      </c>
      <c r="I4839" s="636"/>
      <c r="J4839" s="644" t="s">
        <v>6680</v>
      </c>
      <c r="K4839" s="739"/>
      <c r="L4839" s="760">
        <v>7</v>
      </c>
      <c r="M4839" s="736">
        <v>17500</v>
      </c>
      <c r="N4839" s="739"/>
      <c r="O4839" s="753">
        <v>1</v>
      </c>
      <c r="P4839" s="736">
        <v>2500</v>
      </c>
      <c r="Q4839" s="214"/>
    </row>
    <row r="4840" spans="1:17" ht="12" customHeight="1" x14ac:dyDescent="0.2">
      <c r="A4840" s="638" t="s">
        <v>12125</v>
      </c>
      <c r="B4840" s="735" t="s">
        <v>2170</v>
      </c>
      <c r="C4840" s="638" t="s">
        <v>451</v>
      </c>
      <c r="D4840" s="644" t="s">
        <v>12423</v>
      </c>
      <c r="E4840" s="736">
        <v>6500</v>
      </c>
      <c r="F4840" s="638" t="s">
        <v>12424</v>
      </c>
      <c r="G4840" s="636" t="s">
        <v>12425</v>
      </c>
      <c r="H4840" s="636" t="s">
        <v>2189</v>
      </c>
      <c r="I4840" s="636" t="s">
        <v>6548</v>
      </c>
      <c r="J4840" s="644" t="s">
        <v>642</v>
      </c>
      <c r="K4840" s="739"/>
      <c r="L4840" s="760">
        <v>9</v>
      </c>
      <c r="M4840" s="736">
        <v>58500</v>
      </c>
      <c r="N4840" s="739"/>
      <c r="O4840" s="753">
        <v>6</v>
      </c>
      <c r="P4840" s="736">
        <v>39000</v>
      </c>
      <c r="Q4840" s="214"/>
    </row>
    <row r="4841" spans="1:17" ht="12" customHeight="1" x14ac:dyDescent="0.2">
      <c r="A4841" s="638" t="s">
        <v>12125</v>
      </c>
      <c r="B4841" s="735" t="s">
        <v>2170</v>
      </c>
      <c r="C4841" s="638" t="s">
        <v>451</v>
      </c>
      <c r="D4841" s="644" t="s">
        <v>12426</v>
      </c>
      <c r="E4841" s="736">
        <v>5500</v>
      </c>
      <c r="F4841" s="638" t="s">
        <v>12427</v>
      </c>
      <c r="G4841" s="636" t="s">
        <v>12428</v>
      </c>
      <c r="H4841" s="636" t="s">
        <v>12155</v>
      </c>
      <c r="I4841" s="636" t="s">
        <v>6548</v>
      </c>
      <c r="J4841" s="644" t="s">
        <v>642</v>
      </c>
      <c r="K4841" s="739"/>
      <c r="L4841" s="760">
        <v>2</v>
      </c>
      <c r="M4841" s="736">
        <v>11000</v>
      </c>
      <c r="N4841" s="739"/>
      <c r="O4841" s="753">
        <v>6</v>
      </c>
      <c r="P4841" s="736">
        <v>33000</v>
      </c>
      <c r="Q4841" s="214"/>
    </row>
    <row r="4842" spans="1:17" ht="12" customHeight="1" x14ac:dyDescent="0.2">
      <c r="A4842" s="638" t="s">
        <v>12125</v>
      </c>
      <c r="B4842" s="735" t="s">
        <v>2170</v>
      </c>
      <c r="C4842" s="638" t="s">
        <v>451</v>
      </c>
      <c r="D4842" s="644" t="s">
        <v>12429</v>
      </c>
      <c r="E4842" s="736">
        <v>2000</v>
      </c>
      <c r="F4842" s="638" t="s">
        <v>12430</v>
      </c>
      <c r="G4842" s="636" t="s">
        <v>12431</v>
      </c>
      <c r="H4842" s="636" t="s">
        <v>2236</v>
      </c>
      <c r="I4842" s="636" t="s">
        <v>6548</v>
      </c>
      <c r="J4842" s="644" t="s">
        <v>642</v>
      </c>
      <c r="K4842" s="739"/>
      <c r="L4842" s="760">
        <v>4</v>
      </c>
      <c r="M4842" s="736">
        <v>8000</v>
      </c>
      <c r="N4842" s="739"/>
      <c r="O4842" s="753"/>
      <c r="P4842" s="736">
        <v>0</v>
      </c>
      <c r="Q4842" s="214"/>
    </row>
    <row r="4843" spans="1:17" ht="12" customHeight="1" x14ac:dyDescent="0.2">
      <c r="A4843" s="638" t="s">
        <v>12125</v>
      </c>
      <c r="B4843" s="735" t="s">
        <v>2170</v>
      </c>
      <c r="C4843" s="638" t="s">
        <v>451</v>
      </c>
      <c r="D4843" s="644" t="s">
        <v>12392</v>
      </c>
      <c r="E4843" s="736">
        <v>3500</v>
      </c>
      <c r="F4843" s="638" t="s">
        <v>12432</v>
      </c>
      <c r="G4843" s="636" t="s">
        <v>12433</v>
      </c>
      <c r="H4843" s="636" t="s">
        <v>2179</v>
      </c>
      <c r="I4843" s="636" t="s">
        <v>6548</v>
      </c>
      <c r="J4843" s="644" t="s">
        <v>642</v>
      </c>
      <c r="K4843" s="739"/>
      <c r="L4843" s="760"/>
      <c r="M4843" s="736">
        <v>0</v>
      </c>
      <c r="N4843" s="739"/>
      <c r="O4843" s="753">
        <v>6</v>
      </c>
      <c r="P4843" s="736">
        <v>21000</v>
      </c>
      <c r="Q4843" s="214"/>
    </row>
    <row r="4844" spans="1:17" ht="12" customHeight="1" x14ac:dyDescent="0.2">
      <c r="A4844" s="638" t="s">
        <v>12125</v>
      </c>
      <c r="B4844" s="735" t="s">
        <v>2170</v>
      </c>
      <c r="C4844" s="638" t="s">
        <v>451</v>
      </c>
      <c r="D4844" s="644" t="s">
        <v>12264</v>
      </c>
      <c r="E4844" s="736">
        <v>3500</v>
      </c>
      <c r="F4844" s="638" t="s">
        <v>12434</v>
      </c>
      <c r="G4844" s="636" t="s">
        <v>12435</v>
      </c>
      <c r="H4844" s="636" t="s">
        <v>2179</v>
      </c>
      <c r="I4844" s="636" t="s">
        <v>6548</v>
      </c>
      <c r="J4844" s="644" t="s">
        <v>642</v>
      </c>
      <c r="K4844" s="739"/>
      <c r="L4844" s="760"/>
      <c r="M4844" s="736">
        <v>0</v>
      </c>
      <c r="N4844" s="739"/>
      <c r="O4844" s="753">
        <v>6</v>
      </c>
      <c r="P4844" s="736">
        <v>21000</v>
      </c>
      <c r="Q4844" s="214"/>
    </row>
    <row r="4845" spans="1:17" ht="12" customHeight="1" x14ac:dyDescent="0.2">
      <c r="A4845" s="638" t="s">
        <v>12125</v>
      </c>
      <c r="B4845" s="735" t="s">
        <v>2170</v>
      </c>
      <c r="C4845" s="638" t="s">
        <v>451</v>
      </c>
      <c r="D4845" s="644" t="s">
        <v>12392</v>
      </c>
      <c r="E4845" s="736">
        <v>2500</v>
      </c>
      <c r="F4845" s="638" t="s">
        <v>12436</v>
      </c>
      <c r="G4845" s="636" t="s">
        <v>12437</v>
      </c>
      <c r="H4845" s="636" t="s">
        <v>12438</v>
      </c>
      <c r="I4845" s="636" t="s">
        <v>12439</v>
      </c>
      <c r="J4845" s="644" t="s">
        <v>12440</v>
      </c>
      <c r="K4845" s="739"/>
      <c r="L4845" s="760">
        <v>12</v>
      </c>
      <c r="M4845" s="736">
        <v>30000</v>
      </c>
      <c r="N4845" s="739"/>
      <c r="O4845" s="753">
        <v>6</v>
      </c>
      <c r="P4845" s="736">
        <v>15000</v>
      </c>
      <c r="Q4845" s="214"/>
    </row>
    <row r="4846" spans="1:17" ht="12" customHeight="1" x14ac:dyDescent="0.2">
      <c r="A4846" s="638" t="s">
        <v>12125</v>
      </c>
      <c r="B4846" s="735" t="s">
        <v>2170</v>
      </c>
      <c r="C4846" s="638" t="s">
        <v>451</v>
      </c>
      <c r="D4846" s="644" t="s">
        <v>5691</v>
      </c>
      <c r="E4846" s="736">
        <v>2000</v>
      </c>
      <c r="F4846" s="638" t="s">
        <v>12441</v>
      </c>
      <c r="G4846" s="636" t="s">
        <v>12442</v>
      </c>
      <c r="H4846" s="636" t="s">
        <v>12213</v>
      </c>
      <c r="I4846" s="636" t="s">
        <v>6680</v>
      </c>
      <c r="J4846" s="644" t="s">
        <v>5691</v>
      </c>
      <c r="K4846" s="739"/>
      <c r="L4846" s="760">
        <v>5</v>
      </c>
      <c r="M4846" s="736">
        <v>10000</v>
      </c>
      <c r="N4846" s="739"/>
      <c r="O4846" s="753"/>
      <c r="P4846" s="736">
        <v>0</v>
      </c>
      <c r="Q4846" s="214"/>
    </row>
    <row r="4847" spans="1:17" ht="12" customHeight="1" x14ac:dyDescent="0.2">
      <c r="A4847" s="638" t="s">
        <v>12125</v>
      </c>
      <c r="B4847" s="735" t="s">
        <v>2170</v>
      </c>
      <c r="C4847" s="638" t="s">
        <v>451</v>
      </c>
      <c r="D4847" s="644" t="s">
        <v>5691</v>
      </c>
      <c r="E4847" s="736">
        <v>2500</v>
      </c>
      <c r="F4847" s="638" t="s">
        <v>12441</v>
      </c>
      <c r="G4847" s="636" t="s">
        <v>12442</v>
      </c>
      <c r="H4847" s="636" t="s">
        <v>12213</v>
      </c>
      <c r="I4847" s="636" t="s">
        <v>6680</v>
      </c>
      <c r="J4847" s="644" t="s">
        <v>5691</v>
      </c>
      <c r="K4847" s="739"/>
      <c r="L4847" s="760">
        <v>4</v>
      </c>
      <c r="M4847" s="736">
        <v>10000</v>
      </c>
      <c r="N4847" s="739"/>
      <c r="O4847" s="753"/>
      <c r="P4847" s="736">
        <v>0</v>
      </c>
      <c r="Q4847" s="214"/>
    </row>
    <row r="4848" spans="1:17" ht="12" customHeight="1" x14ac:dyDescent="0.2">
      <c r="A4848" s="638" t="s">
        <v>12125</v>
      </c>
      <c r="B4848" s="735" t="s">
        <v>2170</v>
      </c>
      <c r="C4848" s="638" t="s">
        <v>451</v>
      </c>
      <c r="D4848" s="644" t="s">
        <v>3383</v>
      </c>
      <c r="E4848" s="736">
        <v>3000</v>
      </c>
      <c r="F4848" s="638" t="s">
        <v>12443</v>
      </c>
      <c r="G4848" s="636" t="s">
        <v>12444</v>
      </c>
      <c r="H4848" s="636" t="s">
        <v>6962</v>
      </c>
      <c r="I4848" s="636" t="s">
        <v>6548</v>
      </c>
      <c r="J4848" s="644" t="s">
        <v>642</v>
      </c>
      <c r="K4848" s="739"/>
      <c r="L4848" s="760"/>
      <c r="M4848" s="736">
        <v>0</v>
      </c>
      <c r="N4848" s="739"/>
      <c r="O4848" s="753">
        <v>6</v>
      </c>
      <c r="P4848" s="736">
        <v>18000</v>
      </c>
      <c r="Q4848" s="214"/>
    </row>
    <row r="4849" spans="1:17" ht="12" customHeight="1" x14ac:dyDescent="0.2">
      <c r="A4849" s="638" t="s">
        <v>12125</v>
      </c>
      <c r="B4849" s="735" t="s">
        <v>2170</v>
      </c>
      <c r="C4849" s="638" t="s">
        <v>451</v>
      </c>
      <c r="D4849" s="644" t="s">
        <v>12392</v>
      </c>
      <c r="E4849" s="736">
        <v>2500</v>
      </c>
      <c r="F4849" s="638" t="s">
        <v>12445</v>
      </c>
      <c r="G4849" s="636" t="s">
        <v>12446</v>
      </c>
      <c r="H4849" s="636"/>
      <c r="I4849" s="636"/>
      <c r="J4849" s="644"/>
      <c r="K4849" s="739"/>
      <c r="L4849" s="760">
        <v>4</v>
      </c>
      <c r="M4849" s="736">
        <v>10000</v>
      </c>
      <c r="N4849" s="739"/>
      <c r="O4849" s="753"/>
      <c r="P4849" s="736">
        <v>0</v>
      </c>
      <c r="Q4849" s="214"/>
    </row>
    <row r="4850" spans="1:17" ht="12" customHeight="1" x14ac:dyDescent="0.2">
      <c r="A4850" s="638" t="s">
        <v>12125</v>
      </c>
      <c r="B4850" s="735" t="s">
        <v>2170</v>
      </c>
      <c r="C4850" s="638" t="s">
        <v>451</v>
      </c>
      <c r="D4850" s="644" t="s">
        <v>722</v>
      </c>
      <c r="E4850" s="736">
        <v>1800</v>
      </c>
      <c r="F4850" s="638" t="s">
        <v>12447</v>
      </c>
      <c r="G4850" s="636" t="s">
        <v>12448</v>
      </c>
      <c r="H4850" s="636"/>
      <c r="I4850" s="636"/>
      <c r="J4850" s="644"/>
      <c r="K4850" s="739"/>
      <c r="L4850" s="760"/>
      <c r="M4850" s="736">
        <v>0</v>
      </c>
      <c r="N4850" s="739"/>
      <c r="O4850" s="753">
        <v>1</v>
      </c>
      <c r="P4850" s="736">
        <v>1800</v>
      </c>
      <c r="Q4850" s="214"/>
    </row>
    <row r="4851" spans="1:17" ht="12" customHeight="1" x14ac:dyDescent="0.2">
      <c r="A4851" s="638" t="s">
        <v>12125</v>
      </c>
      <c r="B4851" s="735" t="s">
        <v>2170</v>
      </c>
      <c r="C4851" s="638" t="s">
        <v>451</v>
      </c>
      <c r="D4851" s="644" t="s">
        <v>12449</v>
      </c>
      <c r="E4851" s="736">
        <v>3000</v>
      </c>
      <c r="F4851" s="638" t="s">
        <v>12450</v>
      </c>
      <c r="G4851" s="636" t="s">
        <v>12451</v>
      </c>
      <c r="H4851" s="636" t="s">
        <v>643</v>
      </c>
      <c r="I4851" s="636" t="s">
        <v>12452</v>
      </c>
      <c r="J4851" s="644" t="s">
        <v>12453</v>
      </c>
      <c r="K4851" s="739"/>
      <c r="L4851" s="760">
        <v>4</v>
      </c>
      <c r="M4851" s="736">
        <v>12000</v>
      </c>
      <c r="N4851" s="739"/>
      <c r="O4851" s="753"/>
      <c r="P4851" s="736">
        <v>0</v>
      </c>
      <c r="Q4851" s="214"/>
    </row>
    <row r="4852" spans="1:17" ht="12" customHeight="1" x14ac:dyDescent="0.2">
      <c r="A4852" s="638" t="s">
        <v>12125</v>
      </c>
      <c r="B4852" s="735" t="s">
        <v>2170</v>
      </c>
      <c r="C4852" s="638" t="s">
        <v>451</v>
      </c>
      <c r="D4852" s="644" t="s">
        <v>2261</v>
      </c>
      <c r="E4852" s="736">
        <v>2000</v>
      </c>
      <c r="F4852" s="638" t="s">
        <v>12454</v>
      </c>
      <c r="G4852" s="636" t="s">
        <v>12455</v>
      </c>
      <c r="H4852" s="636" t="s">
        <v>12456</v>
      </c>
      <c r="I4852" s="636"/>
      <c r="J4852" s="644"/>
      <c r="K4852" s="739"/>
      <c r="L4852" s="760"/>
      <c r="M4852" s="736">
        <v>0</v>
      </c>
      <c r="N4852" s="739"/>
      <c r="O4852" s="753">
        <v>6</v>
      </c>
      <c r="P4852" s="736">
        <v>12000</v>
      </c>
      <c r="Q4852" s="214"/>
    </row>
    <row r="4853" spans="1:17" ht="12" customHeight="1" x14ac:dyDescent="0.2">
      <c r="A4853" s="638" t="s">
        <v>12125</v>
      </c>
      <c r="B4853" s="735" t="s">
        <v>2170</v>
      </c>
      <c r="C4853" s="638" t="s">
        <v>451</v>
      </c>
      <c r="D4853" s="644" t="s">
        <v>12214</v>
      </c>
      <c r="E4853" s="736">
        <v>5000</v>
      </c>
      <c r="F4853" s="638" t="s">
        <v>12457</v>
      </c>
      <c r="G4853" s="636" t="s">
        <v>12458</v>
      </c>
      <c r="H4853" s="636" t="s">
        <v>2236</v>
      </c>
      <c r="I4853" s="636" t="s">
        <v>6548</v>
      </c>
      <c r="J4853" s="644" t="s">
        <v>642</v>
      </c>
      <c r="K4853" s="739"/>
      <c r="L4853" s="760">
        <v>2</v>
      </c>
      <c r="M4853" s="736">
        <v>10000</v>
      </c>
      <c r="N4853" s="739"/>
      <c r="O4853" s="753"/>
      <c r="P4853" s="736">
        <v>0</v>
      </c>
      <c r="Q4853" s="214"/>
    </row>
    <row r="4854" spans="1:17" ht="12" customHeight="1" x14ac:dyDescent="0.2">
      <c r="A4854" s="638" t="s">
        <v>12125</v>
      </c>
      <c r="B4854" s="735" t="s">
        <v>2170</v>
      </c>
      <c r="C4854" s="638" t="s">
        <v>451</v>
      </c>
      <c r="D4854" s="644" t="s">
        <v>12459</v>
      </c>
      <c r="E4854" s="736">
        <v>1500</v>
      </c>
      <c r="F4854" s="638" t="s">
        <v>12460</v>
      </c>
      <c r="G4854" s="636" t="s">
        <v>12461</v>
      </c>
      <c r="H4854" s="636" t="s">
        <v>12462</v>
      </c>
      <c r="I4854" s="636"/>
      <c r="J4854" s="644"/>
      <c r="K4854" s="739"/>
      <c r="L4854" s="760">
        <v>5</v>
      </c>
      <c r="M4854" s="736">
        <v>7500</v>
      </c>
      <c r="N4854" s="739"/>
      <c r="O4854" s="753"/>
      <c r="P4854" s="736">
        <v>0</v>
      </c>
      <c r="Q4854" s="214"/>
    </row>
    <row r="4855" spans="1:17" ht="12" customHeight="1" x14ac:dyDescent="0.2">
      <c r="A4855" s="638" t="s">
        <v>12125</v>
      </c>
      <c r="B4855" s="735" t="s">
        <v>2170</v>
      </c>
      <c r="C4855" s="638" t="s">
        <v>451</v>
      </c>
      <c r="D4855" s="644" t="s">
        <v>12463</v>
      </c>
      <c r="E4855" s="736">
        <v>1500</v>
      </c>
      <c r="F4855" s="638" t="s">
        <v>12464</v>
      </c>
      <c r="G4855" s="636" t="s">
        <v>12465</v>
      </c>
      <c r="H4855" s="636" t="s">
        <v>2253</v>
      </c>
      <c r="I4855" s="636" t="s">
        <v>6680</v>
      </c>
      <c r="J4855" s="644" t="s">
        <v>3800</v>
      </c>
      <c r="K4855" s="739"/>
      <c r="L4855" s="760">
        <v>5</v>
      </c>
      <c r="M4855" s="736">
        <v>7500</v>
      </c>
      <c r="N4855" s="739"/>
      <c r="O4855" s="753"/>
      <c r="P4855" s="736">
        <v>0</v>
      </c>
      <c r="Q4855" s="214"/>
    </row>
    <row r="4856" spans="1:17" ht="18.75" customHeight="1" x14ac:dyDescent="0.2">
      <c r="A4856" s="869" t="s">
        <v>12466</v>
      </c>
      <c r="B4856" s="870"/>
      <c r="C4856" s="870"/>
      <c r="D4856" s="871"/>
      <c r="E4856" s="762">
        <f>SUM(E6:E4855)</f>
        <v>28320274.090000004</v>
      </c>
      <c r="F4856" s="763"/>
      <c r="G4856" s="764"/>
      <c r="H4856" s="764"/>
      <c r="I4856" s="764"/>
      <c r="J4856" s="764"/>
      <c r="K4856" s="765"/>
      <c r="L4856" s="765"/>
      <c r="M4856" s="762">
        <f>SUM(M6:M4855)</f>
        <v>215244170.64001039</v>
      </c>
      <c r="N4856" s="763"/>
      <c r="O4856" s="763"/>
      <c r="P4856" s="762">
        <f>SUM(P6:P4855)</f>
        <v>115746057.10999875</v>
      </c>
      <c r="Q4856" s="5"/>
    </row>
    <row r="4857" spans="1:17" ht="12" customHeight="1" x14ac:dyDescent="0.2">
      <c r="A4857" s="214"/>
      <c r="B4857" s="214"/>
      <c r="C4857" s="214"/>
      <c r="D4857" s="259"/>
      <c r="E4857" s="214"/>
      <c r="F4857" s="214"/>
      <c r="G4857" s="259"/>
      <c r="H4857" s="259"/>
      <c r="I4857" s="259"/>
      <c r="J4857" s="259"/>
      <c r="K4857" s="725"/>
      <c r="L4857" s="725"/>
      <c r="M4857" s="214"/>
      <c r="N4857" s="214"/>
      <c r="O4857" s="214"/>
      <c r="P4857" s="214"/>
      <c r="Q4857" s="214"/>
    </row>
  </sheetData>
  <autoFilter ref="A5:Q4856" xr:uid="{00000000-0009-0000-0000-000011000000}"/>
  <mergeCells count="5">
    <mergeCell ref="A4:E4"/>
    <mergeCell ref="F4:J4"/>
    <mergeCell ref="K4:M4"/>
    <mergeCell ref="N4:P4"/>
    <mergeCell ref="A4856:D4856"/>
  </mergeCells>
  <printOptions horizontalCentered="1"/>
  <pageMargins left="0.23622047244094491" right="0.23622047244094491" top="0.74803149606299213" bottom="0.74803149606299213" header="0" footer="0"/>
  <pageSetup paperSize="8" scale="53" orientation="portrait"/>
  <headerFooter>
    <oddHeader>&amp;CPROYECTO DE PRESUPUESTO 2021</oddHeader>
    <oddFooter>&amp;LPROYECTO DE PRESUPUESTO PARA EL AÑO FISCAL 2020 INFORMACIÓN PARA LA COMISIÓN DE PRESUPUESTO Y CUENTA GENERAL DE LA REPÚBLICA DEL CONGRESO DE LA REPÚBLICA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8064A2"/>
    <pageSetUpPr fitToPage="1"/>
  </sheetPr>
  <dimension ref="A1:N127"/>
  <sheetViews>
    <sheetView showGridLines="0" workbookViewId="0">
      <pane ySplit="5" topLeftCell="A6" activePane="bottomLeft" state="frozen"/>
      <selection pane="bottomLeft" activeCell="B7" sqref="B7"/>
    </sheetView>
  </sheetViews>
  <sheetFormatPr baseColWidth="10" defaultColWidth="14.42578125" defaultRowHeight="15" customHeight="1" x14ac:dyDescent="0.2"/>
  <cols>
    <col min="1" max="1" width="18.7109375" customWidth="1"/>
    <col min="2" max="2" width="23.7109375" customWidth="1"/>
    <col min="3" max="3" width="18.7109375" customWidth="1"/>
    <col min="4" max="4" width="15.85546875" customWidth="1"/>
    <col min="5" max="5" width="15" customWidth="1"/>
    <col min="6" max="6" width="14.85546875" customWidth="1"/>
    <col min="7" max="7" width="9.7109375" customWidth="1"/>
    <col min="8" max="9" width="7.140625" customWidth="1"/>
    <col min="10" max="10" width="15.85546875" customWidth="1"/>
    <col min="11" max="11" width="12.28515625" customWidth="1"/>
    <col min="12" max="12" width="15.140625" customWidth="1"/>
    <col min="13" max="14" width="13.5703125" customWidth="1"/>
  </cols>
  <sheetData>
    <row r="1" spans="1:14" ht="12" customHeight="1" x14ac:dyDescent="0.2">
      <c r="A1" s="16" t="s">
        <v>12467</v>
      </c>
      <c r="B1" s="16"/>
      <c r="C1" s="16"/>
      <c r="D1" s="16"/>
      <c r="E1" s="16"/>
      <c r="F1" s="48"/>
      <c r="G1" s="48"/>
      <c r="H1" s="48"/>
      <c r="I1" s="48"/>
      <c r="J1" s="48"/>
      <c r="K1" s="48"/>
      <c r="L1" s="48"/>
      <c r="M1" s="48"/>
      <c r="N1" s="48"/>
    </row>
    <row r="2" spans="1:14" ht="12" customHeight="1" x14ac:dyDescent="0.2">
      <c r="A2" s="854" t="s">
        <v>422</v>
      </c>
      <c r="B2" s="804"/>
      <c r="C2" s="804"/>
      <c r="D2" s="804"/>
      <c r="E2" s="804"/>
      <c r="F2" s="48"/>
      <c r="G2" s="48"/>
      <c r="H2" s="48"/>
      <c r="I2" s="48"/>
      <c r="J2" s="48"/>
      <c r="K2" s="48"/>
      <c r="L2" s="48"/>
      <c r="M2" s="48"/>
      <c r="N2" s="48"/>
    </row>
    <row r="3" spans="1:14" ht="12" customHeight="1" x14ac:dyDescent="0.2">
      <c r="A3" s="214"/>
      <c r="B3" s="214"/>
      <c r="C3" s="214"/>
      <c r="D3" s="214"/>
      <c r="E3" s="214"/>
      <c r="F3" s="214"/>
      <c r="G3" s="725"/>
      <c r="H3" s="725"/>
      <c r="I3" s="214"/>
      <c r="J3" s="214"/>
      <c r="K3" s="214"/>
      <c r="L3" s="214"/>
      <c r="M3" s="214"/>
      <c r="N3" s="214"/>
    </row>
    <row r="4" spans="1:14" ht="21" customHeight="1" x14ac:dyDescent="0.2">
      <c r="A4" s="843" t="s">
        <v>12468</v>
      </c>
      <c r="B4" s="814"/>
      <c r="C4" s="872" t="s">
        <v>12469</v>
      </c>
      <c r="D4" s="840"/>
      <c r="E4" s="843" t="s">
        <v>12470</v>
      </c>
      <c r="F4" s="824"/>
      <c r="G4" s="824"/>
      <c r="H4" s="824"/>
      <c r="I4" s="814"/>
      <c r="J4" s="872" t="s">
        <v>12471</v>
      </c>
      <c r="K4" s="824"/>
      <c r="L4" s="814"/>
      <c r="M4" s="766" t="s">
        <v>12472</v>
      </c>
      <c r="N4" s="767" t="s">
        <v>12473</v>
      </c>
    </row>
    <row r="5" spans="1:14" ht="68.25" customHeight="1" x14ac:dyDescent="0.2">
      <c r="A5" s="727" t="s">
        <v>12474</v>
      </c>
      <c r="B5" s="766" t="s">
        <v>1925</v>
      </c>
      <c r="C5" s="728" t="s">
        <v>12475</v>
      </c>
      <c r="D5" s="768" t="s">
        <v>12476</v>
      </c>
      <c r="E5" s="727" t="s">
        <v>12477</v>
      </c>
      <c r="F5" s="656" t="s">
        <v>12478</v>
      </c>
      <c r="G5" s="769" t="s">
        <v>12479</v>
      </c>
      <c r="H5" s="769" t="s">
        <v>12480</v>
      </c>
      <c r="I5" s="770" t="s">
        <v>37</v>
      </c>
      <c r="J5" s="727" t="s">
        <v>12481</v>
      </c>
      <c r="K5" s="728" t="s">
        <v>12482</v>
      </c>
      <c r="L5" s="767" t="s">
        <v>12483</v>
      </c>
      <c r="M5" s="771"/>
      <c r="N5" s="772"/>
    </row>
    <row r="6" spans="1:14" ht="12" customHeight="1" x14ac:dyDescent="0.2">
      <c r="A6" s="773" t="s">
        <v>294</v>
      </c>
      <c r="B6" s="601" t="s">
        <v>295</v>
      </c>
      <c r="C6" s="601" t="s">
        <v>12484</v>
      </c>
      <c r="D6" s="621">
        <v>16776402</v>
      </c>
      <c r="E6" s="601" t="s">
        <v>12485</v>
      </c>
      <c r="F6" s="621">
        <v>1159992</v>
      </c>
      <c r="G6" s="621">
        <v>10000</v>
      </c>
      <c r="H6" s="621" t="s">
        <v>979</v>
      </c>
      <c r="I6" s="621" t="s">
        <v>197</v>
      </c>
      <c r="J6" s="604" t="s">
        <v>12486</v>
      </c>
      <c r="K6" s="774">
        <v>8125</v>
      </c>
      <c r="L6" s="601" t="s">
        <v>12487</v>
      </c>
      <c r="M6" s="774">
        <f>12*8125</f>
        <v>97500</v>
      </c>
      <c r="N6" s="775">
        <v>73125</v>
      </c>
    </row>
    <row r="7" spans="1:14" ht="12" customHeight="1" x14ac:dyDescent="0.2">
      <c r="A7" s="773" t="s">
        <v>294</v>
      </c>
      <c r="B7" s="601" t="s">
        <v>295</v>
      </c>
      <c r="C7" s="601" t="s">
        <v>12488</v>
      </c>
      <c r="D7" s="621">
        <v>16476503</v>
      </c>
      <c r="E7" s="601" t="s">
        <v>12485</v>
      </c>
      <c r="F7" s="621">
        <v>11190937</v>
      </c>
      <c r="G7" s="621">
        <v>1500</v>
      </c>
      <c r="H7" s="621" t="s">
        <v>979</v>
      </c>
      <c r="I7" s="621" t="s">
        <v>197</v>
      </c>
      <c r="J7" s="604" t="s">
        <v>12489</v>
      </c>
      <c r="K7" s="774">
        <v>10000</v>
      </c>
      <c r="L7" s="601" t="s">
        <v>12487</v>
      </c>
      <c r="M7" s="774">
        <f>10000*12</f>
        <v>120000</v>
      </c>
      <c r="N7" s="775">
        <v>70000</v>
      </c>
    </row>
    <row r="8" spans="1:14" ht="12" customHeight="1" x14ac:dyDescent="0.2">
      <c r="A8" s="773" t="s">
        <v>294</v>
      </c>
      <c r="B8" s="601" t="s">
        <v>295</v>
      </c>
      <c r="C8" s="601" t="s">
        <v>12490</v>
      </c>
      <c r="D8" s="621">
        <v>15370259</v>
      </c>
      <c r="E8" s="601" t="s">
        <v>12485</v>
      </c>
      <c r="F8" s="621">
        <v>11004658</v>
      </c>
      <c r="G8" s="621" t="s">
        <v>12491</v>
      </c>
      <c r="H8" s="621" t="s">
        <v>979</v>
      </c>
      <c r="I8" s="621" t="s">
        <v>197</v>
      </c>
      <c r="J8" s="604" t="s">
        <v>12492</v>
      </c>
      <c r="K8" s="774">
        <v>5500</v>
      </c>
      <c r="L8" s="601" t="s">
        <v>12487</v>
      </c>
      <c r="M8" s="774">
        <v>71500</v>
      </c>
      <c r="N8" s="775">
        <v>33000</v>
      </c>
    </row>
    <row r="9" spans="1:14" ht="12" customHeight="1" x14ac:dyDescent="0.2">
      <c r="A9" s="773" t="s">
        <v>294</v>
      </c>
      <c r="B9" s="601" t="s">
        <v>295</v>
      </c>
      <c r="C9" s="601" t="s">
        <v>12493</v>
      </c>
      <c r="D9" s="621">
        <v>23892240</v>
      </c>
      <c r="E9" s="601" t="s">
        <v>12494</v>
      </c>
      <c r="F9" s="621">
        <v>2070727</v>
      </c>
      <c r="G9" s="621">
        <v>3780.48</v>
      </c>
      <c r="H9" s="621" t="s">
        <v>979</v>
      </c>
      <c r="I9" s="621" t="s">
        <v>197</v>
      </c>
      <c r="J9" s="604" t="s">
        <v>12495</v>
      </c>
      <c r="K9" s="774">
        <v>7000</v>
      </c>
      <c r="L9" s="601" t="s">
        <v>12487</v>
      </c>
      <c r="M9" s="774">
        <v>84000</v>
      </c>
      <c r="N9" s="775">
        <v>56000</v>
      </c>
    </row>
    <row r="10" spans="1:14" ht="12" customHeight="1" x14ac:dyDescent="0.2">
      <c r="A10" s="773" t="s">
        <v>294</v>
      </c>
      <c r="B10" s="601" t="s">
        <v>295</v>
      </c>
      <c r="C10" s="601" t="s">
        <v>12496</v>
      </c>
      <c r="D10" s="621">
        <v>5377567</v>
      </c>
      <c r="E10" s="601" t="s">
        <v>12485</v>
      </c>
      <c r="F10" s="621">
        <v>11029710</v>
      </c>
      <c r="G10" s="621">
        <v>3434.4</v>
      </c>
      <c r="H10" s="621" t="s">
        <v>979</v>
      </c>
      <c r="I10" s="621" t="s">
        <v>197</v>
      </c>
      <c r="J10" s="604" t="s">
        <v>12497</v>
      </c>
      <c r="K10" s="774">
        <v>6500</v>
      </c>
      <c r="L10" s="601" t="s">
        <v>12487</v>
      </c>
      <c r="M10" s="774">
        <v>78000</v>
      </c>
      <c r="N10" s="775">
        <v>52000</v>
      </c>
    </row>
    <row r="11" spans="1:14" ht="12" customHeight="1" x14ac:dyDescent="0.2">
      <c r="A11" s="773" t="s">
        <v>294</v>
      </c>
      <c r="B11" s="601" t="s">
        <v>295</v>
      </c>
      <c r="C11" s="601" t="s">
        <v>12498</v>
      </c>
      <c r="D11" s="621">
        <v>19993804</v>
      </c>
      <c r="E11" s="601" t="s">
        <v>12485</v>
      </c>
      <c r="F11" s="621">
        <v>509</v>
      </c>
      <c r="G11" s="621">
        <v>2526.8200000000002</v>
      </c>
      <c r="H11" s="621">
        <v>14</v>
      </c>
      <c r="I11" s="621" t="s">
        <v>197</v>
      </c>
      <c r="J11" s="604" t="s">
        <v>12499</v>
      </c>
      <c r="K11" s="774">
        <v>6500</v>
      </c>
      <c r="L11" s="601" t="s">
        <v>12487</v>
      </c>
      <c r="M11" s="774">
        <v>78000</v>
      </c>
      <c r="N11" s="775">
        <f>71500-19500</f>
        <v>52000</v>
      </c>
    </row>
    <row r="12" spans="1:14" ht="12" customHeight="1" x14ac:dyDescent="0.2">
      <c r="A12" s="773" t="s">
        <v>294</v>
      </c>
      <c r="B12" s="601" t="s">
        <v>295</v>
      </c>
      <c r="C12" s="601" t="s">
        <v>12500</v>
      </c>
      <c r="D12" s="621">
        <v>210578</v>
      </c>
      <c r="E12" s="601" t="s">
        <v>12485</v>
      </c>
      <c r="F12" s="621">
        <v>11026016</v>
      </c>
      <c r="G12" s="621">
        <v>6290.42</v>
      </c>
      <c r="H12" s="621" t="s">
        <v>979</v>
      </c>
      <c r="I12" s="621" t="s">
        <v>197</v>
      </c>
      <c r="J12" s="604" t="s">
        <v>12501</v>
      </c>
      <c r="K12" s="774">
        <v>7000</v>
      </c>
      <c r="L12" s="601" t="s">
        <v>12487</v>
      </c>
      <c r="M12" s="774">
        <v>84000</v>
      </c>
      <c r="N12" s="775">
        <v>49000</v>
      </c>
    </row>
    <row r="13" spans="1:14" ht="12" customHeight="1" x14ac:dyDescent="0.2">
      <c r="A13" s="773" t="s">
        <v>294</v>
      </c>
      <c r="B13" s="601" t="s">
        <v>295</v>
      </c>
      <c r="C13" s="601" t="s">
        <v>12502</v>
      </c>
      <c r="D13" s="621">
        <v>20518682777</v>
      </c>
      <c r="E13" s="621" t="s">
        <v>12503</v>
      </c>
      <c r="F13" s="621">
        <v>12134330</v>
      </c>
      <c r="G13" s="621">
        <v>1113.52</v>
      </c>
      <c r="H13" s="621">
        <v>8</v>
      </c>
      <c r="I13" s="621" t="s">
        <v>197</v>
      </c>
      <c r="J13" s="604" t="s">
        <v>12504</v>
      </c>
      <c r="K13" s="774">
        <v>51538.46</v>
      </c>
      <c r="L13" s="601" t="s">
        <v>12487</v>
      </c>
      <c r="M13" s="774">
        <v>0</v>
      </c>
      <c r="N13" s="775">
        <v>154615.38</v>
      </c>
    </row>
    <row r="14" spans="1:14" ht="12" customHeight="1" x14ac:dyDescent="0.2">
      <c r="A14" s="773" t="s">
        <v>294</v>
      </c>
      <c r="B14" s="601" t="s">
        <v>295</v>
      </c>
      <c r="C14" s="601" t="s">
        <v>12505</v>
      </c>
      <c r="D14" s="601" t="s">
        <v>12506</v>
      </c>
      <c r="E14" s="601" t="s">
        <v>12485</v>
      </c>
      <c r="F14" s="621">
        <v>5018140</v>
      </c>
      <c r="G14" s="621">
        <v>162.5</v>
      </c>
      <c r="H14" s="621">
        <v>2</v>
      </c>
      <c r="I14" s="621" t="s">
        <v>197</v>
      </c>
      <c r="J14" s="604" t="s">
        <v>12507</v>
      </c>
      <c r="K14" s="774">
        <v>2900</v>
      </c>
      <c r="L14" s="601" t="s">
        <v>12487</v>
      </c>
      <c r="M14" s="774">
        <v>0</v>
      </c>
      <c r="N14" s="775">
        <f>17400-8700</f>
        <v>8700</v>
      </c>
    </row>
    <row r="15" spans="1:14" ht="12" customHeight="1" x14ac:dyDescent="0.2">
      <c r="A15" s="773" t="s">
        <v>294</v>
      </c>
      <c r="B15" s="601" t="s">
        <v>295</v>
      </c>
      <c r="C15" s="601" t="s">
        <v>12508</v>
      </c>
      <c r="D15" s="621">
        <v>10334005165</v>
      </c>
      <c r="E15" s="601" t="s">
        <v>12485</v>
      </c>
      <c r="F15" s="621">
        <v>11000239</v>
      </c>
      <c r="G15" s="621">
        <v>675</v>
      </c>
      <c r="H15" s="621" t="s">
        <v>979</v>
      </c>
      <c r="I15" s="621" t="s">
        <v>197</v>
      </c>
      <c r="J15" s="604" t="s">
        <v>12509</v>
      </c>
      <c r="K15" s="774">
        <v>6000</v>
      </c>
      <c r="L15" s="601" t="s">
        <v>12487</v>
      </c>
      <c r="M15" s="774">
        <v>72000</v>
      </c>
      <c r="N15" s="775">
        <v>48000</v>
      </c>
    </row>
    <row r="16" spans="1:14" ht="12" customHeight="1" x14ac:dyDescent="0.2">
      <c r="A16" s="773" t="s">
        <v>294</v>
      </c>
      <c r="B16" s="601" t="s">
        <v>295</v>
      </c>
      <c r="C16" s="601" t="s">
        <v>12510</v>
      </c>
      <c r="D16" s="621">
        <v>10074651289</v>
      </c>
      <c r="E16" s="601" t="s">
        <v>12485</v>
      </c>
      <c r="F16" s="621" t="s">
        <v>12511</v>
      </c>
      <c r="G16" s="621">
        <v>106.64</v>
      </c>
      <c r="H16" s="621">
        <v>1</v>
      </c>
      <c r="I16" s="621" t="s">
        <v>197</v>
      </c>
      <c r="J16" s="604" t="s">
        <v>12512</v>
      </c>
      <c r="K16" s="774">
        <v>6000</v>
      </c>
      <c r="L16" s="601" t="s">
        <v>12487</v>
      </c>
      <c r="M16" s="774">
        <v>0</v>
      </c>
      <c r="N16" s="775">
        <f>35000-18000</f>
        <v>17000</v>
      </c>
    </row>
    <row r="17" spans="1:14" ht="12" customHeight="1" x14ac:dyDescent="0.2">
      <c r="A17" s="773" t="s">
        <v>294</v>
      </c>
      <c r="B17" s="601" t="s">
        <v>295</v>
      </c>
      <c r="C17" s="601" t="s">
        <v>12513</v>
      </c>
      <c r="D17" s="621">
        <v>10310076347</v>
      </c>
      <c r="E17" s="601" t="s">
        <v>12485</v>
      </c>
      <c r="F17" s="621">
        <v>5003195</v>
      </c>
      <c r="G17" s="621">
        <v>200</v>
      </c>
      <c r="H17" s="621">
        <v>1</v>
      </c>
      <c r="I17" s="621" t="s">
        <v>197</v>
      </c>
      <c r="J17" s="604" t="s">
        <v>12514</v>
      </c>
      <c r="K17" s="774">
        <v>3000</v>
      </c>
      <c r="L17" s="601" t="s">
        <v>12487</v>
      </c>
      <c r="M17" s="774">
        <v>12000</v>
      </c>
      <c r="N17" s="775">
        <v>24000</v>
      </c>
    </row>
    <row r="18" spans="1:14" ht="12" customHeight="1" x14ac:dyDescent="0.2">
      <c r="A18" s="773" t="s">
        <v>294</v>
      </c>
      <c r="B18" s="601" t="s">
        <v>295</v>
      </c>
      <c r="C18" s="601" t="s">
        <v>12515</v>
      </c>
      <c r="D18" s="621" t="s">
        <v>12516</v>
      </c>
      <c r="E18" s="601" t="s">
        <v>12485</v>
      </c>
      <c r="F18" s="621">
        <v>1127351</v>
      </c>
      <c r="G18" s="621">
        <v>270</v>
      </c>
      <c r="H18" s="621" t="s">
        <v>979</v>
      </c>
      <c r="I18" s="621" t="s">
        <v>197</v>
      </c>
      <c r="J18" s="604" t="s">
        <v>12517</v>
      </c>
      <c r="K18" s="774">
        <v>5000</v>
      </c>
      <c r="L18" s="601" t="s">
        <v>12487</v>
      </c>
      <c r="M18" s="774">
        <v>50000</v>
      </c>
      <c r="N18" s="775">
        <v>45000</v>
      </c>
    </row>
    <row r="19" spans="1:14" ht="12" customHeight="1" x14ac:dyDescent="0.2">
      <c r="A19" s="773" t="s">
        <v>294</v>
      </c>
      <c r="B19" s="601" t="s">
        <v>295</v>
      </c>
      <c r="C19" s="601" t="s">
        <v>12518</v>
      </c>
      <c r="D19" s="621">
        <v>10282497617</v>
      </c>
      <c r="E19" s="601" t="s">
        <v>12485</v>
      </c>
      <c r="F19" s="621"/>
      <c r="G19" s="621">
        <v>249.72</v>
      </c>
      <c r="H19" s="621">
        <v>1</v>
      </c>
      <c r="I19" s="621" t="s">
        <v>197</v>
      </c>
      <c r="J19" s="604" t="s">
        <v>12519</v>
      </c>
      <c r="K19" s="774">
        <v>5500</v>
      </c>
      <c r="L19" s="601" t="s">
        <v>12487</v>
      </c>
      <c r="M19" s="774">
        <f>16500*4</f>
        <v>66000</v>
      </c>
      <c r="N19" s="775">
        <f>11000+16500+22000</f>
        <v>49500</v>
      </c>
    </row>
    <row r="20" spans="1:14" ht="12" customHeight="1" x14ac:dyDescent="0.2">
      <c r="A20" s="773" t="s">
        <v>294</v>
      </c>
      <c r="B20" s="601" t="s">
        <v>295</v>
      </c>
      <c r="C20" s="601" t="s">
        <v>12520</v>
      </c>
      <c r="D20" s="621">
        <v>10266013596</v>
      </c>
      <c r="E20" s="601" t="s">
        <v>12485</v>
      </c>
      <c r="F20" s="621" t="s">
        <v>12521</v>
      </c>
      <c r="G20" s="621">
        <v>250</v>
      </c>
      <c r="H20" s="621" t="s">
        <v>979</v>
      </c>
      <c r="I20" s="621" t="s">
        <v>197</v>
      </c>
      <c r="J20" s="604" t="s">
        <v>12522</v>
      </c>
      <c r="K20" s="774">
        <v>4500</v>
      </c>
      <c r="L20" s="601" t="s">
        <v>12487</v>
      </c>
      <c r="M20" s="774">
        <f>45000+9000</f>
        <v>54000</v>
      </c>
      <c r="N20" s="775">
        <f>45000-4500</f>
        <v>40500</v>
      </c>
    </row>
    <row r="21" spans="1:14" ht="12" customHeight="1" x14ac:dyDescent="0.2">
      <c r="A21" s="773" t="s">
        <v>294</v>
      </c>
      <c r="B21" s="601" t="s">
        <v>295</v>
      </c>
      <c r="C21" s="601" t="s">
        <v>12523</v>
      </c>
      <c r="D21" s="621" t="s">
        <v>12524</v>
      </c>
      <c r="E21" s="601" t="s">
        <v>12485</v>
      </c>
      <c r="F21" s="621">
        <v>2007629</v>
      </c>
      <c r="G21" s="621">
        <v>116.56</v>
      </c>
      <c r="H21" s="621" t="s">
        <v>979</v>
      </c>
      <c r="I21" s="621" t="s">
        <v>197</v>
      </c>
      <c r="J21" s="604" t="s">
        <v>12525</v>
      </c>
      <c r="K21" s="774">
        <v>12500</v>
      </c>
      <c r="L21" s="601" t="s">
        <v>12487</v>
      </c>
      <c r="M21" s="774">
        <v>87500</v>
      </c>
      <c r="N21" s="775">
        <v>100000</v>
      </c>
    </row>
    <row r="22" spans="1:14" ht="12" customHeight="1" x14ac:dyDescent="0.2">
      <c r="A22" s="773" t="s">
        <v>294</v>
      </c>
      <c r="B22" s="601" t="s">
        <v>295</v>
      </c>
      <c r="C22" s="601" t="s">
        <v>12526</v>
      </c>
      <c r="D22" s="621" t="s">
        <v>12527</v>
      </c>
      <c r="E22" s="601" t="s">
        <v>12485</v>
      </c>
      <c r="F22" s="621" t="s">
        <v>12528</v>
      </c>
      <c r="G22" s="621">
        <v>95.6</v>
      </c>
      <c r="H22" s="621" t="s">
        <v>979</v>
      </c>
      <c r="I22" s="621" t="s">
        <v>197</v>
      </c>
      <c r="J22" s="604" t="s">
        <v>12529</v>
      </c>
      <c r="K22" s="774">
        <v>4500</v>
      </c>
      <c r="L22" s="601" t="s">
        <v>12487</v>
      </c>
      <c r="M22" s="774">
        <v>49500</v>
      </c>
      <c r="N22" s="775">
        <v>40500</v>
      </c>
    </row>
    <row r="23" spans="1:14" ht="12" customHeight="1" x14ac:dyDescent="0.2">
      <c r="A23" s="773" t="s">
        <v>294</v>
      </c>
      <c r="B23" s="601" t="s">
        <v>295</v>
      </c>
      <c r="C23" s="601" t="s">
        <v>12530</v>
      </c>
      <c r="D23" s="621" t="s">
        <v>12531</v>
      </c>
      <c r="E23" s="601" t="s">
        <v>12485</v>
      </c>
      <c r="F23" s="621">
        <v>11103526</v>
      </c>
      <c r="G23" s="621">
        <v>80</v>
      </c>
      <c r="H23" s="621" t="s">
        <v>979</v>
      </c>
      <c r="I23" s="621" t="s">
        <v>197</v>
      </c>
      <c r="J23" s="604" t="s">
        <v>12517</v>
      </c>
      <c r="K23" s="774">
        <v>5000</v>
      </c>
      <c r="L23" s="601" t="s">
        <v>12487</v>
      </c>
      <c r="M23" s="774">
        <v>50000</v>
      </c>
      <c r="N23" s="775">
        <v>45000</v>
      </c>
    </row>
    <row r="24" spans="1:14" ht="12" customHeight="1" x14ac:dyDescent="0.2">
      <c r="A24" s="773" t="s">
        <v>294</v>
      </c>
      <c r="B24" s="601" t="s">
        <v>295</v>
      </c>
      <c r="C24" s="601" t="s">
        <v>12532</v>
      </c>
      <c r="D24" s="621" t="s">
        <v>12533</v>
      </c>
      <c r="E24" s="621" t="s">
        <v>12503</v>
      </c>
      <c r="F24" s="621">
        <v>11003561</v>
      </c>
      <c r="G24" s="621">
        <v>450</v>
      </c>
      <c r="H24" s="621" t="s">
        <v>979</v>
      </c>
      <c r="I24" s="621" t="s">
        <v>197</v>
      </c>
      <c r="J24" s="604" t="s">
        <v>12534</v>
      </c>
      <c r="K24" s="774">
        <v>6000</v>
      </c>
      <c r="L24" s="601" t="s">
        <v>12487</v>
      </c>
      <c r="M24" s="774">
        <v>72000</v>
      </c>
      <c r="N24" s="775">
        <v>54000</v>
      </c>
    </row>
    <row r="25" spans="1:14" ht="12" customHeight="1" x14ac:dyDescent="0.2">
      <c r="A25" s="773" t="s">
        <v>294</v>
      </c>
      <c r="B25" s="601" t="s">
        <v>295</v>
      </c>
      <c r="C25" s="601" t="s">
        <v>12535</v>
      </c>
      <c r="D25" s="621" t="s">
        <v>12536</v>
      </c>
      <c r="E25" s="601" t="s">
        <v>12485</v>
      </c>
      <c r="F25" s="621">
        <v>2011180</v>
      </c>
      <c r="G25" s="621">
        <v>185.1</v>
      </c>
      <c r="H25" s="621">
        <v>3</v>
      </c>
      <c r="I25" s="621" t="s">
        <v>197</v>
      </c>
      <c r="J25" s="604" t="s">
        <v>12537</v>
      </c>
      <c r="K25" s="774">
        <v>6000</v>
      </c>
      <c r="L25" s="601" t="s">
        <v>12487</v>
      </c>
      <c r="M25" s="774">
        <f>18000+54000</f>
        <v>72000</v>
      </c>
      <c r="N25" s="775">
        <v>54000</v>
      </c>
    </row>
    <row r="26" spans="1:14" ht="12" customHeight="1" x14ac:dyDescent="0.2">
      <c r="A26" s="773" t="s">
        <v>294</v>
      </c>
      <c r="B26" s="601" t="s">
        <v>295</v>
      </c>
      <c r="C26" s="601" t="s">
        <v>12538</v>
      </c>
      <c r="D26" s="621" t="s">
        <v>12539</v>
      </c>
      <c r="E26" s="601" t="s">
        <v>12485</v>
      </c>
      <c r="F26" s="621">
        <v>3081821</v>
      </c>
      <c r="G26" s="621">
        <v>400</v>
      </c>
      <c r="H26" s="621" t="s">
        <v>979</v>
      </c>
      <c r="I26" s="621" t="s">
        <v>197</v>
      </c>
      <c r="J26" s="604" t="s">
        <v>12540</v>
      </c>
      <c r="K26" s="774">
        <v>5500</v>
      </c>
      <c r="L26" s="601" t="s">
        <v>12487</v>
      </c>
      <c r="M26" s="774">
        <f>66000+5500</f>
        <v>71500</v>
      </c>
      <c r="N26" s="775">
        <f>27500+16500</f>
        <v>44000</v>
      </c>
    </row>
    <row r="27" spans="1:14" ht="12" customHeight="1" x14ac:dyDescent="0.2">
      <c r="A27" s="773" t="s">
        <v>294</v>
      </c>
      <c r="B27" s="601" t="s">
        <v>295</v>
      </c>
      <c r="C27" s="601" t="s">
        <v>12541</v>
      </c>
      <c r="D27" s="621" t="s">
        <v>12542</v>
      </c>
      <c r="E27" s="601" t="s">
        <v>12485</v>
      </c>
      <c r="F27" s="621">
        <v>2191201</v>
      </c>
      <c r="G27" s="621">
        <v>335</v>
      </c>
      <c r="H27" s="621">
        <v>1</v>
      </c>
      <c r="I27" s="621" t="s">
        <v>197</v>
      </c>
      <c r="J27" s="604" t="s">
        <v>12543</v>
      </c>
      <c r="K27" s="774">
        <v>5000</v>
      </c>
      <c r="L27" s="601" t="s">
        <v>12487</v>
      </c>
      <c r="M27" s="774">
        <f>15000+40000</f>
        <v>55000</v>
      </c>
      <c r="N27" s="775">
        <v>44500</v>
      </c>
    </row>
    <row r="28" spans="1:14" ht="12" customHeight="1" x14ac:dyDescent="0.2">
      <c r="A28" s="773" t="s">
        <v>294</v>
      </c>
      <c r="B28" s="601" t="s">
        <v>295</v>
      </c>
      <c r="C28" s="601" t="s">
        <v>12544</v>
      </c>
      <c r="D28" s="621" t="s">
        <v>12545</v>
      </c>
      <c r="E28" s="601" t="s">
        <v>12485</v>
      </c>
      <c r="F28" s="621" t="s">
        <v>12546</v>
      </c>
      <c r="G28" s="621">
        <v>303.51</v>
      </c>
      <c r="H28" s="621" t="s">
        <v>979</v>
      </c>
      <c r="I28" s="621" t="s">
        <v>197</v>
      </c>
      <c r="J28" s="604" t="s">
        <v>12547</v>
      </c>
      <c r="K28" s="774">
        <v>5000</v>
      </c>
      <c r="L28" s="601" t="s">
        <v>12487</v>
      </c>
      <c r="M28" s="774">
        <v>60000</v>
      </c>
      <c r="N28" s="775">
        <v>27500</v>
      </c>
    </row>
    <row r="29" spans="1:14" ht="12" customHeight="1" x14ac:dyDescent="0.2">
      <c r="A29" s="773" t="s">
        <v>294</v>
      </c>
      <c r="B29" s="601" t="s">
        <v>295</v>
      </c>
      <c r="C29" s="601" t="s">
        <v>12548</v>
      </c>
      <c r="D29" s="621" t="s">
        <v>12549</v>
      </c>
      <c r="E29" s="601" t="s">
        <v>12485</v>
      </c>
      <c r="F29" s="621">
        <v>8003328</v>
      </c>
      <c r="G29" s="621">
        <v>225</v>
      </c>
      <c r="H29" s="621" t="s">
        <v>979</v>
      </c>
      <c r="I29" s="621" t="s">
        <v>197</v>
      </c>
      <c r="J29" s="604" t="s">
        <v>12550</v>
      </c>
      <c r="K29" s="774">
        <v>4500</v>
      </c>
      <c r="L29" s="601" t="s">
        <v>12487</v>
      </c>
      <c r="M29" s="774">
        <v>54000</v>
      </c>
      <c r="N29" s="775">
        <v>40500</v>
      </c>
    </row>
    <row r="30" spans="1:14" ht="12" customHeight="1" x14ac:dyDescent="0.2">
      <c r="A30" s="773" t="s">
        <v>294</v>
      </c>
      <c r="B30" s="601" t="s">
        <v>295</v>
      </c>
      <c r="C30" s="601" t="s">
        <v>12551</v>
      </c>
      <c r="D30" s="621" t="s">
        <v>12552</v>
      </c>
      <c r="E30" s="601" t="s">
        <v>12485</v>
      </c>
      <c r="F30" s="621">
        <v>11007478</v>
      </c>
      <c r="G30" s="621">
        <v>314.72000000000003</v>
      </c>
      <c r="H30" s="621" t="s">
        <v>979</v>
      </c>
      <c r="I30" s="621" t="s">
        <v>197</v>
      </c>
      <c r="J30" s="604" t="s">
        <v>12517</v>
      </c>
      <c r="K30" s="774">
        <v>6000</v>
      </c>
      <c r="L30" s="601" t="s">
        <v>12487</v>
      </c>
      <c r="M30" s="774">
        <v>60000</v>
      </c>
      <c r="N30" s="775">
        <v>36000</v>
      </c>
    </row>
    <row r="31" spans="1:14" ht="12" customHeight="1" x14ac:dyDescent="0.2">
      <c r="A31" s="773" t="s">
        <v>294</v>
      </c>
      <c r="B31" s="601" t="s">
        <v>295</v>
      </c>
      <c r="C31" s="601" t="s">
        <v>12553</v>
      </c>
      <c r="D31" s="621" t="s">
        <v>12554</v>
      </c>
      <c r="E31" s="601" t="s">
        <v>12485</v>
      </c>
      <c r="F31" s="621" t="s">
        <v>12555</v>
      </c>
      <c r="G31" s="621">
        <v>392</v>
      </c>
      <c r="H31" s="621" t="s">
        <v>979</v>
      </c>
      <c r="I31" s="621" t="s">
        <v>197</v>
      </c>
      <c r="J31" s="604" t="s">
        <v>12556</v>
      </c>
      <c r="K31" s="774">
        <v>4500</v>
      </c>
      <c r="L31" s="601" t="s">
        <v>12487</v>
      </c>
      <c r="M31" s="774">
        <v>45000</v>
      </c>
      <c r="N31" s="775">
        <v>40500</v>
      </c>
    </row>
    <row r="32" spans="1:14" ht="12" customHeight="1" x14ac:dyDescent="0.2">
      <c r="A32" s="773" t="s">
        <v>294</v>
      </c>
      <c r="B32" s="601" t="s">
        <v>295</v>
      </c>
      <c r="C32" s="601" t="s">
        <v>12557</v>
      </c>
      <c r="D32" s="621" t="s">
        <v>12558</v>
      </c>
      <c r="E32" s="601" t="s">
        <v>12485</v>
      </c>
      <c r="F32" s="621">
        <v>11192340</v>
      </c>
      <c r="G32" s="621">
        <v>490</v>
      </c>
      <c r="H32" s="621" t="s">
        <v>979</v>
      </c>
      <c r="I32" s="621" t="s">
        <v>197</v>
      </c>
      <c r="J32" s="604" t="s">
        <v>12543</v>
      </c>
      <c r="K32" s="774">
        <v>6000</v>
      </c>
      <c r="L32" s="601" t="s">
        <v>12487</v>
      </c>
      <c r="M32" s="774">
        <f>18000+48000</f>
        <v>66000</v>
      </c>
      <c r="N32" s="775">
        <v>54000</v>
      </c>
    </row>
    <row r="33" spans="1:14" ht="12" customHeight="1" x14ac:dyDescent="0.2">
      <c r="A33" s="773" t="s">
        <v>294</v>
      </c>
      <c r="B33" s="601" t="s">
        <v>295</v>
      </c>
      <c r="C33" s="601" t="s">
        <v>12559</v>
      </c>
      <c r="D33" s="621" t="s">
        <v>12560</v>
      </c>
      <c r="E33" s="601" t="s">
        <v>12485</v>
      </c>
      <c r="F33" s="621">
        <v>11154537</v>
      </c>
      <c r="G33" s="621">
        <v>349.23599999999999</v>
      </c>
      <c r="H33" s="621" t="s">
        <v>979</v>
      </c>
      <c r="I33" s="621" t="s">
        <v>197</v>
      </c>
      <c r="J33" s="604" t="s">
        <v>12561</v>
      </c>
      <c r="K33" s="774">
        <v>6300</v>
      </c>
      <c r="L33" s="601" t="s">
        <v>12487</v>
      </c>
      <c r="M33" s="774">
        <f>31500+44100</f>
        <v>75600</v>
      </c>
      <c r="N33" s="775">
        <f>25200+31500</f>
        <v>56700</v>
      </c>
    </row>
    <row r="34" spans="1:14" ht="12" customHeight="1" x14ac:dyDescent="0.2">
      <c r="A34" s="773" t="s">
        <v>294</v>
      </c>
      <c r="B34" s="601" t="s">
        <v>295</v>
      </c>
      <c r="C34" s="601" t="s">
        <v>12562</v>
      </c>
      <c r="D34" s="621" t="s">
        <v>12563</v>
      </c>
      <c r="E34" s="601" t="s">
        <v>12485</v>
      </c>
      <c r="F34" s="621" t="s">
        <v>12564</v>
      </c>
      <c r="G34" s="621">
        <v>239.1</v>
      </c>
      <c r="H34" s="621" t="s">
        <v>979</v>
      </c>
      <c r="I34" s="621" t="s">
        <v>197</v>
      </c>
      <c r="J34" s="604" t="s">
        <v>12565</v>
      </c>
      <c r="K34" s="774">
        <v>7000</v>
      </c>
      <c r="L34" s="601" t="s">
        <v>12487</v>
      </c>
      <c r="M34" s="774">
        <v>70000</v>
      </c>
      <c r="N34" s="775">
        <v>63000</v>
      </c>
    </row>
    <row r="35" spans="1:14" ht="12" customHeight="1" x14ac:dyDescent="0.2">
      <c r="A35" s="773" t="s">
        <v>294</v>
      </c>
      <c r="B35" s="601" t="s">
        <v>295</v>
      </c>
      <c r="C35" s="601" t="s">
        <v>12566</v>
      </c>
      <c r="D35" s="621" t="s">
        <v>12567</v>
      </c>
      <c r="E35" s="601" t="s">
        <v>12485</v>
      </c>
      <c r="F35" s="621">
        <v>11020611</v>
      </c>
      <c r="G35" s="621">
        <v>160.38</v>
      </c>
      <c r="H35" s="621" t="s">
        <v>979</v>
      </c>
      <c r="I35" s="621" t="s">
        <v>197</v>
      </c>
      <c r="J35" s="604">
        <v>44412</v>
      </c>
      <c r="K35" s="774">
        <v>4500</v>
      </c>
      <c r="L35" s="601" t="s">
        <v>12487</v>
      </c>
      <c r="M35" s="774">
        <v>54000</v>
      </c>
      <c r="N35" s="775">
        <f>13500+9000</f>
        <v>22500</v>
      </c>
    </row>
    <row r="36" spans="1:14" ht="12" customHeight="1" x14ac:dyDescent="0.2">
      <c r="A36" s="773" t="s">
        <v>294</v>
      </c>
      <c r="B36" s="601" t="s">
        <v>295</v>
      </c>
      <c r="C36" s="601" t="s">
        <v>12568</v>
      </c>
      <c r="D36" s="621">
        <v>10002198245</v>
      </c>
      <c r="E36" s="601" t="s">
        <v>12485</v>
      </c>
      <c r="F36" s="621">
        <v>11031845</v>
      </c>
      <c r="G36" s="621">
        <v>223.76</v>
      </c>
      <c r="H36" s="621" t="s">
        <v>979</v>
      </c>
      <c r="I36" s="621" t="s">
        <v>197</v>
      </c>
      <c r="J36" s="604" t="s">
        <v>12569</v>
      </c>
      <c r="K36" s="774">
        <v>6000</v>
      </c>
      <c r="L36" s="601" t="s">
        <v>12487</v>
      </c>
      <c r="M36" s="774">
        <v>72000</v>
      </c>
      <c r="N36" s="775">
        <v>36000</v>
      </c>
    </row>
    <row r="37" spans="1:14" ht="12" customHeight="1" x14ac:dyDescent="0.2">
      <c r="A37" s="773" t="s">
        <v>294</v>
      </c>
      <c r="B37" s="601" t="s">
        <v>295</v>
      </c>
      <c r="C37" s="601" t="s">
        <v>12570</v>
      </c>
      <c r="D37" s="621" t="s">
        <v>12571</v>
      </c>
      <c r="E37" s="601" t="s">
        <v>12485</v>
      </c>
      <c r="F37" s="621">
        <v>19146</v>
      </c>
      <c r="G37" s="621">
        <v>276.54000000000002</v>
      </c>
      <c r="H37" s="621" t="s">
        <v>979</v>
      </c>
      <c r="I37" s="621" t="s">
        <v>197</v>
      </c>
      <c r="J37" s="604" t="s">
        <v>12572</v>
      </c>
      <c r="K37" s="774">
        <v>7500</v>
      </c>
      <c r="L37" s="601" t="s">
        <v>12487</v>
      </c>
      <c r="M37" s="774">
        <v>0</v>
      </c>
      <c r="N37" s="775">
        <f>82500-22500</f>
        <v>60000</v>
      </c>
    </row>
    <row r="38" spans="1:14" ht="12" customHeight="1" x14ac:dyDescent="0.2">
      <c r="A38" s="776" t="s">
        <v>294</v>
      </c>
      <c r="B38" s="607" t="s">
        <v>296</v>
      </c>
      <c r="C38" s="607" t="s">
        <v>12573</v>
      </c>
      <c r="D38" s="607">
        <v>74301629</v>
      </c>
      <c r="E38" s="607" t="s">
        <v>12574</v>
      </c>
      <c r="F38" s="607"/>
      <c r="G38" s="607">
        <v>848.09</v>
      </c>
      <c r="H38" s="607"/>
      <c r="I38" s="607"/>
      <c r="J38" s="607" t="s">
        <v>12575</v>
      </c>
      <c r="K38" s="777">
        <v>16650</v>
      </c>
      <c r="L38" s="607" t="s">
        <v>12576</v>
      </c>
      <c r="M38" s="777">
        <v>666782.55000000005</v>
      </c>
      <c r="N38" s="778">
        <v>111721.5</v>
      </c>
    </row>
    <row r="39" spans="1:14" ht="12" customHeight="1" x14ac:dyDescent="0.2">
      <c r="A39" s="776" t="s">
        <v>294</v>
      </c>
      <c r="B39" s="607" t="s">
        <v>296</v>
      </c>
      <c r="C39" s="607" t="s">
        <v>12577</v>
      </c>
      <c r="D39" s="607">
        <v>20603381697</v>
      </c>
      <c r="E39" s="607" t="s">
        <v>12574</v>
      </c>
      <c r="F39" s="607"/>
      <c r="G39" s="607"/>
      <c r="H39" s="607">
        <v>5</v>
      </c>
      <c r="I39" s="607"/>
      <c r="J39" s="607" t="s">
        <v>12578</v>
      </c>
      <c r="K39" s="777">
        <v>2750</v>
      </c>
      <c r="L39" s="607" t="s">
        <v>12576</v>
      </c>
      <c r="M39" s="777"/>
      <c r="N39" s="778">
        <v>13383.27</v>
      </c>
    </row>
    <row r="40" spans="1:14" ht="12" customHeight="1" x14ac:dyDescent="0.2">
      <c r="A40" s="776" t="s">
        <v>294</v>
      </c>
      <c r="B40" s="779" t="s">
        <v>12579</v>
      </c>
      <c r="C40" s="601" t="s">
        <v>12580</v>
      </c>
      <c r="D40" s="780">
        <v>7849473</v>
      </c>
      <c r="E40" s="607" t="s">
        <v>12581</v>
      </c>
      <c r="F40" s="781" t="s">
        <v>12582</v>
      </c>
      <c r="G40" s="621">
        <v>1326.02</v>
      </c>
      <c r="H40" s="618" t="s">
        <v>12583</v>
      </c>
      <c r="I40" s="621"/>
      <c r="J40" s="601" t="s">
        <v>12584</v>
      </c>
      <c r="K40" s="774">
        <v>5800</v>
      </c>
      <c r="L40" s="601" t="s">
        <v>12576</v>
      </c>
      <c r="M40" s="774">
        <f>+K40*3.4*3</f>
        <v>59160</v>
      </c>
      <c r="N40" s="775">
        <f>159673.15/9*6</f>
        <v>106448.76666666666</v>
      </c>
    </row>
    <row r="41" spans="1:14" ht="12" customHeight="1" x14ac:dyDescent="0.2">
      <c r="A41" s="776" t="s">
        <v>294</v>
      </c>
      <c r="B41" s="779" t="s">
        <v>12579</v>
      </c>
      <c r="C41" s="782" t="s">
        <v>12585</v>
      </c>
      <c r="D41" s="601">
        <v>6475656</v>
      </c>
      <c r="E41" s="607" t="s">
        <v>12581</v>
      </c>
      <c r="F41" s="601">
        <v>12274661</v>
      </c>
      <c r="G41" s="783">
        <v>432</v>
      </c>
      <c r="H41" s="601">
        <v>4</v>
      </c>
      <c r="I41" s="601"/>
      <c r="J41" s="601" t="s">
        <v>12586</v>
      </c>
      <c r="K41" s="784">
        <v>8967</v>
      </c>
      <c r="L41" s="601" t="s">
        <v>12576</v>
      </c>
      <c r="M41" s="784">
        <f>+K41*12</f>
        <v>107604</v>
      </c>
      <c r="N41" s="785">
        <v>109524</v>
      </c>
    </row>
    <row r="42" spans="1:14" ht="12" customHeight="1" x14ac:dyDescent="0.2">
      <c r="A42" s="776" t="s">
        <v>294</v>
      </c>
      <c r="B42" s="779" t="s">
        <v>12579</v>
      </c>
      <c r="C42" s="782" t="s">
        <v>12587</v>
      </c>
      <c r="D42" s="601" t="s">
        <v>12588</v>
      </c>
      <c r="E42" s="607" t="s">
        <v>12581</v>
      </c>
      <c r="F42" s="601">
        <v>41233230</v>
      </c>
      <c r="G42" s="783">
        <v>64.400000000000006</v>
      </c>
      <c r="H42" s="601" t="s">
        <v>12583</v>
      </c>
      <c r="I42" s="601"/>
      <c r="J42" s="601" t="s">
        <v>12589</v>
      </c>
      <c r="K42" s="784">
        <v>3630</v>
      </c>
      <c r="L42" s="601" t="s">
        <v>12576</v>
      </c>
      <c r="M42" s="784">
        <v>43560</v>
      </c>
      <c r="N42" s="785">
        <v>43560</v>
      </c>
    </row>
    <row r="43" spans="1:14" ht="12" customHeight="1" x14ac:dyDescent="0.2">
      <c r="A43" s="776" t="s">
        <v>294</v>
      </c>
      <c r="B43" s="779" t="s">
        <v>12579</v>
      </c>
      <c r="C43" s="782" t="s">
        <v>12590</v>
      </c>
      <c r="D43" s="667">
        <v>33598810</v>
      </c>
      <c r="E43" s="607" t="s">
        <v>12581</v>
      </c>
      <c r="F43" s="601" t="s">
        <v>12591</v>
      </c>
      <c r="G43" s="783">
        <v>250</v>
      </c>
      <c r="H43" s="601" t="s">
        <v>12583</v>
      </c>
      <c r="I43" s="601"/>
      <c r="J43" s="601" t="s">
        <v>12592</v>
      </c>
      <c r="K43" s="784">
        <v>1400</v>
      </c>
      <c r="L43" s="601" t="s">
        <v>12576</v>
      </c>
      <c r="M43" s="784">
        <v>16800</v>
      </c>
      <c r="N43" s="785">
        <v>16800</v>
      </c>
    </row>
    <row r="44" spans="1:14" ht="12" customHeight="1" x14ac:dyDescent="0.2">
      <c r="A44" s="776" t="s">
        <v>294</v>
      </c>
      <c r="B44" s="779" t="s">
        <v>12579</v>
      </c>
      <c r="C44" s="782" t="s">
        <v>12593</v>
      </c>
      <c r="D44" s="601" t="s">
        <v>12594</v>
      </c>
      <c r="E44" s="607" t="s">
        <v>12581</v>
      </c>
      <c r="F44" s="601">
        <v>11009694</v>
      </c>
      <c r="G44" s="783">
        <v>211.3</v>
      </c>
      <c r="H44" s="601" t="s">
        <v>12583</v>
      </c>
      <c r="I44" s="601"/>
      <c r="J44" s="601" t="s">
        <v>12595</v>
      </c>
      <c r="K44" s="784">
        <v>4000</v>
      </c>
      <c r="L44" s="601" t="s">
        <v>12576</v>
      </c>
      <c r="M44" s="784">
        <v>48000</v>
      </c>
      <c r="N44" s="785">
        <v>48000</v>
      </c>
    </row>
    <row r="45" spans="1:14" ht="12" customHeight="1" x14ac:dyDescent="0.2">
      <c r="A45" s="776" t="s">
        <v>294</v>
      </c>
      <c r="B45" s="779" t="s">
        <v>12579</v>
      </c>
      <c r="C45" s="782" t="s">
        <v>12596</v>
      </c>
      <c r="D45" s="667" t="s">
        <v>12597</v>
      </c>
      <c r="E45" s="607" t="s">
        <v>12581</v>
      </c>
      <c r="F45" s="601" t="s">
        <v>12598</v>
      </c>
      <c r="G45" s="783">
        <v>136</v>
      </c>
      <c r="H45" s="607" t="s">
        <v>12583</v>
      </c>
      <c r="I45" s="601"/>
      <c r="J45" s="601" t="s">
        <v>12599</v>
      </c>
      <c r="K45" s="784">
        <v>2000</v>
      </c>
      <c r="L45" s="601" t="s">
        <v>12576</v>
      </c>
      <c r="M45" s="784">
        <v>24000</v>
      </c>
      <c r="N45" s="785">
        <v>24000</v>
      </c>
    </row>
    <row r="46" spans="1:14" ht="12" customHeight="1" x14ac:dyDescent="0.2">
      <c r="A46" s="776" t="s">
        <v>294</v>
      </c>
      <c r="B46" s="779" t="s">
        <v>12579</v>
      </c>
      <c r="C46" s="782" t="s">
        <v>12600</v>
      </c>
      <c r="D46" s="667" t="s">
        <v>12601</v>
      </c>
      <c r="E46" s="607" t="s">
        <v>12581</v>
      </c>
      <c r="F46" s="667" t="s">
        <v>12602</v>
      </c>
      <c r="G46" s="783">
        <v>329.66</v>
      </c>
      <c r="H46" s="607">
        <v>1</v>
      </c>
      <c r="I46" s="601"/>
      <c r="J46" s="601" t="s">
        <v>12603</v>
      </c>
      <c r="K46" s="784">
        <v>3100</v>
      </c>
      <c r="L46" s="601" t="s">
        <v>12576</v>
      </c>
      <c r="M46" s="784">
        <v>0</v>
      </c>
      <c r="N46" s="785">
        <v>19633.330000000002</v>
      </c>
    </row>
    <row r="47" spans="1:14" ht="12" customHeight="1" x14ac:dyDescent="0.2">
      <c r="A47" s="776" t="s">
        <v>294</v>
      </c>
      <c r="B47" s="779" t="s">
        <v>12579</v>
      </c>
      <c r="C47" s="601" t="s">
        <v>12523</v>
      </c>
      <c r="D47" s="601">
        <v>10238261061</v>
      </c>
      <c r="E47" s="607" t="s">
        <v>12581</v>
      </c>
      <c r="F47" s="667" t="s">
        <v>12604</v>
      </c>
      <c r="G47" s="786">
        <v>102</v>
      </c>
      <c r="H47" s="618" t="s">
        <v>12583</v>
      </c>
      <c r="I47" s="621"/>
      <c r="J47" s="607" t="s">
        <v>12605</v>
      </c>
      <c r="K47" s="784">
        <v>3000</v>
      </c>
      <c r="L47" s="601" t="s">
        <v>12576</v>
      </c>
      <c r="M47" s="784">
        <v>36000</v>
      </c>
      <c r="N47" s="785"/>
    </row>
    <row r="48" spans="1:14" ht="12" customHeight="1" x14ac:dyDescent="0.2">
      <c r="A48" s="776" t="s">
        <v>294</v>
      </c>
      <c r="B48" s="779" t="s">
        <v>12579</v>
      </c>
      <c r="C48" s="601" t="s">
        <v>12523</v>
      </c>
      <c r="D48" s="601" t="s">
        <v>12524</v>
      </c>
      <c r="E48" s="607" t="s">
        <v>12581</v>
      </c>
      <c r="F48" s="667" t="s">
        <v>12604</v>
      </c>
      <c r="G48" s="786">
        <v>102</v>
      </c>
      <c r="H48" s="618" t="s">
        <v>12583</v>
      </c>
      <c r="I48" s="621"/>
      <c r="J48" s="601" t="s">
        <v>12606</v>
      </c>
      <c r="K48" s="784">
        <v>2000</v>
      </c>
      <c r="L48" s="601" t="s">
        <v>12576</v>
      </c>
      <c r="M48" s="784"/>
      <c r="N48" s="778">
        <v>10000</v>
      </c>
    </row>
    <row r="49" spans="1:14" ht="12" customHeight="1" x14ac:dyDescent="0.2">
      <c r="A49" s="776" t="s">
        <v>294</v>
      </c>
      <c r="B49" s="779" t="s">
        <v>12579</v>
      </c>
      <c r="C49" s="601" t="s">
        <v>12607</v>
      </c>
      <c r="D49" s="601">
        <v>10238513125</v>
      </c>
      <c r="E49" s="607" t="s">
        <v>12581</v>
      </c>
      <c r="F49" s="617" t="s">
        <v>12608</v>
      </c>
      <c r="G49" s="786">
        <v>0</v>
      </c>
      <c r="H49" s="621">
        <v>1</v>
      </c>
      <c r="I49" s="621"/>
      <c r="J49" s="601" t="s">
        <v>12609</v>
      </c>
      <c r="K49" s="784">
        <v>300</v>
      </c>
      <c r="L49" s="601" t="s">
        <v>12576</v>
      </c>
      <c r="M49" s="784"/>
      <c r="N49" s="778">
        <v>1270</v>
      </c>
    </row>
    <row r="50" spans="1:14" ht="12" customHeight="1" x14ac:dyDescent="0.2">
      <c r="A50" s="776" t="s">
        <v>299</v>
      </c>
      <c r="B50" s="607" t="s">
        <v>300</v>
      </c>
      <c r="C50" s="607" t="s">
        <v>12610</v>
      </c>
      <c r="D50" s="787" t="s">
        <v>12611</v>
      </c>
      <c r="E50" s="601" t="s">
        <v>12485</v>
      </c>
      <c r="F50" s="621" t="s">
        <v>12612</v>
      </c>
      <c r="G50" s="788">
        <v>184</v>
      </c>
      <c r="H50" s="621">
        <v>1</v>
      </c>
      <c r="I50" s="618"/>
      <c r="J50" s="607" t="s">
        <v>12613</v>
      </c>
      <c r="K50" s="789">
        <v>11350</v>
      </c>
      <c r="L50" s="618" t="s">
        <v>12487</v>
      </c>
      <c r="M50" s="789">
        <v>147550</v>
      </c>
      <c r="N50" s="790">
        <v>56750</v>
      </c>
    </row>
    <row r="51" spans="1:14" ht="12" customHeight="1" x14ac:dyDescent="0.2">
      <c r="A51" s="776" t="s">
        <v>299</v>
      </c>
      <c r="B51" s="607" t="s">
        <v>300</v>
      </c>
      <c r="C51" s="607" t="s">
        <v>12614</v>
      </c>
      <c r="D51" s="618">
        <v>20207766250</v>
      </c>
      <c r="E51" s="601" t="s">
        <v>12485</v>
      </c>
      <c r="F51" s="621" t="s">
        <v>12615</v>
      </c>
      <c r="G51" s="788">
        <v>180</v>
      </c>
      <c r="H51" s="621">
        <v>1</v>
      </c>
      <c r="I51" s="618"/>
      <c r="J51" s="607" t="s">
        <v>12616</v>
      </c>
      <c r="K51" s="789">
        <v>11680</v>
      </c>
      <c r="L51" s="618" t="s">
        <v>12487</v>
      </c>
      <c r="M51" s="789">
        <v>151840</v>
      </c>
      <c r="N51" s="790">
        <v>35040</v>
      </c>
    </row>
    <row r="52" spans="1:14" ht="12" customHeight="1" x14ac:dyDescent="0.2">
      <c r="A52" s="776" t="s">
        <v>299</v>
      </c>
      <c r="B52" s="607" t="s">
        <v>300</v>
      </c>
      <c r="C52" s="607" t="s">
        <v>12617</v>
      </c>
      <c r="D52" s="618">
        <v>20207766250</v>
      </c>
      <c r="E52" s="601" t="s">
        <v>12485</v>
      </c>
      <c r="F52" s="621" t="s">
        <v>12618</v>
      </c>
      <c r="G52" s="788">
        <v>187</v>
      </c>
      <c r="H52" s="621">
        <v>1</v>
      </c>
      <c r="I52" s="618"/>
      <c r="J52" s="607" t="s">
        <v>12619</v>
      </c>
      <c r="K52" s="789">
        <v>5759.5</v>
      </c>
      <c r="L52" s="618" t="s">
        <v>12487</v>
      </c>
      <c r="M52" s="789">
        <v>149747</v>
      </c>
      <c r="N52" s="790">
        <v>23038</v>
      </c>
    </row>
    <row r="53" spans="1:14" ht="12" customHeight="1" x14ac:dyDescent="0.2">
      <c r="A53" s="776" t="s">
        <v>299</v>
      </c>
      <c r="B53" s="607" t="s">
        <v>300</v>
      </c>
      <c r="C53" s="607" t="s">
        <v>12620</v>
      </c>
      <c r="D53" s="607" t="s">
        <v>12621</v>
      </c>
      <c r="E53" s="601" t="s">
        <v>12485</v>
      </c>
      <c r="F53" s="621" t="s">
        <v>12622</v>
      </c>
      <c r="G53" s="788">
        <v>190</v>
      </c>
      <c r="H53" s="621">
        <v>1</v>
      </c>
      <c r="I53" s="618"/>
      <c r="J53" s="607" t="s">
        <v>12623</v>
      </c>
      <c r="K53" s="789">
        <v>11711.9</v>
      </c>
      <c r="L53" s="618" t="s">
        <v>12487</v>
      </c>
      <c r="M53" s="789">
        <v>99000</v>
      </c>
      <c r="N53" s="790">
        <f>35135.7+23424</f>
        <v>58559.7</v>
      </c>
    </row>
    <row r="54" spans="1:14" ht="12" customHeight="1" x14ac:dyDescent="0.2">
      <c r="A54" s="776" t="s">
        <v>299</v>
      </c>
      <c r="B54" s="607" t="s">
        <v>300</v>
      </c>
      <c r="C54" s="607" t="s">
        <v>12624</v>
      </c>
      <c r="D54" s="618">
        <v>20207766250</v>
      </c>
      <c r="E54" s="601" t="s">
        <v>12485</v>
      </c>
      <c r="F54" s="621" t="s">
        <v>12625</v>
      </c>
      <c r="G54" s="621">
        <v>180</v>
      </c>
      <c r="H54" s="621">
        <v>2</v>
      </c>
      <c r="I54" s="618"/>
      <c r="J54" s="607" t="s">
        <v>12626</v>
      </c>
      <c r="K54" s="789">
        <v>11000</v>
      </c>
      <c r="L54" s="618" t="s">
        <v>12487</v>
      </c>
      <c r="M54" s="789">
        <v>55000</v>
      </c>
      <c r="N54" s="790">
        <v>44000</v>
      </c>
    </row>
    <row r="55" spans="1:14" ht="12" customHeight="1" x14ac:dyDescent="0.2">
      <c r="A55" s="776" t="s">
        <v>299</v>
      </c>
      <c r="B55" s="607" t="s">
        <v>300</v>
      </c>
      <c r="C55" s="607" t="s">
        <v>12627</v>
      </c>
      <c r="D55" s="607" t="s">
        <v>12621</v>
      </c>
      <c r="E55" s="601" t="s">
        <v>12485</v>
      </c>
      <c r="F55" s="621" t="s">
        <v>12628</v>
      </c>
      <c r="G55" s="621">
        <v>195</v>
      </c>
      <c r="H55" s="621">
        <v>1</v>
      </c>
      <c r="I55" s="618"/>
      <c r="J55" s="607" t="s">
        <v>12623</v>
      </c>
      <c r="K55" s="789">
        <v>11473.1</v>
      </c>
      <c r="L55" s="618" t="s">
        <v>12487</v>
      </c>
      <c r="M55" s="789">
        <v>0</v>
      </c>
      <c r="N55" s="790">
        <f>34419.3+22946.4</f>
        <v>57365.700000000004</v>
      </c>
    </row>
    <row r="56" spans="1:14" ht="12" customHeight="1" x14ac:dyDescent="0.2">
      <c r="A56" s="791" t="s">
        <v>12629</v>
      </c>
      <c r="B56" s="671" t="s">
        <v>12630</v>
      </c>
      <c r="C56" s="601" t="s">
        <v>12631</v>
      </c>
      <c r="D56" s="618" t="s">
        <v>12632</v>
      </c>
      <c r="E56" s="618" t="s">
        <v>12581</v>
      </c>
      <c r="F56" s="618" t="s">
        <v>12633</v>
      </c>
      <c r="G56" s="618" t="s">
        <v>12634</v>
      </c>
      <c r="H56" s="621" t="s">
        <v>979</v>
      </c>
      <c r="I56" s="618"/>
      <c r="J56" s="607" t="s">
        <v>12635</v>
      </c>
      <c r="K56" s="789">
        <v>5000</v>
      </c>
      <c r="L56" s="618" t="s">
        <v>12487</v>
      </c>
      <c r="M56" s="774"/>
      <c r="N56" s="790">
        <v>10000</v>
      </c>
    </row>
    <row r="57" spans="1:14" ht="12" customHeight="1" x14ac:dyDescent="0.2">
      <c r="A57" s="791" t="s">
        <v>12629</v>
      </c>
      <c r="B57" s="671" t="s">
        <v>12630</v>
      </c>
      <c r="C57" s="601" t="s">
        <v>12636</v>
      </c>
      <c r="D57" s="618" t="s">
        <v>12637</v>
      </c>
      <c r="E57" s="618" t="s">
        <v>12581</v>
      </c>
      <c r="F57" s="618" t="s">
        <v>12638</v>
      </c>
      <c r="G57" s="618" t="s">
        <v>12639</v>
      </c>
      <c r="H57" s="621" t="s">
        <v>979</v>
      </c>
      <c r="I57" s="618"/>
      <c r="J57" s="607" t="s">
        <v>12640</v>
      </c>
      <c r="K57" s="789">
        <v>7000</v>
      </c>
      <c r="L57" s="618" t="s">
        <v>12487</v>
      </c>
      <c r="M57" s="774"/>
      <c r="N57" s="790">
        <v>14000</v>
      </c>
    </row>
    <row r="58" spans="1:14" ht="12" customHeight="1" x14ac:dyDescent="0.2">
      <c r="A58" s="792" t="s">
        <v>12641</v>
      </c>
      <c r="B58" s="793" t="s">
        <v>12642</v>
      </c>
      <c r="C58" s="782" t="s">
        <v>12643</v>
      </c>
      <c r="D58" s="618">
        <v>26692130</v>
      </c>
      <c r="E58" s="618" t="s">
        <v>12581</v>
      </c>
      <c r="F58" s="618">
        <v>13190265</v>
      </c>
      <c r="G58" s="794">
        <v>286.64</v>
      </c>
      <c r="H58" s="618">
        <v>5</v>
      </c>
      <c r="I58" s="618"/>
      <c r="J58" s="607" t="s">
        <v>12644</v>
      </c>
      <c r="K58" s="774">
        <v>6374.5</v>
      </c>
      <c r="L58" s="618" t="s">
        <v>12645</v>
      </c>
      <c r="M58" s="789">
        <v>147875.65100000001</v>
      </c>
      <c r="N58" s="790"/>
    </row>
    <row r="59" spans="1:14" ht="12" customHeight="1" x14ac:dyDescent="0.2">
      <c r="A59" s="792" t="s">
        <v>12646</v>
      </c>
      <c r="B59" s="793" t="s">
        <v>12642</v>
      </c>
      <c r="C59" s="782" t="s">
        <v>12643</v>
      </c>
      <c r="D59" s="618">
        <f t="shared" ref="D59:D60" si="0">D58</f>
        <v>26692130</v>
      </c>
      <c r="E59" s="618" t="s">
        <v>12581</v>
      </c>
      <c r="F59" s="618">
        <v>13190339</v>
      </c>
      <c r="G59" s="794">
        <v>173.48</v>
      </c>
      <c r="H59" s="618">
        <v>4</v>
      </c>
      <c r="I59" s="618"/>
      <c r="J59" s="607" t="s">
        <v>12647</v>
      </c>
      <c r="K59" s="774">
        <v>4052.75</v>
      </c>
      <c r="L59" s="618" t="s">
        <v>12645</v>
      </c>
      <c r="M59" s="789">
        <v>94015.694499999998</v>
      </c>
      <c r="N59" s="790"/>
    </row>
    <row r="60" spans="1:14" ht="12" customHeight="1" x14ac:dyDescent="0.2">
      <c r="A60" s="792" t="s">
        <v>12646</v>
      </c>
      <c r="B60" s="793" t="s">
        <v>12642</v>
      </c>
      <c r="C60" s="782" t="s">
        <v>12643</v>
      </c>
      <c r="D60" s="618">
        <f t="shared" si="0"/>
        <v>26692130</v>
      </c>
      <c r="E60" s="618" t="s">
        <v>12581</v>
      </c>
      <c r="F60" s="618">
        <f>F58</f>
        <v>13190265</v>
      </c>
      <c r="G60" s="794">
        <v>64.47</v>
      </c>
      <c r="H60" s="618">
        <v>1</v>
      </c>
      <c r="I60" s="618"/>
      <c r="J60" s="607" t="s">
        <v>12648</v>
      </c>
      <c r="K60" s="774">
        <v>1026.02</v>
      </c>
      <c r="L60" s="618" t="s">
        <v>12645</v>
      </c>
      <c r="M60" s="789">
        <v>23801.611959999998</v>
      </c>
      <c r="N60" s="790"/>
    </row>
    <row r="61" spans="1:14" ht="12" customHeight="1" x14ac:dyDescent="0.2">
      <c r="A61" s="792" t="s">
        <v>12646</v>
      </c>
      <c r="B61" s="793" t="s">
        <v>12642</v>
      </c>
      <c r="C61" s="782" t="s">
        <v>12649</v>
      </c>
      <c r="D61" s="618">
        <f>D64</f>
        <v>26692130</v>
      </c>
      <c r="E61" s="618" t="s">
        <v>12581</v>
      </c>
      <c r="F61" s="618">
        <v>13190272</v>
      </c>
      <c r="G61" s="794">
        <v>423.16</v>
      </c>
      <c r="H61" s="618">
        <v>5</v>
      </c>
      <c r="I61" s="618"/>
      <c r="J61" s="607" t="s">
        <v>12650</v>
      </c>
      <c r="K61" s="774">
        <v>4962.6000000000004</v>
      </c>
      <c r="L61" s="618" t="s">
        <v>12645</v>
      </c>
      <c r="M61" s="789">
        <v>147543.1646973351</v>
      </c>
      <c r="N61" s="790"/>
    </row>
    <row r="62" spans="1:14" ht="12" customHeight="1" x14ac:dyDescent="0.2">
      <c r="A62" s="792" t="s">
        <v>12646</v>
      </c>
      <c r="B62" s="793" t="s">
        <v>12642</v>
      </c>
      <c r="C62" s="782" t="s">
        <v>12651</v>
      </c>
      <c r="D62" s="618">
        <v>40958699</v>
      </c>
      <c r="E62" s="618" t="s">
        <v>12581</v>
      </c>
      <c r="F62" s="618">
        <v>41309547</v>
      </c>
      <c r="G62" s="794">
        <v>418</v>
      </c>
      <c r="H62" s="618">
        <v>2</v>
      </c>
      <c r="I62" s="618"/>
      <c r="J62" s="607" t="s">
        <v>12652</v>
      </c>
      <c r="K62" s="774">
        <v>6280</v>
      </c>
      <c r="L62" s="618" t="s">
        <v>12645</v>
      </c>
      <c r="M62" s="789">
        <v>167098.23999999999</v>
      </c>
      <c r="N62" s="790"/>
    </row>
    <row r="63" spans="1:14" ht="12" customHeight="1" x14ac:dyDescent="0.2">
      <c r="A63" s="792" t="s">
        <v>12646</v>
      </c>
      <c r="B63" s="793" t="s">
        <v>12642</v>
      </c>
      <c r="C63" s="782" t="s">
        <v>12643</v>
      </c>
      <c r="D63" s="618">
        <v>26692130</v>
      </c>
      <c r="E63" s="618" t="s">
        <v>12581</v>
      </c>
      <c r="F63" s="618">
        <v>13190265</v>
      </c>
      <c r="G63" s="794">
        <v>524.59</v>
      </c>
      <c r="H63" s="618">
        <v>10</v>
      </c>
      <c r="I63" s="618"/>
      <c r="J63" s="607" t="s">
        <v>12653</v>
      </c>
      <c r="K63" s="774">
        <v>10648.05</v>
      </c>
      <c r="L63" s="618" t="s">
        <v>12645</v>
      </c>
      <c r="M63" s="789">
        <v>245424.7139</v>
      </c>
      <c r="N63" s="790">
        <f t="shared" ref="N63:N69" si="1">+K63*6*$N$2</f>
        <v>0</v>
      </c>
    </row>
    <row r="64" spans="1:14" ht="12" customHeight="1" x14ac:dyDescent="0.2">
      <c r="A64" s="792" t="s">
        <v>12646</v>
      </c>
      <c r="B64" s="793" t="s">
        <v>12642</v>
      </c>
      <c r="C64" s="782" t="s">
        <v>12649</v>
      </c>
      <c r="D64" s="618">
        <v>26692130</v>
      </c>
      <c r="E64" s="618" t="s">
        <v>12581</v>
      </c>
      <c r="F64" s="618">
        <v>13190272</v>
      </c>
      <c r="G64" s="794">
        <v>423.16</v>
      </c>
      <c r="H64" s="618">
        <v>9</v>
      </c>
      <c r="I64" s="618"/>
      <c r="J64" s="607" t="s">
        <v>12653</v>
      </c>
      <c r="K64" s="774">
        <v>8333.7900000000009</v>
      </c>
      <c r="L64" s="618" t="s">
        <v>12645</v>
      </c>
      <c r="M64" s="789">
        <v>247772.08530266481</v>
      </c>
      <c r="N64" s="790">
        <f t="shared" si="1"/>
        <v>0</v>
      </c>
    </row>
    <row r="65" spans="1:14" ht="12" customHeight="1" x14ac:dyDescent="0.2">
      <c r="A65" s="792" t="s">
        <v>12646</v>
      </c>
      <c r="B65" s="793" t="s">
        <v>12642</v>
      </c>
      <c r="C65" s="782" t="s">
        <v>12654</v>
      </c>
      <c r="D65" s="787" t="s">
        <v>12655</v>
      </c>
      <c r="E65" s="618" t="s">
        <v>12581</v>
      </c>
      <c r="F65" s="618">
        <v>13190319</v>
      </c>
      <c r="G65" s="794">
        <v>99.01</v>
      </c>
      <c r="H65" s="618">
        <v>2</v>
      </c>
      <c r="I65" s="618"/>
      <c r="J65" s="607" t="s">
        <v>12653</v>
      </c>
      <c r="K65" s="774">
        <f>2033.67</f>
        <v>2033.67</v>
      </c>
      <c r="L65" s="618" t="s">
        <v>12645</v>
      </c>
      <c r="M65" s="789">
        <v>61317.179999999993</v>
      </c>
      <c r="N65" s="790">
        <f t="shared" si="1"/>
        <v>0</v>
      </c>
    </row>
    <row r="66" spans="1:14" ht="12" customHeight="1" x14ac:dyDescent="0.2">
      <c r="A66" s="792" t="s">
        <v>12646</v>
      </c>
      <c r="B66" s="793" t="s">
        <v>12642</v>
      </c>
      <c r="C66" s="782" t="s">
        <v>12656</v>
      </c>
      <c r="D66" s="787" t="s">
        <v>12657</v>
      </c>
      <c r="E66" s="618" t="s">
        <v>12581</v>
      </c>
      <c r="F66" s="618">
        <v>13190336</v>
      </c>
      <c r="G66" s="794">
        <v>62.23</v>
      </c>
      <c r="H66" s="618">
        <v>1</v>
      </c>
      <c r="I66" s="618"/>
      <c r="J66" s="607" t="s">
        <v>12653</v>
      </c>
      <c r="K66" s="774">
        <f>1257.91</f>
        <v>1257.9100000000001</v>
      </c>
      <c r="L66" s="618" t="s">
        <v>12645</v>
      </c>
      <c r="M66" s="789">
        <v>37927.259999999995</v>
      </c>
      <c r="N66" s="790">
        <f t="shared" si="1"/>
        <v>0</v>
      </c>
    </row>
    <row r="67" spans="1:14" ht="12" customHeight="1" x14ac:dyDescent="0.2">
      <c r="A67" s="792" t="s">
        <v>12646</v>
      </c>
      <c r="B67" s="793" t="s">
        <v>12642</v>
      </c>
      <c r="C67" s="782" t="s">
        <v>12658</v>
      </c>
      <c r="D67" s="787" t="s">
        <v>12659</v>
      </c>
      <c r="E67" s="618" t="s">
        <v>12581</v>
      </c>
      <c r="F67" s="618">
        <v>13190331</v>
      </c>
      <c r="G67" s="794">
        <v>62.23</v>
      </c>
      <c r="H67" s="618">
        <v>1</v>
      </c>
      <c r="I67" s="618"/>
      <c r="J67" s="607" t="s">
        <v>12660</v>
      </c>
      <c r="K67" s="774">
        <f>1300.23</f>
        <v>1300.23</v>
      </c>
      <c r="L67" s="618" t="s">
        <v>12645</v>
      </c>
      <c r="M67" s="789">
        <v>31317.85</v>
      </c>
      <c r="N67" s="790">
        <f t="shared" si="1"/>
        <v>0</v>
      </c>
    </row>
    <row r="68" spans="1:14" ht="12" customHeight="1" x14ac:dyDescent="0.2">
      <c r="A68" s="792" t="s">
        <v>12646</v>
      </c>
      <c r="B68" s="793" t="s">
        <v>12642</v>
      </c>
      <c r="C68" s="782" t="s">
        <v>12643</v>
      </c>
      <c r="D68" s="618">
        <v>26692130</v>
      </c>
      <c r="E68" s="618" t="s">
        <v>12581</v>
      </c>
      <c r="F68" s="618">
        <v>41233168</v>
      </c>
      <c r="G68" s="794">
        <v>99.41</v>
      </c>
      <c r="H68" s="618">
        <v>1</v>
      </c>
      <c r="I68" s="618"/>
      <c r="J68" s="607" t="s">
        <v>12660</v>
      </c>
      <c r="K68" s="774">
        <v>1581.62</v>
      </c>
      <c r="L68" s="618" t="s">
        <v>12645</v>
      </c>
      <c r="M68" s="789">
        <v>36690.420760000001</v>
      </c>
      <c r="N68" s="790">
        <f t="shared" si="1"/>
        <v>0</v>
      </c>
    </row>
    <row r="69" spans="1:14" ht="12" customHeight="1" x14ac:dyDescent="0.2">
      <c r="A69" s="792" t="s">
        <v>12646</v>
      </c>
      <c r="B69" s="793" t="s">
        <v>12642</v>
      </c>
      <c r="C69" s="782" t="s">
        <v>12661</v>
      </c>
      <c r="D69" s="787" t="s">
        <v>12662</v>
      </c>
      <c r="E69" s="618" t="s">
        <v>12581</v>
      </c>
      <c r="F69" s="618">
        <v>13190326</v>
      </c>
      <c r="G69" s="794">
        <v>97.83</v>
      </c>
      <c r="H69" s="618">
        <v>1</v>
      </c>
      <c r="I69" s="618"/>
      <c r="J69" s="607" t="s">
        <v>12663</v>
      </c>
      <c r="K69" s="774">
        <f>2123.46</f>
        <v>2123.46</v>
      </c>
      <c r="L69" s="618" t="s">
        <v>12645</v>
      </c>
      <c r="M69" s="789">
        <v>35744.199999999997</v>
      </c>
      <c r="N69" s="790">
        <f t="shared" si="1"/>
        <v>0</v>
      </c>
    </row>
    <row r="70" spans="1:14" ht="12" customHeight="1" x14ac:dyDescent="0.2">
      <c r="A70" s="773" t="s">
        <v>307</v>
      </c>
      <c r="B70" s="601" t="s">
        <v>308</v>
      </c>
      <c r="C70" s="601" t="s">
        <v>12664</v>
      </c>
      <c r="D70" s="601" t="s">
        <v>12665</v>
      </c>
      <c r="E70" s="601" t="s">
        <v>12581</v>
      </c>
      <c r="F70" s="667" t="s">
        <v>12666</v>
      </c>
      <c r="G70" s="601" t="s">
        <v>12667</v>
      </c>
      <c r="H70" s="601" t="s">
        <v>979</v>
      </c>
      <c r="I70" s="601"/>
      <c r="J70" s="601" t="s">
        <v>12668</v>
      </c>
      <c r="K70" s="784">
        <v>13000</v>
      </c>
      <c r="L70" s="601" t="s">
        <v>12487</v>
      </c>
      <c r="M70" s="784">
        <v>156000</v>
      </c>
      <c r="N70" s="778">
        <v>52000</v>
      </c>
    </row>
    <row r="71" spans="1:14" ht="12" customHeight="1" x14ac:dyDescent="0.2">
      <c r="A71" s="773" t="s">
        <v>307</v>
      </c>
      <c r="B71" s="601" t="s">
        <v>308</v>
      </c>
      <c r="C71" s="601" t="s">
        <v>12669</v>
      </c>
      <c r="D71" s="601" t="s">
        <v>12670</v>
      </c>
      <c r="E71" s="601" t="s">
        <v>12581</v>
      </c>
      <c r="F71" s="667" t="s">
        <v>12671</v>
      </c>
      <c r="G71" s="601" t="s">
        <v>12672</v>
      </c>
      <c r="H71" s="601" t="s">
        <v>979</v>
      </c>
      <c r="I71" s="601"/>
      <c r="J71" s="601" t="s">
        <v>12673</v>
      </c>
      <c r="K71" s="784">
        <v>3000</v>
      </c>
      <c r="L71" s="601" t="s">
        <v>12487</v>
      </c>
      <c r="M71" s="784">
        <v>36000</v>
      </c>
      <c r="N71" s="778">
        <v>15000</v>
      </c>
    </row>
    <row r="72" spans="1:14" ht="12" customHeight="1" x14ac:dyDescent="0.2">
      <c r="A72" s="773" t="s">
        <v>307</v>
      </c>
      <c r="B72" s="601" t="s">
        <v>308</v>
      </c>
      <c r="C72" s="601" t="s">
        <v>12674</v>
      </c>
      <c r="D72" s="601" t="s">
        <v>12675</v>
      </c>
      <c r="E72" s="601" t="s">
        <v>12581</v>
      </c>
      <c r="F72" s="667" t="s">
        <v>12676</v>
      </c>
      <c r="G72" s="601" t="s">
        <v>12677</v>
      </c>
      <c r="H72" s="601" t="s">
        <v>979</v>
      </c>
      <c r="I72" s="601"/>
      <c r="J72" s="601" t="s">
        <v>12678</v>
      </c>
      <c r="K72" s="784">
        <v>8500</v>
      </c>
      <c r="L72" s="601" t="s">
        <v>12487</v>
      </c>
      <c r="M72" s="784">
        <v>102000</v>
      </c>
      <c r="N72" s="778">
        <v>51000</v>
      </c>
    </row>
    <row r="73" spans="1:14" ht="12" customHeight="1" x14ac:dyDescent="0.2">
      <c r="A73" s="773" t="s">
        <v>307</v>
      </c>
      <c r="B73" s="601" t="s">
        <v>308</v>
      </c>
      <c r="C73" s="601" t="s">
        <v>12679</v>
      </c>
      <c r="D73" s="601" t="s">
        <v>12680</v>
      </c>
      <c r="E73" s="601" t="s">
        <v>12581</v>
      </c>
      <c r="F73" s="667" t="s">
        <v>12681</v>
      </c>
      <c r="G73" s="601" t="s">
        <v>12682</v>
      </c>
      <c r="H73" s="601" t="s">
        <v>979</v>
      </c>
      <c r="I73" s="601"/>
      <c r="J73" s="601" t="s">
        <v>12683</v>
      </c>
      <c r="K73" s="784">
        <v>5500</v>
      </c>
      <c r="L73" s="601" t="s">
        <v>12487</v>
      </c>
      <c r="M73" s="784">
        <v>66000</v>
      </c>
      <c r="N73" s="778">
        <v>33000</v>
      </c>
    </row>
    <row r="74" spans="1:14" ht="12" customHeight="1" x14ac:dyDescent="0.2">
      <c r="A74" s="773" t="s">
        <v>307</v>
      </c>
      <c r="B74" s="601" t="s">
        <v>308</v>
      </c>
      <c r="C74" s="601" t="s">
        <v>12684</v>
      </c>
      <c r="D74" s="601" t="s">
        <v>12685</v>
      </c>
      <c r="E74" s="601" t="s">
        <v>12581</v>
      </c>
      <c r="F74" s="667" t="s">
        <v>12686</v>
      </c>
      <c r="G74" s="601" t="s">
        <v>12687</v>
      </c>
      <c r="H74" s="601" t="s">
        <v>979</v>
      </c>
      <c r="I74" s="601"/>
      <c r="J74" s="604" t="s">
        <v>12688</v>
      </c>
      <c r="K74" s="784">
        <v>11000</v>
      </c>
      <c r="L74" s="601" t="s">
        <v>12487</v>
      </c>
      <c r="M74" s="784">
        <v>99000</v>
      </c>
      <c r="N74" s="778">
        <v>0</v>
      </c>
    </row>
    <row r="75" spans="1:14" ht="12" customHeight="1" x14ac:dyDescent="0.2">
      <c r="A75" s="773" t="s">
        <v>307</v>
      </c>
      <c r="B75" s="601" t="s">
        <v>308</v>
      </c>
      <c r="C75" s="601" t="s">
        <v>12689</v>
      </c>
      <c r="D75" s="601" t="s">
        <v>12690</v>
      </c>
      <c r="E75" s="601" t="s">
        <v>12581</v>
      </c>
      <c r="F75" s="667" t="s">
        <v>12691</v>
      </c>
      <c r="G75" s="601" t="s">
        <v>12692</v>
      </c>
      <c r="H75" s="601">
        <v>1</v>
      </c>
      <c r="I75" s="601"/>
      <c r="J75" s="601" t="s">
        <v>12693</v>
      </c>
      <c r="K75" s="784">
        <v>10500</v>
      </c>
      <c r="L75" s="601" t="s">
        <v>12487</v>
      </c>
      <c r="M75" s="784">
        <v>126000</v>
      </c>
      <c r="N75" s="778">
        <v>52500</v>
      </c>
    </row>
    <row r="76" spans="1:14" ht="12" customHeight="1" x14ac:dyDescent="0.2">
      <c r="A76" s="773" t="s">
        <v>307</v>
      </c>
      <c r="B76" s="601" t="s">
        <v>308</v>
      </c>
      <c r="C76" s="601" t="s">
        <v>12694</v>
      </c>
      <c r="D76" s="601" t="s">
        <v>12695</v>
      </c>
      <c r="E76" s="601" t="s">
        <v>12581</v>
      </c>
      <c r="F76" s="667" t="s">
        <v>12696</v>
      </c>
      <c r="G76" s="601" t="s">
        <v>12697</v>
      </c>
      <c r="H76" s="601" t="s">
        <v>979</v>
      </c>
      <c r="I76" s="618"/>
      <c r="J76" s="607" t="s">
        <v>12698</v>
      </c>
      <c r="K76" s="784">
        <v>1200</v>
      </c>
      <c r="L76" s="618" t="s">
        <v>12487</v>
      </c>
      <c r="M76" s="777">
        <v>14400</v>
      </c>
      <c r="N76" s="778">
        <v>6000</v>
      </c>
    </row>
    <row r="77" spans="1:14" ht="12" customHeight="1" x14ac:dyDescent="0.2">
      <c r="A77" s="773" t="s">
        <v>307</v>
      </c>
      <c r="B77" s="601" t="s">
        <v>308</v>
      </c>
      <c r="C77" s="601" t="s">
        <v>12699</v>
      </c>
      <c r="D77" s="601" t="s">
        <v>12700</v>
      </c>
      <c r="E77" s="601" t="s">
        <v>12581</v>
      </c>
      <c r="F77" s="667" t="s">
        <v>12701</v>
      </c>
      <c r="G77" s="601" t="s">
        <v>12702</v>
      </c>
      <c r="H77" s="601">
        <v>1</v>
      </c>
      <c r="I77" s="601"/>
      <c r="J77" s="601" t="s">
        <v>12703</v>
      </c>
      <c r="K77" s="784">
        <v>4000</v>
      </c>
      <c r="L77" s="601" t="s">
        <v>12487</v>
      </c>
      <c r="M77" s="784">
        <v>48000</v>
      </c>
      <c r="N77" s="778">
        <v>16000</v>
      </c>
    </row>
    <row r="78" spans="1:14" ht="12" customHeight="1" x14ac:dyDescent="0.2">
      <c r="A78" s="773" t="s">
        <v>307</v>
      </c>
      <c r="B78" s="601" t="s">
        <v>308</v>
      </c>
      <c r="C78" s="601" t="s">
        <v>12704</v>
      </c>
      <c r="D78" s="601" t="s">
        <v>12705</v>
      </c>
      <c r="E78" s="601" t="s">
        <v>12581</v>
      </c>
      <c r="F78" s="667" t="s">
        <v>12706</v>
      </c>
      <c r="G78" s="601" t="s">
        <v>12707</v>
      </c>
      <c r="H78" s="601">
        <v>3</v>
      </c>
      <c r="I78" s="601"/>
      <c r="J78" s="601" t="s">
        <v>12708</v>
      </c>
      <c r="K78" s="784">
        <v>1000</v>
      </c>
      <c r="L78" s="601" t="s">
        <v>12487</v>
      </c>
      <c r="M78" s="784">
        <v>12000</v>
      </c>
      <c r="N78" s="778">
        <v>2000</v>
      </c>
    </row>
    <row r="79" spans="1:14" ht="12" customHeight="1" x14ac:dyDescent="0.2">
      <c r="A79" s="773" t="s">
        <v>307</v>
      </c>
      <c r="B79" s="601" t="s">
        <v>308</v>
      </c>
      <c r="C79" s="601" t="s">
        <v>12709</v>
      </c>
      <c r="D79" s="601" t="s">
        <v>12710</v>
      </c>
      <c r="E79" s="601" t="s">
        <v>12581</v>
      </c>
      <c r="F79" s="667" t="s">
        <v>12711</v>
      </c>
      <c r="G79" s="601" t="s">
        <v>12712</v>
      </c>
      <c r="H79" s="601" t="s">
        <v>979</v>
      </c>
      <c r="I79" s="601"/>
      <c r="J79" s="601" t="s">
        <v>12713</v>
      </c>
      <c r="K79" s="784">
        <v>6840</v>
      </c>
      <c r="L79" s="601" t="s">
        <v>12487</v>
      </c>
      <c r="M79" s="784">
        <v>82080</v>
      </c>
      <c r="N79" s="778">
        <v>27360</v>
      </c>
    </row>
    <row r="80" spans="1:14" ht="12" customHeight="1" x14ac:dyDescent="0.2">
      <c r="A80" s="773" t="s">
        <v>307</v>
      </c>
      <c r="B80" s="601" t="s">
        <v>308</v>
      </c>
      <c r="C80" s="601" t="s">
        <v>12714</v>
      </c>
      <c r="D80" s="601" t="s">
        <v>12715</v>
      </c>
      <c r="E80" s="601" t="s">
        <v>12581</v>
      </c>
      <c r="F80" s="667" t="s">
        <v>12716</v>
      </c>
      <c r="G80" s="601" t="s">
        <v>12717</v>
      </c>
      <c r="H80" s="601">
        <v>2</v>
      </c>
      <c r="I80" s="601"/>
      <c r="J80" s="601" t="s">
        <v>12718</v>
      </c>
      <c r="K80" s="784">
        <v>5500</v>
      </c>
      <c r="L80" s="601" t="s">
        <v>12487</v>
      </c>
      <c r="M80" s="784">
        <v>66000</v>
      </c>
      <c r="N80" s="778">
        <v>33000</v>
      </c>
    </row>
    <row r="81" spans="1:14" ht="12" customHeight="1" x14ac:dyDescent="0.2">
      <c r="A81" s="773" t="s">
        <v>307</v>
      </c>
      <c r="B81" s="601" t="s">
        <v>308</v>
      </c>
      <c r="C81" s="601" t="s">
        <v>12719</v>
      </c>
      <c r="D81" s="601" t="s">
        <v>12720</v>
      </c>
      <c r="E81" s="601" t="s">
        <v>12581</v>
      </c>
      <c r="F81" s="667" t="s">
        <v>12721</v>
      </c>
      <c r="G81" s="601" t="s">
        <v>12722</v>
      </c>
      <c r="H81" s="601" t="s">
        <v>979</v>
      </c>
      <c r="I81" s="601"/>
      <c r="J81" s="601" t="s">
        <v>12723</v>
      </c>
      <c r="K81" s="784">
        <v>7500</v>
      </c>
      <c r="L81" s="601" t="s">
        <v>12487</v>
      </c>
      <c r="M81" s="784">
        <v>90000</v>
      </c>
      <c r="N81" s="778">
        <v>37500</v>
      </c>
    </row>
    <row r="82" spans="1:14" ht="12" customHeight="1" x14ac:dyDescent="0.2">
      <c r="A82" s="773" t="s">
        <v>307</v>
      </c>
      <c r="B82" s="601" t="s">
        <v>308</v>
      </c>
      <c r="C82" s="601" t="s">
        <v>12724</v>
      </c>
      <c r="D82" s="601" t="s">
        <v>12725</v>
      </c>
      <c r="E82" s="601" t="s">
        <v>12581</v>
      </c>
      <c r="F82" s="667" t="s">
        <v>12726</v>
      </c>
      <c r="G82" s="601" t="s">
        <v>12672</v>
      </c>
      <c r="H82" s="601">
        <v>1</v>
      </c>
      <c r="I82" s="601"/>
      <c r="J82" s="601" t="s">
        <v>12727</v>
      </c>
      <c r="K82" s="784">
        <v>5000</v>
      </c>
      <c r="L82" s="601" t="s">
        <v>12487</v>
      </c>
      <c r="M82" s="784">
        <v>60000</v>
      </c>
      <c r="N82" s="778">
        <v>25000</v>
      </c>
    </row>
    <row r="83" spans="1:14" ht="12" customHeight="1" x14ac:dyDescent="0.2">
      <c r="A83" s="773" t="s">
        <v>307</v>
      </c>
      <c r="B83" s="601" t="s">
        <v>308</v>
      </c>
      <c r="C83" s="601" t="s">
        <v>12728</v>
      </c>
      <c r="D83" s="601" t="s">
        <v>12729</v>
      </c>
      <c r="E83" s="601" t="s">
        <v>12581</v>
      </c>
      <c r="F83" s="667" t="s">
        <v>12730</v>
      </c>
      <c r="G83" s="601" t="s">
        <v>12731</v>
      </c>
      <c r="H83" s="601" t="s">
        <v>979</v>
      </c>
      <c r="I83" s="601"/>
      <c r="J83" s="601" t="s">
        <v>12732</v>
      </c>
      <c r="K83" s="784">
        <v>13800</v>
      </c>
      <c r="L83" s="601" t="s">
        <v>12487</v>
      </c>
      <c r="M83" s="784">
        <v>165600</v>
      </c>
      <c r="N83" s="778">
        <v>55200</v>
      </c>
    </row>
    <row r="84" spans="1:14" ht="12" customHeight="1" x14ac:dyDescent="0.2">
      <c r="A84" s="773" t="s">
        <v>307</v>
      </c>
      <c r="B84" s="601" t="s">
        <v>308</v>
      </c>
      <c r="C84" s="601" t="s">
        <v>12733</v>
      </c>
      <c r="D84" s="601" t="s">
        <v>12734</v>
      </c>
      <c r="E84" s="601" t="s">
        <v>12581</v>
      </c>
      <c r="F84" s="667" t="s">
        <v>12735</v>
      </c>
      <c r="G84" s="601" t="s">
        <v>12736</v>
      </c>
      <c r="H84" s="601">
        <v>3</v>
      </c>
      <c r="I84" s="601"/>
      <c r="J84" s="604" t="s">
        <v>12737</v>
      </c>
      <c r="K84" s="784">
        <v>5000</v>
      </c>
      <c r="L84" s="601" t="s">
        <v>12487</v>
      </c>
      <c r="M84" s="784">
        <v>60000</v>
      </c>
      <c r="N84" s="778">
        <v>0</v>
      </c>
    </row>
    <row r="85" spans="1:14" ht="12" customHeight="1" x14ac:dyDescent="0.2">
      <c r="A85" s="773" t="s">
        <v>307</v>
      </c>
      <c r="B85" s="601" t="s">
        <v>308</v>
      </c>
      <c r="C85" s="601" t="s">
        <v>12738</v>
      </c>
      <c r="D85" s="601" t="s">
        <v>12739</v>
      </c>
      <c r="E85" s="601" t="s">
        <v>12581</v>
      </c>
      <c r="F85" s="667" t="s">
        <v>12740</v>
      </c>
      <c r="G85" s="601" t="s">
        <v>12741</v>
      </c>
      <c r="H85" s="601" t="s">
        <v>979</v>
      </c>
      <c r="I85" s="601"/>
      <c r="J85" s="601" t="s">
        <v>12742</v>
      </c>
      <c r="K85" s="784">
        <v>14500</v>
      </c>
      <c r="L85" s="601" t="s">
        <v>12487</v>
      </c>
      <c r="M85" s="784">
        <v>174000</v>
      </c>
      <c r="N85" s="778">
        <v>87000</v>
      </c>
    </row>
    <row r="86" spans="1:14" ht="12" customHeight="1" x14ac:dyDescent="0.2">
      <c r="A86" s="773" t="s">
        <v>307</v>
      </c>
      <c r="B86" s="601" t="s">
        <v>308</v>
      </c>
      <c r="C86" s="601" t="s">
        <v>12743</v>
      </c>
      <c r="D86" s="601" t="s">
        <v>12744</v>
      </c>
      <c r="E86" s="601" t="s">
        <v>12581</v>
      </c>
      <c r="F86" s="667" t="s">
        <v>12745</v>
      </c>
      <c r="G86" s="601" t="s">
        <v>12746</v>
      </c>
      <c r="H86" s="601">
        <v>2</v>
      </c>
      <c r="I86" s="601"/>
      <c r="J86" s="604" t="s">
        <v>12747</v>
      </c>
      <c r="K86" s="784">
        <v>5000</v>
      </c>
      <c r="L86" s="601" t="s">
        <v>12487</v>
      </c>
      <c r="M86" s="784">
        <v>5000</v>
      </c>
      <c r="N86" s="778">
        <v>0</v>
      </c>
    </row>
    <row r="87" spans="1:14" ht="12" customHeight="1" x14ac:dyDescent="0.2">
      <c r="A87" s="773" t="s">
        <v>307</v>
      </c>
      <c r="B87" s="601" t="s">
        <v>308</v>
      </c>
      <c r="C87" s="601" t="s">
        <v>12748</v>
      </c>
      <c r="D87" s="601" t="s">
        <v>12749</v>
      </c>
      <c r="E87" s="601" t="s">
        <v>12581</v>
      </c>
      <c r="F87" s="667" t="s">
        <v>12750</v>
      </c>
      <c r="G87" s="601" t="s">
        <v>12751</v>
      </c>
      <c r="H87" s="601">
        <v>1</v>
      </c>
      <c r="I87" s="601"/>
      <c r="J87" s="601" t="s">
        <v>12752</v>
      </c>
      <c r="K87" s="784">
        <v>7000</v>
      </c>
      <c r="L87" s="601" t="s">
        <v>12487</v>
      </c>
      <c r="M87" s="777">
        <v>72000</v>
      </c>
      <c r="N87" s="778">
        <v>49000</v>
      </c>
    </row>
    <row r="88" spans="1:14" ht="12" customHeight="1" x14ac:dyDescent="0.2">
      <c r="A88" s="773" t="s">
        <v>307</v>
      </c>
      <c r="B88" s="601" t="s">
        <v>308</v>
      </c>
      <c r="C88" s="601" t="s">
        <v>12753</v>
      </c>
      <c r="D88" s="601" t="s">
        <v>12754</v>
      </c>
      <c r="E88" s="601" t="s">
        <v>12581</v>
      </c>
      <c r="F88" s="667" t="s">
        <v>12755</v>
      </c>
      <c r="G88" s="607" t="s">
        <v>12756</v>
      </c>
      <c r="H88" s="607">
        <v>2</v>
      </c>
      <c r="I88" s="601"/>
      <c r="J88" s="604" t="s">
        <v>12757</v>
      </c>
      <c r="K88" s="784">
        <v>3250</v>
      </c>
      <c r="L88" s="601" t="s">
        <v>12487</v>
      </c>
      <c r="M88" s="784">
        <v>9750</v>
      </c>
      <c r="N88" s="778">
        <v>0</v>
      </c>
    </row>
    <row r="89" spans="1:14" ht="12" customHeight="1" x14ac:dyDescent="0.2">
      <c r="A89" s="773" t="s">
        <v>307</v>
      </c>
      <c r="B89" s="601" t="s">
        <v>308</v>
      </c>
      <c r="C89" s="601" t="s">
        <v>12758</v>
      </c>
      <c r="D89" s="601" t="s">
        <v>12759</v>
      </c>
      <c r="E89" s="601" t="s">
        <v>12581</v>
      </c>
      <c r="F89" s="667" t="s">
        <v>12760</v>
      </c>
      <c r="G89" s="601" t="s">
        <v>12761</v>
      </c>
      <c r="H89" s="601">
        <v>1</v>
      </c>
      <c r="I89" s="618"/>
      <c r="J89" s="607" t="s">
        <v>12762</v>
      </c>
      <c r="K89" s="784">
        <v>2600</v>
      </c>
      <c r="L89" s="618" t="s">
        <v>12487</v>
      </c>
      <c r="M89" s="784">
        <v>31200</v>
      </c>
      <c r="N89" s="778">
        <v>7800</v>
      </c>
    </row>
    <row r="90" spans="1:14" ht="12" customHeight="1" x14ac:dyDescent="0.2">
      <c r="A90" s="773" t="s">
        <v>307</v>
      </c>
      <c r="B90" s="601" t="s">
        <v>308</v>
      </c>
      <c r="C90" s="601" t="s">
        <v>12763</v>
      </c>
      <c r="D90" s="601" t="s">
        <v>12764</v>
      </c>
      <c r="E90" s="601" t="s">
        <v>12581</v>
      </c>
      <c r="F90" s="667">
        <v>11002368</v>
      </c>
      <c r="G90" s="601" t="s">
        <v>12765</v>
      </c>
      <c r="H90" s="601">
        <v>2</v>
      </c>
      <c r="I90" s="601"/>
      <c r="J90" s="601" t="s">
        <v>12766</v>
      </c>
      <c r="K90" s="784">
        <v>6000</v>
      </c>
      <c r="L90" s="601" t="s">
        <v>12487</v>
      </c>
      <c r="M90" s="784">
        <v>72000</v>
      </c>
      <c r="N90" s="778">
        <v>30000</v>
      </c>
    </row>
    <row r="91" spans="1:14" ht="12" customHeight="1" x14ac:dyDescent="0.2">
      <c r="A91" s="773" t="s">
        <v>307</v>
      </c>
      <c r="B91" s="601" t="s">
        <v>308</v>
      </c>
      <c r="C91" s="601" t="s">
        <v>12767</v>
      </c>
      <c r="D91" s="601" t="s">
        <v>12768</v>
      </c>
      <c r="E91" s="601" t="s">
        <v>12581</v>
      </c>
      <c r="F91" s="667" t="s">
        <v>12769</v>
      </c>
      <c r="G91" s="601" t="s">
        <v>12770</v>
      </c>
      <c r="H91" s="601">
        <v>2</v>
      </c>
      <c r="I91" s="601"/>
      <c r="J91" s="601" t="s">
        <v>12771</v>
      </c>
      <c r="K91" s="784">
        <v>6000</v>
      </c>
      <c r="L91" s="601" t="s">
        <v>12487</v>
      </c>
      <c r="M91" s="784">
        <v>72000</v>
      </c>
      <c r="N91" s="778">
        <v>30000</v>
      </c>
    </row>
    <row r="92" spans="1:14" ht="12" customHeight="1" x14ac:dyDescent="0.2">
      <c r="A92" s="773" t="s">
        <v>307</v>
      </c>
      <c r="B92" s="601" t="s">
        <v>308</v>
      </c>
      <c r="C92" s="601" t="s">
        <v>12772</v>
      </c>
      <c r="D92" s="601" t="s">
        <v>12773</v>
      </c>
      <c r="E92" s="601" t="s">
        <v>12581</v>
      </c>
      <c r="F92" s="667" t="s">
        <v>12774</v>
      </c>
      <c r="G92" s="601" t="s">
        <v>12775</v>
      </c>
      <c r="H92" s="601">
        <v>5</v>
      </c>
      <c r="I92" s="601"/>
      <c r="J92" s="601" t="s">
        <v>12776</v>
      </c>
      <c r="K92" s="784">
        <v>6000</v>
      </c>
      <c r="L92" s="601" t="s">
        <v>12487</v>
      </c>
      <c r="M92" s="784">
        <v>72000</v>
      </c>
      <c r="N92" s="778">
        <v>30000</v>
      </c>
    </row>
    <row r="93" spans="1:14" ht="12" customHeight="1" x14ac:dyDescent="0.2">
      <c r="A93" s="773" t="s">
        <v>307</v>
      </c>
      <c r="B93" s="601" t="s">
        <v>308</v>
      </c>
      <c r="C93" s="601" t="s">
        <v>12777</v>
      </c>
      <c r="D93" s="601" t="s">
        <v>12778</v>
      </c>
      <c r="E93" s="601" t="s">
        <v>12581</v>
      </c>
      <c r="F93" s="667" t="s">
        <v>12779</v>
      </c>
      <c r="G93" s="601" t="s">
        <v>12780</v>
      </c>
      <c r="H93" s="601" t="s">
        <v>979</v>
      </c>
      <c r="I93" s="618"/>
      <c r="J93" s="607" t="s">
        <v>12781</v>
      </c>
      <c r="K93" s="784">
        <v>650</v>
      </c>
      <c r="L93" s="618" t="s">
        <v>12487</v>
      </c>
      <c r="M93" s="784">
        <v>7150</v>
      </c>
      <c r="N93" s="778">
        <v>0</v>
      </c>
    </row>
    <row r="94" spans="1:14" ht="12" customHeight="1" x14ac:dyDescent="0.2">
      <c r="A94" s="773" t="s">
        <v>307</v>
      </c>
      <c r="B94" s="601" t="s">
        <v>308</v>
      </c>
      <c r="C94" s="601" t="s">
        <v>12782</v>
      </c>
      <c r="D94" s="601" t="s">
        <v>12783</v>
      </c>
      <c r="E94" s="601" t="s">
        <v>12581</v>
      </c>
      <c r="F94" s="667" t="s">
        <v>12784</v>
      </c>
      <c r="G94" s="601" t="s">
        <v>12780</v>
      </c>
      <c r="H94" s="601" t="s">
        <v>979</v>
      </c>
      <c r="I94" s="601"/>
      <c r="J94" s="601" t="s">
        <v>12785</v>
      </c>
      <c r="K94" s="784">
        <v>1000</v>
      </c>
      <c r="L94" s="601" t="s">
        <v>12487</v>
      </c>
      <c r="M94" s="784">
        <v>12000</v>
      </c>
      <c r="N94" s="778">
        <v>6000</v>
      </c>
    </row>
    <row r="95" spans="1:14" ht="12" customHeight="1" x14ac:dyDescent="0.2">
      <c r="A95" s="773" t="s">
        <v>307</v>
      </c>
      <c r="B95" s="601" t="s">
        <v>308</v>
      </c>
      <c r="C95" s="601" t="s">
        <v>12786</v>
      </c>
      <c r="D95" s="601" t="s">
        <v>12787</v>
      </c>
      <c r="E95" s="601" t="s">
        <v>12581</v>
      </c>
      <c r="F95" s="667" t="s">
        <v>12788</v>
      </c>
      <c r="G95" s="601" t="s">
        <v>12789</v>
      </c>
      <c r="H95" s="601" t="s">
        <v>979</v>
      </c>
      <c r="I95" s="601"/>
      <c r="J95" s="601" t="s">
        <v>12790</v>
      </c>
      <c r="K95" s="784">
        <v>5200</v>
      </c>
      <c r="L95" s="601" t="s">
        <v>12487</v>
      </c>
      <c r="M95" s="784">
        <v>62400</v>
      </c>
      <c r="N95" s="778">
        <v>26000</v>
      </c>
    </row>
    <row r="96" spans="1:14" ht="12" customHeight="1" x14ac:dyDescent="0.2">
      <c r="A96" s="773" t="s">
        <v>307</v>
      </c>
      <c r="B96" s="601" t="s">
        <v>308</v>
      </c>
      <c r="C96" s="601" t="s">
        <v>12791</v>
      </c>
      <c r="D96" s="601" t="s">
        <v>12792</v>
      </c>
      <c r="E96" s="601" t="s">
        <v>12581</v>
      </c>
      <c r="F96" s="667">
        <v>11001072</v>
      </c>
      <c r="G96" s="601" t="s">
        <v>12793</v>
      </c>
      <c r="H96" s="601" t="s">
        <v>979</v>
      </c>
      <c r="I96" s="601"/>
      <c r="J96" s="601" t="s">
        <v>12794</v>
      </c>
      <c r="K96" s="784">
        <v>10000</v>
      </c>
      <c r="L96" s="601" t="s">
        <v>12487</v>
      </c>
      <c r="M96" s="784">
        <v>120000</v>
      </c>
      <c r="N96" s="778">
        <v>30000</v>
      </c>
    </row>
    <row r="97" spans="1:14" ht="12" customHeight="1" x14ac:dyDescent="0.2">
      <c r="A97" s="773" t="s">
        <v>307</v>
      </c>
      <c r="B97" s="601" t="s">
        <v>308</v>
      </c>
      <c r="C97" s="601" t="s">
        <v>12795</v>
      </c>
      <c r="D97" s="601" t="s">
        <v>12796</v>
      </c>
      <c r="E97" s="601" t="s">
        <v>12581</v>
      </c>
      <c r="F97" s="667" t="s">
        <v>12779</v>
      </c>
      <c r="G97" s="601" t="s">
        <v>12797</v>
      </c>
      <c r="H97" s="601">
        <v>15</v>
      </c>
      <c r="I97" s="618"/>
      <c r="J97" s="607" t="s">
        <v>12798</v>
      </c>
      <c r="K97" s="784">
        <v>3097.5</v>
      </c>
      <c r="L97" s="618" t="s">
        <v>12487</v>
      </c>
      <c r="M97" s="777">
        <v>0</v>
      </c>
      <c r="N97" s="778">
        <v>9292.5</v>
      </c>
    </row>
    <row r="98" spans="1:14" ht="12" customHeight="1" x14ac:dyDescent="0.2">
      <c r="A98" s="773" t="s">
        <v>307</v>
      </c>
      <c r="B98" s="601" t="s">
        <v>308</v>
      </c>
      <c r="C98" s="601" t="s">
        <v>12799</v>
      </c>
      <c r="D98" s="601" t="s">
        <v>12800</v>
      </c>
      <c r="E98" s="601" t="s">
        <v>12581</v>
      </c>
      <c r="F98" s="667" t="s">
        <v>12779</v>
      </c>
      <c r="G98" s="601" t="s">
        <v>12801</v>
      </c>
      <c r="H98" s="601" t="s">
        <v>979</v>
      </c>
      <c r="I98" s="601"/>
      <c r="J98" s="604" t="s">
        <v>12802</v>
      </c>
      <c r="K98" s="784">
        <v>3363</v>
      </c>
      <c r="L98" s="601" t="s">
        <v>12487</v>
      </c>
      <c r="M98" s="784">
        <v>6726</v>
      </c>
      <c r="N98" s="778">
        <v>0</v>
      </c>
    </row>
    <row r="99" spans="1:14" ht="12" customHeight="1" x14ac:dyDescent="0.2">
      <c r="A99" s="773" t="s">
        <v>307</v>
      </c>
      <c r="B99" s="601" t="s">
        <v>308</v>
      </c>
      <c r="C99" s="601" t="s">
        <v>12803</v>
      </c>
      <c r="D99" s="601" t="s">
        <v>12804</v>
      </c>
      <c r="E99" s="601" t="s">
        <v>12581</v>
      </c>
      <c r="F99" s="667">
        <v>11016588</v>
      </c>
      <c r="G99" s="601" t="s">
        <v>12805</v>
      </c>
      <c r="H99" s="601">
        <v>1</v>
      </c>
      <c r="I99" s="618"/>
      <c r="J99" s="607" t="s">
        <v>12806</v>
      </c>
      <c r="K99" s="784">
        <v>4500</v>
      </c>
      <c r="L99" s="618" t="s">
        <v>12487</v>
      </c>
      <c r="M99" s="784">
        <v>13500</v>
      </c>
      <c r="N99" s="778">
        <v>0</v>
      </c>
    </row>
    <row r="100" spans="1:14" ht="12" customHeight="1" x14ac:dyDescent="0.2">
      <c r="A100" s="773" t="s">
        <v>307</v>
      </c>
      <c r="B100" s="601" t="s">
        <v>308</v>
      </c>
      <c r="C100" s="601" t="s">
        <v>12799</v>
      </c>
      <c r="D100" s="601" t="s">
        <v>12800</v>
      </c>
      <c r="E100" s="601" t="s">
        <v>12581</v>
      </c>
      <c r="F100" s="667" t="s">
        <v>12779</v>
      </c>
      <c r="G100" s="601" t="s">
        <v>12801</v>
      </c>
      <c r="H100" s="601" t="s">
        <v>979</v>
      </c>
      <c r="I100" s="601"/>
      <c r="J100" s="604" t="s">
        <v>12807</v>
      </c>
      <c r="K100" s="784">
        <v>3663</v>
      </c>
      <c r="L100" s="601" t="s">
        <v>12487</v>
      </c>
      <c r="M100" s="784">
        <v>6726</v>
      </c>
      <c r="N100" s="778">
        <v>0</v>
      </c>
    </row>
    <row r="101" spans="1:14" ht="12" customHeight="1" x14ac:dyDescent="0.2">
      <c r="A101" s="773" t="s">
        <v>307</v>
      </c>
      <c r="B101" s="601" t="s">
        <v>308</v>
      </c>
      <c r="C101" s="601" t="s">
        <v>12808</v>
      </c>
      <c r="D101" s="601" t="s">
        <v>12809</v>
      </c>
      <c r="E101" s="601" t="s">
        <v>12581</v>
      </c>
      <c r="F101" s="667" t="s">
        <v>12810</v>
      </c>
      <c r="G101" s="601" t="s">
        <v>12811</v>
      </c>
      <c r="H101" s="601">
        <v>5</v>
      </c>
      <c r="I101" s="618"/>
      <c r="J101" s="607" t="s">
        <v>12812</v>
      </c>
      <c r="K101" s="784">
        <v>800</v>
      </c>
      <c r="L101" s="618" t="s">
        <v>12487</v>
      </c>
      <c r="M101" s="777">
        <v>7160</v>
      </c>
      <c r="N101" s="778">
        <v>2800</v>
      </c>
    </row>
    <row r="102" spans="1:14" ht="12" customHeight="1" x14ac:dyDescent="0.2">
      <c r="A102" s="773" t="s">
        <v>307</v>
      </c>
      <c r="B102" s="601" t="s">
        <v>308</v>
      </c>
      <c r="C102" s="601" t="s">
        <v>12813</v>
      </c>
      <c r="D102" s="601" t="s">
        <v>12814</v>
      </c>
      <c r="E102" s="601" t="s">
        <v>12581</v>
      </c>
      <c r="F102" s="667" t="s">
        <v>12779</v>
      </c>
      <c r="G102" s="601" t="s">
        <v>12815</v>
      </c>
      <c r="H102" s="601">
        <v>4</v>
      </c>
      <c r="I102" s="601"/>
      <c r="J102" s="601" t="s">
        <v>12816</v>
      </c>
      <c r="K102" s="784">
        <v>1080</v>
      </c>
      <c r="L102" s="601" t="s">
        <v>12487</v>
      </c>
      <c r="M102" s="777">
        <v>9720</v>
      </c>
      <c r="N102" s="778">
        <v>4320</v>
      </c>
    </row>
    <row r="103" spans="1:14" ht="12" customHeight="1" x14ac:dyDescent="0.2">
      <c r="A103" s="773" t="s">
        <v>307</v>
      </c>
      <c r="B103" s="601" t="s">
        <v>308</v>
      </c>
      <c r="C103" s="601" t="s">
        <v>12817</v>
      </c>
      <c r="D103" s="601" t="s">
        <v>12818</v>
      </c>
      <c r="E103" s="601" t="s">
        <v>12581</v>
      </c>
      <c r="F103" s="667" t="s">
        <v>12819</v>
      </c>
      <c r="G103" s="601" t="s">
        <v>12811</v>
      </c>
      <c r="H103" s="601">
        <v>5</v>
      </c>
      <c r="I103" s="601"/>
      <c r="J103" s="604" t="s">
        <v>12820</v>
      </c>
      <c r="K103" s="784">
        <v>1050</v>
      </c>
      <c r="L103" s="601" t="s">
        <v>12487</v>
      </c>
      <c r="M103" s="784">
        <v>9450</v>
      </c>
      <c r="N103" s="778">
        <v>1050</v>
      </c>
    </row>
    <row r="104" spans="1:14" ht="12" customHeight="1" x14ac:dyDescent="0.2">
      <c r="A104" s="773" t="s">
        <v>307</v>
      </c>
      <c r="B104" s="601" t="s">
        <v>308</v>
      </c>
      <c r="C104" s="601" t="s">
        <v>12821</v>
      </c>
      <c r="D104" s="601" t="s">
        <v>12822</v>
      </c>
      <c r="E104" s="601" t="s">
        <v>12581</v>
      </c>
      <c r="F104" s="667" t="s">
        <v>12823</v>
      </c>
      <c r="G104" s="601" t="s">
        <v>12824</v>
      </c>
      <c r="H104" s="601">
        <v>6</v>
      </c>
      <c r="I104" s="601"/>
      <c r="J104" s="601" t="s">
        <v>12825</v>
      </c>
      <c r="K104" s="784">
        <v>2100</v>
      </c>
      <c r="L104" s="601" t="s">
        <v>12487</v>
      </c>
      <c r="M104" s="777">
        <v>14000</v>
      </c>
      <c r="N104" s="778">
        <v>8750</v>
      </c>
    </row>
    <row r="105" spans="1:14" ht="12" customHeight="1" x14ac:dyDescent="0.2">
      <c r="A105" s="773" t="s">
        <v>307</v>
      </c>
      <c r="B105" s="601" t="s">
        <v>308</v>
      </c>
      <c r="C105" s="601" t="s">
        <v>12719</v>
      </c>
      <c r="D105" s="601" t="s">
        <v>12720</v>
      </c>
      <c r="E105" s="601" t="s">
        <v>12581</v>
      </c>
      <c r="F105" s="782" t="s">
        <v>12826</v>
      </c>
      <c r="G105" s="601" t="s">
        <v>12811</v>
      </c>
      <c r="H105" s="601">
        <v>5</v>
      </c>
      <c r="I105" s="601"/>
      <c r="J105" s="601" t="s">
        <v>12827</v>
      </c>
      <c r="K105" s="784">
        <v>900</v>
      </c>
      <c r="L105" s="601" t="s">
        <v>12487</v>
      </c>
      <c r="M105" s="784">
        <v>8100</v>
      </c>
      <c r="N105" s="778">
        <v>4500</v>
      </c>
    </row>
    <row r="106" spans="1:14" ht="12" customHeight="1" x14ac:dyDescent="0.2">
      <c r="A106" s="773" t="s">
        <v>307</v>
      </c>
      <c r="B106" s="601" t="s">
        <v>308</v>
      </c>
      <c r="C106" s="601" t="s">
        <v>12828</v>
      </c>
      <c r="D106" s="601" t="s">
        <v>12829</v>
      </c>
      <c r="E106" s="601" t="s">
        <v>12581</v>
      </c>
      <c r="F106" s="667" t="s">
        <v>12830</v>
      </c>
      <c r="G106" s="601" t="s">
        <v>12707</v>
      </c>
      <c r="H106" s="601">
        <v>4</v>
      </c>
      <c r="I106" s="601"/>
      <c r="J106" s="601" t="s">
        <v>12831</v>
      </c>
      <c r="K106" s="784">
        <v>800</v>
      </c>
      <c r="L106" s="601" t="s">
        <v>12487</v>
      </c>
      <c r="M106" s="784">
        <v>6400</v>
      </c>
      <c r="N106" s="778">
        <v>4000</v>
      </c>
    </row>
    <row r="107" spans="1:14" ht="12" customHeight="1" x14ac:dyDescent="0.2">
      <c r="A107" s="773" t="s">
        <v>307</v>
      </c>
      <c r="B107" s="601" t="s">
        <v>308</v>
      </c>
      <c r="C107" s="601" t="s">
        <v>12832</v>
      </c>
      <c r="D107" s="601" t="s">
        <v>12833</v>
      </c>
      <c r="E107" s="601" t="s">
        <v>12581</v>
      </c>
      <c r="F107" s="667" t="s">
        <v>12779</v>
      </c>
      <c r="G107" s="601" t="s">
        <v>12834</v>
      </c>
      <c r="H107" s="601">
        <v>4</v>
      </c>
      <c r="I107" s="618"/>
      <c r="J107" s="607" t="s">
        <v>12835</v>
      </c>
      <c r="K107" s="784">
        <v>880</v>
      </c>
      <c r="L107" s="618" t="s">
        <v>12487</v>
      </c>
      <c r="M107" s="784">
        <v>7040</v>
      </c>
      <c r="N107" s="778">
        <v>0</v>
      </c>
    </row>
    <row r="108" spans="1:14" ht="12" customHeight="1" x14ac:dyDescent="0.2">
      <c r="A108" s="773" t="s">
        <v>307</v>
      </c>
      <c r="B108" s="601" t="s">
        <v>308</v>
      </c>
      <c r="C108" s="601" t="s">
        <v>12836</v>
      </c>
      <c r="D108" s="601" t="s">
        <v>12837</v>
      </c>
      <c r="E108" s="601" t="s">
        <v>12581</v>
      </c>
      <c r="F108" s="667" t="s">
        <v>12838</v>
      </c>
      <c r="G108" s="601" t="s">
        <v>12839</v>
      </c>
      <c r="H108" s="601">
        <v>5</v>
      </c>
      <c r="I108" s="601"/>
      <c r="J108" s="604" t="s">
        <v>12840</v>
      </c>
      <c r="K108" s="784">
        <v>6000</v>
      </c>
      <c r="L108" s="601" t="s">
        <v>12487</v>
      </c>
      <c r="M108" s="784">
        <v>12000</v>
      </c>
      <c r="N108" s="778">
        <v>0</v>
      </c>
    </row>
    <row r="109" spans="1:14" ht="12" customHeight="1" x14ac:dyDescent="0.2">
      <c r="A109" s="773" t="s">
        <v>307</v>
      </c>
      <c r="B109" s="601" t="s">
        <v>308</v>
      </c>
      <c r="C109" s="601" t="s">
        <v>12803</v>
      </c>
      <c r="D109" s="601" t="s">
        <v>12804</v>
      </c>
      <c r="E109" s="601" t="s">
        <v>12581</v>
      </c>
      <c r="F109" s="667">
        <v>11016588</v>
      </c>
      <c r="G109" s="601" t="s">
        <v>12805</v>
      </c>
      <c r="H109" s="601">
        <v>1</v>
      </c>
      <c r="I109" s="618"/>
      <c r="J109" s="607" t="s">
        <v>12841</v>
      </c>
      <c r="K109" s="784">
        <v>5000</v>
      </c>
      <c r="L109" s="618" t="s">
        <v>12487</v>
      </c>
      <c r="M109" s="784">
        <v>5000</v>
      </c>
      <c r="N109" s="778">
        <v>0</v>
      </c>
    </row>
    <row r="110" spans="1:14" ht="12" customHeight="1" x14ac:dyDescent="0.2">
      <c r="A110" s="773" t="s">
        <v>307</v>
      </c>
      <c r="B110" s="601" t="s">
        <v>308</v>
      </c>
      <c r="C110" s="601" t="s">
        <v>12799</v>
      </c>
      <c r="D110" s="601" t="s">
        <v>12800</v>
      </c>
      <c r="E110" s="601" t="s">
        <v>12581</v>
      </c>
      <c r="F110" s="667" t="s">
        <v>12779</v>
      </c>
      <c r="G110" s="601" t="s">
        <v>12801</v>
      </c>
      <c r="H110" s="601" t="s">
        <v>979</v>
      </c>
      <c r="I110" s="601"/>
      <c r="J110" s="601" t="s">
        <v>12842</v>
      </c>
      <c r="K110" s="784">
        <v>3363</v>
      </c>
      <c r="L110" s="601" t="s">
        <v>12487</v>
      </c>
      <c r="M110" s="784">
        <v>35365.74</v>
      </c>
      <c r="N110" s="778">
        <v>10989</v>
      </c>
    </row>
    <row r="111" spans="1:14" ht="12" customHeight="1" x14ac:dyDescent="0.2">
      <c r="A111" s="773" t="s">
        <v>307</v>
      </c>
      <c r="B111" s="601" t="s">
        <v>308</v>
      </c>
      <c r="C111" s="601" t="s">
        <v>12803</v>
      </c>
      <c r="D111" s="601" t="s">
        <v>12804</v>
      </c>
      <c r="E111" s="601" t="s">
        <v>12581</v>
      </c>
      <c r="F111" s="667">
        <v>11016588</v>
      </c>
      <c r="G111" s="601" t="s">
        <v>12805</v>
      </c>
      <c r="H111" s="601">
        <v>1</v>
      </c>
      <c r="I111" s="601"/>
      <c r="J111" s="601" t="s">
        <v>12843</v>
      </c>
      <c r="K111" s="784">
        <v>5000</v>
      </c>
      <c r="L111" s="601" t="s">
        <v>12487</v>
      </c>
      <c r="M111" s="784">
        <v>35000</v>
      </c>
      <c r="N111" s="778">
        <v>30000</v>
      </c>
    </row>
    <row r="112" spans="1:14" ht="12" customHeight="1" x14ac:dyDescent="0.2">
      <c r="A112" s="773" t="s">
        <v>307</v>
      </c>
      <c r="B112" s="601" t="s">
        <v>308</v>
      </c>
      <c r="C112" s="601" t="s">
        <v>12836</v>
      </c>
      <c r="D112" s="601" t="s">
        <v>12837</v>
      </c>
      <c r="E112" s="601" t="s">
        <v>12581</v>
      </c>
      <c r="F112" s="667" t="s">
        <v>12838</v>
      </c>
      <c r="G112" s="601" t="s">
        <v>12839</v>
      </c>
      <c r="H112" s="601">
        <v>5</v>
      </c>
      <c r="I112" s="601"/>
      <c r="J112" s="604" t="s">
        <v>12844</v>
      </c>
      <c r="K112" s="784">
        <v>6000</v>
      </c>
      <c r="L112" s="601" t="s">
        <v>12487</v>
      </c>
      <c r="M112" s="784">
        <v>6000</v>
      </c>
      <c r="N112" s="778">
        <v>0</v>
      </c>
    </row>
    <row r="113" spans="1:14" ht="12" customHeight="1" x14ac:dyDescent="0.2">
      <c r="A113" s="773" t="s">
        <v>307</v>
      </c>
      <c r="B113" s="601" t="s">
        <v>308</v>
      </c>
      <c r="C113" s="601" t="s">
        <v>12836</v>
      </c>
      <c r="D113" s="601" t="s">
        <v>12837</v>
      </c>
      <c r="E113" s="601" t="s">
        <v>12581</v>
      </c>
      <c r="F113" s="667" t="s">
        <v>12838</v>
      </c>
      <c r="G113" s="601" t="s">
        <v>12839</v>
      </c>
      <c r="H113" s="601">
        <v>5</v>
      </c>
      <c r="I113" s="601"/>
      <c r="J113" s="604" t="s">
        <v>12845</v>
      </c>
      <c r="K113" s="784">
        <v>6000</v>
      </c>
      <c r="L113" s="601" t="s">
        <v>12487</v>
      </c>
      <c r="M113" s="784">
        <v>6000</v>
      </c>
      <c r="N113" s="778">
        <v>0</v>
      </c>
    </row>
    <row r="114" spans="1:14" ht="12" customHeight="1" x14ac:dyDescent="0.2">
      <c r="A114" s="773" t="s">
        <v>307</v>
      </c>
      <c r="B114" s="601" t="s">
        <v>308</v>
      </c>
      <c r="C114" s="601" t="s">
        <v>12836</v>
      </c>
      <c r="D114" s="601" t="s">
        <v>12837</v>
      </c>
      <c r="E114" s="601" t="s">
        <v>12581</v>
      </c>
      <c r="F114" s="667" t="s">
        <v>12838</v>
      </c>
      <c r="G114" s="601" t="s">
        <v>12839</v>
      </c>
      <c r="H114" s="601">
        <v>5</v>
      </c>
      <c r="I114" s="601"/>
      <c r="J114" s="604" t="s">
        <v>12846</v>
      </c>
      <c r="K114" s="784">
        <v>6000</v>
      </c>
      <c r="L114" s="601" t="s">
        <v>12487</v>
      </c>
      <c r="M114" s="784">
        <v>24000</v>
      </c>
      <c r="N114" s="778">
        <v>0</v>
      </c>
    </row>
    <row r="115" spans="1:14" ht="12" customHeight="1" x14ac:dyDescent="0.2">
      <c r="A115" s="773" t="s">
        <v>307</v>
      </c>
      <c r="B115" s="601" t="s">
        <v>308</v>
      </c>
      <c r="C115" s="601" t="s">
        <v>12836</v>
      </c>
      <c r="D115" s="601" t="s">
        <v>12837</v>
      </c>
      <c r="E115" s="601" t="s">
        <v>12581</v>
      </c>
      <c r="F115" s="667" t="s">
        <v>12838</v>
      </c>
      <c r="G115" s="601" t="s">
        <v>12839</v>
      </c>
      <c r="H115" s="601">
        <v>5</v>
      </c>
      <c r="I115" s="601"/>
      <c r="J115" s="604" t="s">
        <v>12847</v>
      </c>
      <c r="K115" s="784">
        <v>6000</v>
      </c>
      <c r="L115" s="601" t="s">
        <v>12487</v>
      </c>
      <c r="M115" s="784">
        <v>6000</v>
      </c>
      <c r="N115" s="778">
        <v>6000</v>
      </c>
    </row>
    <row r="116" spans="1:14" ht="12" customHeight="1" x14ac:dyDescent="0.2">
      <c r="A116" s="773" t="s">
        <v>307</v>
      </c>
      <c r="B116" s="601" t="s">
        <v>308</v>
      </c>
      <c r="C116" s="601" t="s">
        <v>12684</v>
      </c>
      <c r="D116" s="601" t="s">
        <v>12685</v>
      </c>
      <c r="E116" s="601" t="s">
        <v>12581</v>
      </c>
      <c r="F116" s="667" t="s">
        <v>12686</v>
      </c>
      <c r="G116" s="601" t="s">
        <v>12687</v>
      </c>
      <c r="H116" s="601" t="s">
        <v>979</v>
      </c>
      <c r="I116" s="601"/>
      <c r="J116" s="604" t="s">
        <v>12848</v>
      </c>
      <c r="K116" s="784">
        <v>11000</v>
      </c>
      <c r="L116" s="601" t="s">
        <v>12487</v>
      </c>
      <c r="M116" s="784">
        <v>22000</v>
      </c>
      <c r="N116" s="778">
        <v>0</v>
      </c>
    </row>
    <row r="117" spans="1:14" ht="12" customHeight="1" x14ac:dyDescent="0.2">
      <c r="A117" s="773" t="s">
        <v>307</v>
      </c>
      <c r="B117" s="601" t="s">
        <v>308</v>
      </c>
      <c r="C117" s="601" t="s">
        <v>12684</v>
      </c>
      <c r="D117" s="601" t="s">
        <v>12685</v>
      </c>
      <c r="E117" s="601" t="s">
        <v>12581</v>
      </c>
      <c r="F117" s="667" t="s">
        <v>12686</v>
      </c>
      <c r="G117" s="601" t="s">
        <v>12687</v>
      </c>
      <c r="H117" s="601" t="s">
        <v>979</v>
      </c>
      <c r="I117" s="601"/>
      <c r="J117" s="604" t="s">
        <v>12849</v>
      </c>
      <c r="K117" s="784">
        <v>11000</v>
      </c>
      <c r="L117" s="601" t="s">
        <v>12487</v>
      </c>
      <c r="M117" s="784">
        <v>11000</v>
      </c>
      <c r="N117" s="778">
        <v>0</v>
      </c>
    </row>
    <row r="118" spans="1:14" ht="12" customHeight="1" x14ac:dyDescent="0.2">
      <c r="A118" s="773" t="s">
        <v>307</v>
      </c>
      <c r="B118" s="601" t="s">
        <v>308</v>
      </c>
      <c r="C118" s="601" t="s">
        <v>12850</v>
      </c>
      <c r="D118" s="601" t="s">
        <v>12851</v>
      </c>
      <c r="E118" s="601" t="s">
        <v>12581</v>
      </c>
      <c r="F118" s="667" t="s">
        <v>12852</v>
      </c>
      <c r="G118" s="601" t="s">
        <v>12853</v>
      </c>
      <c r="H118" s="601" t="s">
        <v>979</v>
      </c>
      <c r="I118" s="601"/>
      <c r="J118" s="601" t="s">
        <v>12854</v>
      </c>
      <c r="K118" s="784">
        <v>1350</v>
      </c>
      <c r="L118" s="601" t="s">
        <v>12487</v>
      </c>
      <c r="M118" s="784">
        <v>1350</v>
      </c>
      <c r="N118" s="778">
        <f>1350*6</f>
        <v>8100</v>
      </c>
    </row>
    <row r="119" spans="1:14" ht="12" customHeight="1" x14ac:dyDescent="0.2">
      <c r="A119" s="773" t="s">
        <v>307</v>
      </c>
      <c r="B119" s="601" t="s">
        <v>308</v>
      </c>
      <c r="C119" s="601" t="s">
        <v>12733</v>
      </c>
      <c r="D119" s="601" t="s">
        <v>12734</v>
      </c>
      <c r="E119" s="601" t="s">
        <v>12581</v>
      </c>
      <c r="F119" s="667" t="s">
        <v>12735</v>
      </c>
      <c r="G119" s="601" t="s">
        <v>12736</v>
      </c>
      <c r="H119" s="601">
        <v>3</v>
      </c>
      <c r="I119" s="601"/>
      <c r="J119" s="601" t="s">
        <v>12855</v>
      </c>
      <c r="K119" s="784">
        <v>6000</v>
      </c>
      <c r="L119" s="601" t="s">
        <v>12487</v>
      </c>
      <c r="M119" s="784">
        <v>0</v>
      </c>
      <c r="N119" s="778">
        <v>30000</v>
      </c>
    </row>
    <row r="120" spans="1:14" ht="12" customHeight="1" x14ac:dyDescent="0.2">
      <c r="A120" s="773" t="s">
        <v>307</v>
      </c>
      <c r="B120" s="601" t="s">
        <v>308</v>
      </c>
      <c r="C120" s="601" t="s">
        <v>12856</v>
      </c>
      <c r="D120" s="601" t="s">
        <v>12857</v>
      </c>
      <c r="E120" s="601" t="s">
        <v>12581</v>
      </c>
      <c r="F120" s="667" t="s">
        <v>12858</v>
      </c>
      <c r="G120" s="601" t="s">
        <v>12859</v>
      </c>
      <c r="H120" s="601">
        <v>6</v>
      </c>
      <c r="I120" s="601"/>
      <c r="J120" s="601" t="s">
        <v>12860</v>
      </c>
      <c r="K120" s="784">
        <v>10000</v>
      </c>
      <c r="L120" s="601" t="s">
        <v>12487</v>
      </c>
      <c r="M120" s="784">
        <v>0</v>
      </c>
      <c r="N120" s="778">
        <v>50000</v>
      </c>
    </row>
    <row r="121" spans="1:14" ht="12" customHeight="1" x14ac:dyDescent="0.2">
      <c r="A121" s="773" t="s">
        <v>307</v>
      </c>
      <c r="B121" s="601" t="s">
        <v>308</v>
      </c>
      <c r="C121" s="601" t="s">
        <v>12684</v>
      </c>
      <c r="D121" s="601" t="s">
        <v>12685</v>
      </c>
      <c r="E121" s="601" t="s">
        <v>12581</v>
      </c>
      <c r="F121" s="667" t="s">
        <v>12686</v>
      </c>
      <c r="G121" s="601" t="s">
        <v>12687</v>
      </c>
      <c r="H121" s="601" t="s">
        <v>979</v>
      </c>
      <c r="I121" s="601"/>
      <c r="J121" s="604" t="s">
        <v>12861</v>
      </c>
      <c r="K121" s="784">
        <v>5500</v>
      </c>
      <c r="L121" s="601" t="s">
        <v>12487</v>
      </c>
      <c r="M121" s="784">
        <v>0</v>
      </c>
      <c r="N121" s="778">
        <v>5500</v>
      </c>
    </row>
    <row r="122" spans="1:14" ht="12" customHeight="1" x14ac:dyDescent="0.2">
      <c r="A122" s="773" t="s">
        <v>307</v>
      </c>
      <c r="B122" s="601" t="s">
        <v>308</v>
      </c>
      <c r="C122" s="601" t="s">
        <v>12862</v>
      </c>
      <c r="D122" s="601" t="s">
        <v>12837</v>
      </c>
      <c r="E122" s="601" t="s">
        <v>12581</v>
      </c>
      <c r="F122" s="667" t="s">
        <v>12838</v>
      </c>
      <c r="G122" s="601" t="s">
        <v>12839</v>
      </c>
      <c r="H122" s="601">
        <v>5</v>
      </c>
      <c r="I122" s="601"/>
      <c r="J122" s="601" t="s">
        <v>12863</v>
      </c>
      <c r="K122" s="784">
        <v>6000</v>
      </c>
      <c r="L122" s="601" t="s">
        <v>12487</v>
      </c>
      <c r="M122" s="784">
        <v>0</v>
      </c>
      <c r="N122" s="778">
        <v>36000</v>
      </c>
    </row>
    <row r="123" spans="1:14" ht="12" customHeight="1" x14ac:dyDescent="0.2">
      <c r="A123" s="773" t="s">
        <v>307</v>
      </c>
      <c r="B123" s="601" t="s">
        <v>308</v>
      </c>
      <c r="C123" s="607" t="s">
        <v>12864</v>
      </c>
      <c r="D123" s="601" t="s">
        <v>12865</v>
      </c>
      <c r="E123" s="601" t="s">
        <v>12581</v>
      </c>
      <c r="F123" s="667" t="s">
        <v>12866</v>
      </c>
      <c r="G123" s="601" t="s">
        <v>12707</v>
      </c>
      <c r="H123" s="601">
        <v>4</v>
      </c>
      <c r="I123" s="601"/>
      <c r="J123" s="601" t="s">
        <v>12867</v>
      </c>
      <c r="K123" s="784">
        <v>880</v>
      </c>
      <c r="L123" s="601" t="s">
        <v>12487</v>
      </c>
      <c r="M123" s="784">
        <v>0</v>
      </c>
      <c r="N123" s="778">
        <v>0</v>
      </c>
    </row>
    <row r="124" spans="1:14" ht="12" customHeight="1" x14ac:dyDescent="0.2">
      <c r="A124" s="773" t="s">
        <v>307</v>
      </c>
      <c r="B124" s="601" t="s">
        <v>308</v>
      </c>
      <c r="C124" s="601" t="s">
        <v>12868</v>
      </c>
      <c r="D124" s="601" t="s">
        <v>12759</v>
      </c>
      <c r="E124" s="601" t="s">
        <v>12581</v>
      </c>
      <c r="F124" s="667" t="s">
        <v>12760</v>
      </c>
      <c r="G124" s="601" t="s">
        <v>12761</v>
      </c>
      <c r="H124" s="601">
        <v>1</v>
      </c>
      <c r="I124" s="601"/>
      <c r="J124" s="601" t="s">
        <v>12869</v>
      </c>
      <c r="K124" s="784">
        <v>2860</v>
      </c>
      <c r="L124" s="601" t="s">
        <v>12487</v>
      </c>
      <c r="M124" s="784">
        <v>0</v>
      </c>
      <c r="N124" s="778">
        <v>7800</v>
      </c>
    </row>
    <row r="125" spans="1:14" ht="12" customHeight="1" x14ac:dyDescent="0.2">
      <c r="A125" s="773" t="s">
        <v>307</v>
      </c>
      <c r="B125" s="601" t="s">
        <v>308</v>
      </c>
      <c r="C125" s="601" t="s">
        <v>12870</v>
      </c>
      <c r="D125" s="601" t="s">
        <v>12871</v>
      </c>
      <c r="E125" s="601" t="s">
        <v>12581</v>
      </c>
      <c r="F125" s="667" t="s">
        <v>12872</v>
      </c>
      <c r="G125" s="601" t="s">
        <v>12873</v>
      </c>
      <c r="H125" s="601">
        <v>2</v>
      </c>
      <c r="I125" s="601"/>
      <c r="J125" s="601" t="s">
        <v>12874</v>
      </c>
      <c r="K125" s="784">
        <v>360</v>
      </c>
      <c r="L125" s="601" t="s">
        <v>12487</v>
      </c>
      <c r="M125" s="784">
        <v>0</v>
      </c>
      <c r="N125" s="778">
        <v>1080</v>
      </c>
    </row>
    <row r="126" spans="1:14" ht="18" customHeight="1" x14ac:dyDescent="0.2">
      <c r="A126" s="873" t="s">
        <v>284</v>
      </c>
      <c r="B126" s="824"/>
      <c r="C126" s="824"/>
      <c r="D126" s="824"/>
      <c r="E126" s="824"/>
      <c r="F126" s="824"/>
      <c r="G126" s="824"/>
      <c r="H126" s="824"/>
      <c r="I126" s="814"/>
      <c r="J126" s="795"/>
      <c r="K126" s="796">
        <f>SUM(K6:K125)</f>
        <v>704496.05999999982</v>
      </c>
      <c r="L126" s="797"/>
      <c r="M126" s="798">
        <f t="shared" ref="M126:N126" si="2">SUM(M6:M125)</f>
        <v>6907789.3621199997</v>
      </c>
      <c r="N126" s="799">
        <f t="shared" si="2"/>
        <v>3315776.146666667</v>
      </c>
    </row>
    <row r="127" spans="1:14" ht="12" customHeight="1" x14ac:dyDescent="0.2">
      <c r="A127" s="214" t="s">
        <v>12875</v>
      </c>
      <c r="B127" s="214"/>
      <c r="C127" s="214"/>
      <c r="D127" s="214"/>
      <c r="E127" s="214"/>
      <c r="F127" s="214"/>
      <c r="G127" s="725"/>
      <c r="H127" s="725"/>
      <c r="I127" s="214"/>
      <c r="J127" s="214"/>
      <c r="K127" s="214"/>
      <c r="L127" s="214"/>
      <c r="M127" s="214"/>
      <c r="N127" s="214"/>
    </row>
  </sheetData>
  <autoFilter ref="A5:N125" xr:uid="{00000000-0009-0000-0000-000012000000}"/>
  <mergeCells count="6">
    <mergeCell ref="J4:L4"/>
    <mergeCell ref="A126:I126"/>
    <mergeCell ref="A2:E2"/>
    <mergeCell ref="A4:B4"/>
    <mergeCell ref="C4:D4"/>
    <mergeCell ref="E4:I4"/>
  </mergeCells>
  <dataValidations count="1">
    <dataValidation type="decimal" allowBlank="1" showInputMessage="1" showErrorMessage="1" prompt="INGRESAR SOLO NÚMEROS POSITIVOS" sqref="G41:G49" xr:uid="{00000000-0002-0000-1200-000000000000}">
      <formula1>0</formula1>
      <formula2>2000000</formula2>
    </dataValidation>
  </dataValidations>
  <printOptions horizontalCentered="1"/>
  <pageMargins left="0.23622047244094491" right="0.23622047244094491" top="0.74803149606299213" bottom="0.74803149606299213" header="0" footer="0"/>
  <pageSetup paperSize="8" fitToHeight="0" orientation="portrait"/>
  <headerFooter>
    <oddHeader>&amp;CPROYECTO DE PRESUPUESTO 2021</oddHeader>
    <oddFooter>&amp;LPROYECTO DE PRESUPUESTO PARA EL AÑO FISCAL 2020 INFORMACIÓN PARA LA COMISIÓN DE PRESUPUESTO Y CUENTA GENERAL DE LA REPÚBLICA DEL CONGRESO DE LA REPÚBLICA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064A2"/>
  </sheetPr>
  <dimension ref="A1:N100"/>
  <sheetViews>
    <sheetView showGridLines="0" workbookViewId="0"/>
  </sheetViews>
  <sheetFormatPr baseColWidth="10" defaultColWidth="14.42578125" defaultRowHeight="15" customHeight="1" x14ac:dyDescent="0.2"/>
  <cols>
    <col min="1" max="1" width="21.28515625" customWidth="1"/>
    <col min="2" max="2" width="9.5703125" customWidth="1"/>
    <col min="3" max="3" width="20.42578125" customWidth="1"/>
    <col min="4" max="4" width="20.7109375" customWidth="1"/>
    <col min="5" max="5" width="19.7109375" customWidth="1"/>
    <col min="6" max="6" width="16.42578125" customWidth="1"/>
    <col min="7" max="7" width="16.140625" customWidth="1"/>
    <col min="8" max="8" width="14.42578125" customWidth="1"/>
    <col min="9" max="9" width="7.140625" customWidth="1"/>
    <col min="10" max="10" width="8.5703125" customWidth="1"/>
    <col min="11" max="11" width="6.85546875" customWidth="1"/>
    <col min="12" max="12" width="9.7109375" customWidth="1"/>
    <col min="13" max="14" width="7" customWidth="1"/>
  </cols>
  <sheetData>
    <row r="1" spans="1:14" ht="11.25" customHeight="1" x14ac:dyDescent="0.2">
      <c r="A1" s="11" t="s">
        <v>42</v>
      </c>
      <c r="B1" s="12"/>
      <c r="C1" s="13"/>
      <c r="D1" s="14"/>
      <c r="E1" s="12"/>
      <c r="F1" s="14"/>
      <c r="G1" s="12"/>
      <c r="H1" s="12"/>
      <c r="I1" s="15"/>
      <c r="J1" s="15"/>
      <c r="K1" s="15"/>
      <c r="L1" s="15"/>
      <c r="M1" s="15"/>
      <c r="N1" s="15"/>
    </row>
    <row r="2" spans="1:14" ht="11.25" customHeight="1" x14ac:dyDescent="0.2">
      <c r="A2" s="16" t="s">
        <v>43</v>
      </c>
      <c r="B2" s="17"/>
      <c r="C2" s="17"/>
      <c r="D2" s="14"/>
      <c r="E2" s="12"/>
      <c r="F2" s="14"/>
      <c r="G2" s="12"/>
      <c r="H2" s="12"/>
      <c r="I2" s="15"/>
      <c r="J2" s="15"/>
      <c r="K2" s="15"/>
      <c r="L2" s="15"/>
      <c r="M2" s="15"/>
      <c r="N2" s="15"/>
    </row>
    <row r="3" spans="1:14" ht="17.25" customHeight="1" x14ac:dyDescent="0.2">
      <c r="A3" s="805" t="s">
        <v>44</v>
      </c>
      <c r="B3" s="805" t="s">
        <v>45</v>
      </c>
      <c r="C3" s="805" t="s">
        <v>46</v>
      </c>
      <c r="D3" s="805" t="s">
        <v>47</v>
      </c>
      <c r="E3" s="805" t="s">
        <v>48</v>
      </c>
      <c r="F3" s="805" t="s">
        <v>49</v>
      </c>
      <c r="G3" s="805" t="s">
        <v>50</v>
      </c>
      <c r="H3" s="805" t="s">
        <v>51</v>
      </c>
      <c r="I3" s="808">
        <v>2018</v>
      </c>
      <c r="J3" s="802"/>
      <c r="K3" s="808">
        <v>2019</v>
      </c>
      <c r="L3" s="802"/>
      <c r="M3" s="18">
        <v>2020</v>
      </c>
      <c r="N3" s="18">
        <v>2021</v>
      </c>
    </row>
    <row r="4" spans="1:14" ht="28.5" customHeight="1" x14ac:dyDescent="0.2">
      <c r="A4" s="806"/>
      <c r="B4" s="806"/>
      <c r="C4" s="806"/>
      <c r="D4" s="806"/>
      <c r="E4" s="806"/>
      <c r="F4" s="806"/>
      <c r="G4" s="806"/>
      <c r="H4" s="806"/>
      <c r="I4" s="18" t="s">
        <v>52</v>
      </c>
      <c r="J4" s="18" t="s">
        <v>53</v>
      </c>
      <c r="K4" s="18" t="s">
        <v>52</v>
      </c>
      <c r="L4" s="18" t="s">
        <v>54</v>
      </c>
      <c r="M4" s="18" t="s">
        <v>52</v>
      </c>
      <c r="N4" s="18" t="s">
        <v>52</v>
      </c>
    </row>
    <row r="5" spans="1:14" ht="67.5" customHeight="1" x14ac:dyDescent="0.2">
      <c r="A5" s="19" t="s">
        <v>55</v>
      </c>
      <c r="B5" s="20" t="s">
        <v>56</v>
      </c>
      <c r="C5" s="19" t="s">
        <v>57</v>
      </c>
      <c r="D5" s="21" t="s">
        <v>58</v>
      </c>
      <c r="E5" s="22" t="s">
        <v>59</v>
      </c>
      <c r="F5" s="22" t="s">
        <v>60</v>
      </c>
      <c r="G5" s="23" t="s">
        <v>61</v>
      </c>
      <c r="H5" s="24" t="s">
        <v>62</v>
      </c>
      <c r="I5" s="25" t="s">
        <v>63</v>
      </c>
      <c r="J5" s="25">
        <v>2.9999999999999997E-4</v>
      </c>
      <c r="K5" s="25">
        <v>1.2999999999999999E-3</v>
      </c>
      <c r="L5" s="25">
        <v>1.2999999999999999E-3</v>
      </c>
      <c r="M5" s="25">
        <v>6.9999999999999999E-4</v>
      </c>
      <c r="N5" s="25">
        <v>1E-3</v>
      </c>
    </row>
    <row r="6" spans="1:14" ht="11.25" customHeight="1" x14ac:dyDescent="0.2">
      <c r="A6" s="19" t="s">
        <v>55</v>
      </c>
      <c r="B6" s="20" t="s">
        <v>56</v>
      </c>
      <c r="C6" s="19" t="s">
        <v>57</v>
      </c>
      <c r="D6" s="21" t="s">
        <v>64</v>
      </c>
      <c r="E6" s="22" t="s">
        <v>65</v>
      </c>
      <c r="F6" s="22" t="s">
        <v>66</v>
      </c>
      <c r="G6" s="23" t="s">
        <v>61</v>
      </c>
      <c r="H6" s="24" t="s">
        <v>62</v>
      </c>
      <c r="I6" s="25" t="s">
        <v>63</v>
      </c>
      <c r="J6" s="25">
        <v>2.9999999999999997E-4</v>
      </c>
      <c r="K6" s="25">
        <v>1.2000000000000001E-3</v>
      </c>
      <c r="L6" s="25">
        <v>1.2999999999999999E-3</v>
      </c>
      <c r="M6" s="25">
        <v>8.0000000000000004E-4</v>
      </c>
      <c r="N6" s="25">
        <v>6.9999999999999999E-4</v>
      </c>
    </row>
    <row r="7" spans="1:14" ht="67.5" customHeight="1" x14ac:dyDescent="0.2">
      <c r="A7" s="19" t="s">
        <v>55</v>
      </c>
      <c r="B7" s="20" t="s">
        <v>67</v>
      </c>
      <c r="C7" s="19" t="s">
        <v>68</v>
      </c>
      <c r="D7" s="21" t="s">
        <v>69</v>
      </c>
      <c r="E7" s="21" t="s">
        <v>70</v>
      </c>
      <c r="F7" s="21" t="s">
        <v>71</v>
      </c>
      <c r="G7" s="23" t="s">
        <v>61</v>
      </c>
      <c r="H7" s="24" t="s">
        <v>62</v>
      </c>
      <c r="I7" s="25" t="s">
        <v>63</v>
      </c>
      <c r="J7" s="25">
        <v>7.1999999999999998E-3</v>
      </c>
      <c r="K7" s="25">
        <v>3.8999999999999998E-3</v>
      </c>
      <c r="L7" s="25">
        <v>4.7000000000000002E-3</v>
      </c>
      <c r="M7" s="25">
        <v>5.7999999999999996E-3</v>
      </c>
      <c r="N7" s="25">
        <v>1.24E-2</v>
      </c>
    </row>
    <row r="8" spans="1:14" ht="11.25" customHeight="1" x14ac:dyDescent="0.2">
      <c r="A8" s="19" t="s">
        <v>55</v>
      </c>
      <c r="B8" s="20" t="s">
        <v>67</v>
      </c>
      <c r="C8" s="19" t="s">
        <v>68</v>
      </c>
      <c r="D8" s="21" t="s">
        <v>72</v>
      </c>
      <c r="E8" s="21" t="s">
        <v>73</v>
      </c>
      <c r="F8" s="21" t="s">
        <v>74</v>
      </c>
      <c r="G8" s="23" t="s">
        <v>61</v>
      </c>
      <c r="H8" s="24" t="s">
        <v>62</v>
      </c>
      <c r="I8" s="25" t="s">
        <v>63</v>
      </c>
      <c r="J8" s="25">
        <v>7.4000000000000003E-3</v>
      </c>
      <c r="K8" s="25">
        <v>3.7000000000000002E-3</v>
      </c>
      <c r="L8" s="25">
        <v>4.5999999999999999E-3</v>
      </c>
      <c r="M8" s="25">
        <v>7.7000000000000002E-3</v>
      </c>
      <c r="N8" s="25">
        <v>1.29E-2</v>
      </c>
    </row>
    <row r="9" spans="1:14" ht="11.25" customHeight="1" x14ac:dyDescent="0.2">
      <c r="A9" s="19" t="s">
        <v>55</v>
      </c>
      <c r="B9" s="20" t="s">
        <v>75</v>
      </c>
      <c r="C9" s="19" t="s">
        <v>76</v>
      </c>
      <c r="D9" s="21" t="s">
        <v>77</v>
      </c>
      <c r="E9" s="21" t="s">
        <v>78</v>
      </c>
      <c r="F9" s="21" t="s">
        <v>79</v>
      </c>
      <c r="G9" s="23" t="s">
        <v>61</v>
      </c>
      <c r="H9" s="24" t="s">
        <v>62</v>
      </c>
      <c r="I9" s="25" t="s">
        <v>63</v>
      </c>
      <c r="J9" s="25">
        <v>0.16739999999999999</v>
      </c>
      <c r="K9" s="25">
        <v>0.17</v>
      </c>
      <c r="L9" s="25">
        <v>0.16889999999999999</v>
      </c>
      <c r="M9" s="25">
        <v>0.17</v>
      </c>
      <c r="N9" s="25">
        <v>0.17499999999999999</v>
      </c>
    </row>
    <row r="10" spans="1:14" ht="11.25" customHeight="1" x14ac:dyDescent="0.2">
      <c r="A10" s="19" t="s">
        <v>55</v>
      </c>
      <c r="B10" s="20" t="s">
        <v>75</v>
      </c>
      <c r="C10" s="19" t="s">
        <v>76</v>
      </c>
      <c r="D10" s="21" t="s">
        <v>80</v>
      </c>
      <c r="E10" s="20" t="s">
        <v>81</v>
      </c>
      <c r="F10" s="21" t="s">
        <v>82</v>
      </c>
      <c r="G10" s="23" t="s">
        <v>61</v>
      </c>
      <c r="H10" s="24" t="s">
        <v>62</v>
      </c>
      <c r="I10" s="25" t="s">
        <v>63</v>
      </c>
      <c r="J10" s="25" t="s">
        <v>83</v>
      </c>
      <c r="K10" s="25" t="s">
        <v>83</v>
      </c>
      <c r="L10" s="25" t="s">
        <v>83</v>
      </c>
      <c r="M10" s="25" t="s">
        <v>83</v>
      </c>
      <c r="N10" s="26">
        <v>400</v>
      </c>
    </row>
    <row r="11" spans="1:14" ht="78.75" customHeight="1" x14ac:dyDescent="0.2">
      <c r="A11" s="19" t="s">
        <v>55</v>
      </c>
      <c r="B11" s="20" t="s">
        <v>84</v>
      </c>
      <c r="C11" s="19" t="s">
        <v>85</v>
      </c>
      <c r="D11" s="21" t="s">
        <v>86</v>
      </c>
      <c r="E11" s="21" t="s">
        <v>87</v>
      </c>
      <c r="F11" s="21" t="s">
        <v>88</v>
      </c>
      <c r="G11" s="23" t="s">
        <v>61</v>
      </c>
      <c r="H11" s="24" t="s">
        <v>62</v>
      </c>
      <c r="I11" s="25" t="s">
        <v>63</v>
      </c>
      <c r="J11" s="25">
        <v>8.1600000000000006E-2</v>
      </c>
      <c r="K11" s="25">
        <v>0.23469999999999999</v>
      </c>
      <c r="L11" s="25">
        <v>8.1600000000000006E-2</v>
      </c>
      <c r="M11" s="25">
        <v>0.38269999999999998</v>
      </c>
      <c r="N11" s="25">
        <v>0.50509999999999999</v>
      </c>
    </row>
    <row r="12" spans="1:14" ht="11.25" customHeight="1" x14ac:dyDescent="0.2">
      <c r="A12" s="19" t="s">
        <v>55</v>
      </c>
      <c r="B12" s="20" t="s">
        <v>84</v>
      </c>
      <c r="C12" s="19" t="s">
        <v>85</v>
      </c>
      <c r="D12" s="21" t="s">
        <v>89</v>
      </c>
      <c r="E12" s="21" t="s">
        <v>90</v>
      </c>
      <c r="F12" s="21" t="s">
        <v>91</v>
      </c>
      <c r="G12" s="23" t="s">
        <v>61</v>
      </c>
      <c r="H12" s="24" t="s">
        <v>62</v>
      </c>
      <c r="I12" s="25" t="s">
        <v>63</v>
      </c>
      <c r="J12" s="25">
        <v>2.3E-2</v>
      </c>
      <c r="K12" s="25">
        <v>5.0160085378868728E-2</v>
      </c>
      <c r="L12" s="25">
        <v>2.3E-2</v>
      </c>
      <c r="M12" s="25">
        <v>7.1504802561366057E-2</v>
      </c>
      <c r="N12" s="25">
        <v>8.8046958377801493E-2</v>
      </c>
    </row>
    <row r="13" spans="1:14" ht="11.25" customHeight="1" x14ac:dyDescent="0.2">
      <c r="A13" s="19" t="s">
        <v>55</v>
      </c>
      <c r="B13" s="20" t="s">
        <v>84</v>
      </c>
      <c r="C13" s="19" t="s">
        <v>85</v>
      </c>
      <c r="D13" s="21" t="s">
        <v>92</v>
      </c>
      <c r="E13" s="20" t="s">
        <v>81</v>
      </c>
      <c r="F13" s="21" t="s">
        <v>93</v>
      </c>
      <c r="G13" s="23" t="s">
        <v>62</v>
      </c>
      <c r="H13" s="24" t="s">
        <v>62</v>
      </c>
      <c r="I13" s="25" t="s">
        <v>63</v>
      </c>
      <c r="J13" s="25" t="s">
        <v>83</v>
      </c>
      <c r="K13" s="25">
        <v>5.8067114093959732E-2</v>
      </c>
      <c r="L13" s="25">
        <v>5.6000000000000001E-2</v>
      </c>
      <c r="M13" s="25">
        <v>0.24966442953020135</v>
      </c>
      <c r="N13" s="25">
        <v>0.5006711409395973</v>
      </c>
    </row>
    <row r="14" spans="1:14" ht="11.25" customHeight="1" x14ac:dyDescent="0.2">
      <c r="A14" s="19" t="s">
        <v>55</v>
      </c>
      <c r="B14" s="20" t="s">
        <v>94</v>
      </c>
      <c r="C14" s="21" t="s">
        <v>95</v>
      </c>
      <c r="D14" s="21" t="s">
        <v>96</v>
      </c>
      <c r="E14" s="21" t="s">
        <v>97</v>
      </c>
      <c r="F14" s="21" t="s">
        <v>98</v>
      </c>
      <c r="G14" s="23" t="s">
        <v>61</v>
      </c>
      <c r="H14" s="24" t="s">
        <v>62</v>
      </c>
      <c r="I14" s="25" t="s">
        <v>63</v>
      </c>
      <c r="J14" s="25">
        <v>3.1E-2</v>
      </c>
      <c r="K14" s="25">
        <v>5.9299999999999999E-2</v>
      </c>
      <c r="L14" s="25">
        <v>6.3E-2</v>
      </c>
      <c r="M14" s="25">
        <v>6.8000000000000005E-2</v>
      </c>
      <c r="N14" s="25">
        <v>6.6000000000000003E-2</v>
      </c>
    </row>
    <row r="15" spans="1:14" ht="67.5" customHeight="1" x14ac:dyDescent="0.2">
      <c r="A15" s="19" t="s">
        <v>55</v>
      </c>
      <c r="B15" s="20" t="s">
        <v>94</v>
      </c>
      <c r="C15" s="19" t="s">
        <v>99</v>
      </c>
      <c r="D15" s="21" t="s">
        <v>100</v>
      </c>
      <c r="E15" s="21" t="s">
        <v>101</v>
      </c>
      <c r="F15" s="21" t="s">
        <v>101</v>
      </c>
      <c r="G15" s="23" t="s">
        <v>61</v>
      </c>
      <c r="H15" s="24" t="s">
        <v>62</v>
      </c>
      <c r="I15" s="25" t="s">
        <v>63</v>
      </c>
      <c r="J15" s="25">
        <v>0.13100000000000001</v>
      </c>
      <c r="K15" s="25">
        <v>0.14003080726816058</v>
      </c>
      <c r="L15" s="25">
        <v>0.19900000000000001</v>
      </c>
      <c r="M15" s="25" t="s">
        <v>102</v>
      </c>
      <c r="N15" s="25">
        <v>0.54100000000000004</v>
      </c>
    </row>
    <row r="16" spans="1:14" ht="11.25" customHeight="1" x14ac:dyDescent="0.2">
      <c r="A16" s="19" t="s">
        <v>55</v>
      </c>
      <c r="B16" s="20" t="s">
        <v>94</v>
      </c>
      <c r="C16" s="19" t="s">
        <v>99</v>
      </c>
      <c r="D16" s="21" t="s">
        <v>103</v>
      </c>
      <c r="E16" s="20" t="s">
        <v>81</v>
      </c>
      <c r="F16" s="21" t="s">
        <v>104</v>
      </c>
      <c r="G16" s="23" t="s">
        <v>62</v>
      </c>
      <c r="H16" s="24" t="s">
        <v>62</v>
      </c>
      <c r="I16" s="25" t="s">
        <v>63</v>
      </c>
      <c r="J16" s="25" t="s">
        <v>83</v>
      </c>
      <c r="K16" s="25" t="s">
        <v>83</v>
      </c>
      <c r="L16" s="25" t="s">
        <v>83</v>
      </c>
      <c r="M16" s="25">
        <v>0.09</v>
      </c>
      <c r="N16" s="25">
        <v>0.22</v>
      </c>
    </row>
    <row r="17" spans="1:14" ht="11.25" customHeight="1" x14ac:dyDescent="0.2">
      <c r="A17" s="19" t="s">
        <v>55</v>
      </c>
      <c r="B17" s="20" t="s">
        <v>105</v>
      </c>
      <c r="C17" s="21" t="s">
        <v>106</v>
      </c>
      <c r="D17" s="21" t="s">
        <v>107</v>
      </c>
      <c r="E17" s="21" t="s">
        <v>108</v>
      </c>
      <c r="F17" s="21" t="s">
        <v>109</v>
      </c>
      <c r="G17" s="23" t="s">
        <v>62</v>
      </c>
      <c r="H17" s="24" t="s">
        <v>62</v>
      </c>
      <c r="I17" s="25" t="s">
        <v>63</v>
      </c>
      <c r="J17" s="25">
        <v>0.5</v>
      </c>
      <c r="K17" s="25">
        <v>0.5</v>
      </c>
      <c r="L17" s="25">
        <v>0.625</v>
      </c>
      <c r="M17" s="25">
        <v>0.625</v>
      </c>
      <c r="N17" s="25">
        <v>0.75</v>
      </c>
    </row>
    <row r="18" spans="1:14" ht="11.25" customHeight="1" x14ac:dyDescent="0.2">
      <c r="A18" s="19" t="s">
        <v>55</v>
      </c>
      <c r="B18" s="20" t="s">
        <v>110</v>
      </c>
      <c r="C18" s="21" t="s">
        <v>111</v>
      </c>
      <c r="D18" s="21" t="s">
        <v>112</v>
      </c>
      <c r="E18" s="20" t="s">
        <v>81</v>
      </c>
      <c r="F18" s="21" t="s">
        <v>113</v>
      </c>
      <c r="G18" s="23" t="s">
        <v>62</v>
      </c>
      <c r="H18" s="24" t="s">
        <v>62</v>
      </c>
      <c r="I18" s="25" t="s">
        <v>63</v>
      </c>
      <c r="J18" s="25" t="s">
        <v>83</v>
      </c>
      <c r="K18" s="25">
        <f>8/11</f>
        <v>0.72727272727272729</v>
      </c>
      <c r="L18" s="25">
        <f>4/6</f>
        <v>0.66666666666666663</v>
      </c>
      <c r="M18" s="25">
        <v>0.7</v>
      </c>
      <c r="N18" s="25">
        <v>0.7</v>
      </c>
    </row>
    <row r="19" spans="1:14" ht="11.25" customHeight="1" x14ac:dyDescent="0.2">
      <c r="A19" s="19" t="s">
        <v>114</v>
      </c>
      <c r="B19" s="27" t="s">
        <v>75</v>
      </c>
      <c r="C19" s="21" t="s">
        <v>115</v>
      </c>
      <c r="D19" s="21" t="s">
        <v>116</v>
      </c>
      <c r="E19" s="19" t="s">
        <v>117</v>
      </c>
      <c r="F19" s="20" t="s">
        <v>118</v>
      </c>
      <c r="G19" s="19" t="s">
        <v>119</v>
      </c>
      <c r="H19" s="19" t="s">
        <v>120</v>
      </c>
      <c r="I19" s="20">
        <v>19.899999999999999</v>
      </c>
      <c r="J19" s="20">
        <v>17.7</v>
      </c>
      <c r="K19" s="20">
        <v>18</v>
      </c>
      <c r="L19" s="20">
        <v>19.899999999999999</v>
      </c>
      <c r="M19" s="20">
        <v>18.5</v>
      </c>
      <c r="N19" s="20">
        <v>18.399999999999999</v>
      </c>
    </row>
    <row r="20" spans="1:14" ht="11.25" customHeight="1" x14ac:dyDescent="0.2">
      <c r="A20" s="19" t="s">
        <v>114</v>
      </c>
      <c r="B20" s="27" t="s">
        <v>75</v>
      </c>
      <c r="C20" s="21" t="s">
        <v>121</v>
      </c>
      <c r="D20" s="21" t="s">
        <v>122</v>
      </c>
      <c r="E20" s="19" t="s">
        <v>123</v>
      </c>
      <c r="F20" s="20" t="s">
        <v>123</v>
      </c>
      <c r="G20" s="19" t="s">
        <v>124</v>
      </c>
      <c r="H20" s="19" t="s">
        <v>125</v>
      </c>
      <c r="I20" s="20">
        <v>12</v>
      </c>
      <c r="J20" s="20">
        <v>5</v>
      </c>
      <c r="K20" s="20">
        <v>14</v>
      </c>
      <c r="L20" s="20">
        <v>9</v>
      </c>
      <c r="M20" s="20">
        <v>12</v>
      </c>
      <c r="N20" s="20">
        <v>12</v>
      </c>
    </row>
    <row r="21" spans="1:14" ht="11.25" customHeight="1" x14ac:dyDescent="0.2">
      <c r="A21" s="19" t="s">
        <v>114</v>
      </c>
      <c r="B21" s="27" t="s">
        <v>75</v>
      </c>
      <c r="C21" s="21" t="s">
        <v>126</v>
      </c>
      <c r="D21" s="21" t="s">
        <v>127</v>
      </c>
      <c r="E21" s="19" t="s">
        <v>128</v>
      </c>
      <c r="F21" s="20" t="s">
        <v>129</v>
      </c>
      <c r="G21" s="19" t="s">
        <v>124</v>
      </c>
      <c r="H21" s="19" t="s">
        <v>125</v>
      </c>
      <c r="I21" s="20">
        <v>9</v>
      </c>
      <c r="J21" s="20">
        <v>4</v>
      </c>
      <c r="K21" s="20">
        <v>0</v>
      </c>
      <c r="L21" s="20">
        <v>2</v>
      </c>
      <c r="M21" s="20">
        <v>3</v>
      </c>
      <c r="N21" s="20">
        <v>3</v>
      </c>
    </row>
    <row r="22" spans="1:14" ht="11.25" customHeight="1" x14ac:dyDescent="0.2">
      <c r="A22" s="19" t="s">
        <v>114</v>
      </c>
      <c r="B22" s="20" t="s">
        <v>110</v>
      </c>
      <c r="C22" s="21" t="s">
        <v>130</v>
      </c>
      <c r="D22" s="21" t="s">
        <v>131</v>
      </c>
      <c r="E22" s="19" t="s">
        <v>132</v>
      </c>
      <c r="F22" s="20" t="s">
        <v>133</v>
      </c>
      <c r="G22" s="19" t="s">
        <v>134</v>
      </c>
      <c r="H22" s="19" t="s">
        <v>135</v>
      </c>
      <c r="I22" s="20">
        <v>0.9</v>
      </c>
      <c r="J22" s="20">
        <v>0.6</v>
      </c>
      <c r="K22" s="20">
        <v>0</v>
      </c>
      <c r="L22" s="20">
        <v>0.83</v>
      </c>
      <c r="M22" s="20">
        <v>0.92</v>
      </c>
      <c r="N22" s="20">
        <v>0.94</v>
      </c>
    </row>
    <row r="23" spans="1:14" ht="11.25" customHeight="1" x14ac:dyDescent="0.2">
      <c r="A23" s="19" t="s">
        <v>114</v>
      </c>
      <c r="B23" s="20" t="s">
        <v>105</v>
      </c>
      <c r="C23" s="21" t="s">
        <v>136</v>
      </c>
      <c r="D23" s="21" t="s">
        <v>137</v>
      </c>
      <c r="E23" s="20" t="s">
        <v>81</v>
      </c>
      <c r="F23" s="20" t="s">
        <v>138</v>
      </c>
      <c r="G23" s="19" t="s">
        <v>139</v>
      </c>
      <c r="H23" s="19" t="s">
        <v>140</v>
      </c>
      <c r="I23" s="20">
        <v>0</v>
      </c>
      <c r="J23" s="20">
        <v>0</v>
      </c>
      <c r="K23" s="20">
        <v>0</v>
      </c>
      <c r="L23" s="20">
        <v>0</v>
      </c>
      <c r="M23" s="20">
        <v>60</v>
      </c>
      <c r="N23" s="20">
        <v>65</v>
      </c>
    </row>
    <row r="24" spans="1:14" ht="11.25" customHeight="1" x14ac:dyDescent="0.2">
      <c r="A24" s="19" t="s">
        <v>141</v>
      </c>
      <c r="B24" s="20" t="s">
        <v>142</v>
      </c>
      <c r="C24" s="21" t="s">
        <v>143</v>
      </c>
      <c r="D24" s="28" t="s">
        <v>144</v>
      </c>
      <c r="E24" s="29" t="s">
        <v>145</v>
      </c>
      <c r="F24" s="30" t="s">
        <v>146</v>
      </c>
      <c r="G24" s="29" t="s">
        <v>147</v>
      </c>
      <c r="H24" s="29" t="s">
        <v>148</v>
      </c>
      <c r="I24" s="30">
        <v>0.44</v>
      </c>
      <c r="J24" s="30">
        <v>0.47</v>
      </c>
      <c r="K24" s="30">
        <v>0.45</v>
      </c>
      <c r="L24" s="30">
        <v>0.96</v>
      </c>
      <c r="M24" s="30">
        <v>0.46</v>
      </c>
      <c r="N24" s="30">
        <v>0.46</v>
      </c>
    </row>
    <row r="25" spans="1:14" ht="11.25" customHeight="1" x14ac:dyDescent="0.2">
      <c r="A25" s="19" t="s">
        <v>141</v>
      </c>
      <c r="B25" s="20" t="s">
        <v>142</v>
      </c>
      <c r="C25" s="21" t="s">
        <v>149</v>
      </c>
      <c r="D25" s="28" t="s">
        <v>150</v>
      </c>
      <c r="E25" s="29" t="s">
        <v>151</v>
      </c>
      <c r="F25" s="31" t="s">
        <v>152</v>
      </c>
      <c r="G25" s="29" t="s">
        <v>153</v>
      </c>
      <c r="H25" s="29" t="s">
        <v>148</v>
      </c>
      <c r="I25" s="31">
        <v>1</v>
      </c>
      <c r="J25" s="31">
        <v>1</v>
      </c>
      <c r="K25" s="31">
        <v>1</v>
      </c>
      <c r="L25" s="31">
        <v>1</v>
      </c>
      <c r="M25" s="31">
        <v>1</v>
      </c>
      <c r="N25" s="31">
        <v>1</v>
      </c>
    </row>
    <row r="26" spans="1:14" ht="11.25" customHeight="1" x14ac:dyDescent="0.2">
      <c r="A26" s="19" t="s">
        <v>141</v>
      </c>
      <c r="B26" s="20" t="s">
        <v>154</v>
      </c>
      <c r="C26" s="21" t="s">
        <v>155</v>
      </c>
      <c r="D26" s="28" t="s">
        <v>156</v>
      </c>
      <c r="E26" s="29" t="s">
        <v>157</v>
      </c>
      <c r="F26" s="30" t="s">
        <v>158</v>
      </c>
      <c r="G26" s="29" t="s">
        <v>159</v>
      </c>
      <c r="H26" s="29" t="s">
        <v>148</v>
      </c>
      <c r="I26" s="30">
        <v>0.55000000000000004</v>
      </c>
      <c r="J26" s="30">
        <v>0.56000000000000005</v>
      </c>
      <c r="K26" s="30">
        <v>0.61</v>
      </c>
      <c r="L26" s="30">
        <v>0.64</v>
      </c>
      <c r="M26" s="30">
        <v>0.68</v>
      </c>
      <c r="N26" s="30">
        <v>0.75</v>
      </c>
    </row>
    <row r="27" spans="1:14" ht="11.25" customHeight="1" x14ac:dyDescent="0.2">
      <c r="A27" s="19" t="s">
        <v>141</v>
      </c>
      <c r="B27" s="20" t="s">
        <v>110</v>
      </c>
      <c r="C27" s="21" t="s">
        <v>160</v>
      </c>
      <c r="D27" s="28" t="s">
        <v>161</v>
      </c>
      <c r="E27" s="29" t="s">
        <v>162</v>
      </c>
      <c r="F27" s="31" t="s">
        <v>163</v>
      </c>
      <c r="G27" s="29" t="s">
        <v>164</v>
      </c>
      <c r="H27" s="29" t="s">
        <v>148</v>
      </c>
      <c r="I27" s="31">
        <v>4</v>
      </c>
      <c r="J27" s="31">
        <v>7</v>
      </c>
      <c r="K27" s="31">
        <v>5</v>
      </c>
      <c r="L27" s="31">
        <v>9</v>
      </c>
      <c r="M27" s="31">
        <v>5</v>
      </c>
      <c r="N27" s="31">
        <v>5</v>
      </c>
    </row>
    <row r="28" spans="1:14" ht="11.25" customHeight="1" x14ac:dyDescent="0.2">
      <c r="A28" s="19" t="s">
        <v>141</v>
      </c>
      <c r="B28" s="20" t="s">
        <v>110</v>
      </c>
      <c r="C28" s="21" t="s">
        <v>165</v>
      </c>
      <c r="D28" s="28" t="s">
        <v>166</v>
      </c>
      <c r="E28" s="29" t="s">
        <v>167</v>
      </c>
      <c r="F28" s="31" t="s">
        <v>168</v>
      </c>
      <c r="G28" s="29" t="s">
        <v>169</v>
      </c>
      <c r="H28" s="29" t="s">
        <v>148</v>
      </c>
      <c r="I28" s="31">
        <v>28</v>
      </c>
      <c r="J28" s="31">
        <v>26</v>
      </c>
      <c r="K28" s="31">
        <v>25</v>
      </c>
      <c r="L28" s="31">
        <v>15</v>
      </c>
      <c r="M28" s="31">
        <v>23</v>
      </c>
      <c r="N28" s="31">
        <v>16</v>
      </c>
    </row>
    <row r="29" spans="1:14" ht="11.25" customHeight="1" x14ac:dyDescent="0.2">
      <c r="A29" s="19" t="s">
        <v>170</v>
      </c>
      <c r="B29" s="20" t="s">
        <v>171</v>
      </c>
      <c r="C29" s="19" t="s">
        <v>172</v>
      </c>
      <c r="D29" s="21" t="s">
        <v>173</v>
      </c>
      <c r="E29" s="19" t="s">
        <v>174</v>
      </c>
      <c r="F29" s="19" t="s">
        <v>175</v>
      </c>
      <c r="G29" s="21" t="s">
        <v>176</v>
      </c>
      <c r="H29" s="19" t="s">
        <v>177</v>
      </c>
      <c r="I29" s="32">
        <v>0.22</v>
      </c>
      <c r="J29" s="32">
        <v>0.24</v>
      </c>
      <c r="K29" s="32">
        <v>0.23</v>
      </c>
      <c r="L29" s="32">
        <v>0.23</v>
      </c>
      <c r="M29" s="32">
        <v>0.22</v>
      </c>
      <c r="N29" s="32">
        <v>0.21</v>
      </c>
    </row>
    <row r="30" spans="1:14" ht="11.25" customHeight="1" x14ac:dyDescent="0.2">
      <c r="A30" s="19" t="s">
        <v>170</v>
      </c>
      <c r="B30" s="20" t="s">
        <v>171</v>
      </c>
      <c r="C30" s="19" t="s">
        <v>172</v>
      </c>
      <c r="D30" s="21" t="s">
        <v>178</v>
      </c>
      <c r="E30" s="19" t="s">
        <v>179</v>
      </c>
      <c r="F30" s="19" t="s">
        <v>180</v>
      </c>
      <c r="G30" s="21" t="s">
        <v>176</v>
      </c>
      <c r="H30" s="19" t="s">
        <v>177</v>
      </c>
      <c r="I30" s="32">
        <v>0.76</v>
      </c>
      <c r="J30" s="32">
        <v>0.99</v>
      </c>
      <c r="K30" s="32">
        <v>0.78</v>
      </c>
      <c r="L30" s="32">
        <v>0.98</v>
      </c>
      <c r="M30" s="32">
        <v>0.68</v>
      </c>
      <c r="N30" s="32">
        <v>0.59</v>
      </c>
    </row>
    <row r="31" spans="1:14" ht="11.25" customHeight="1" x14ac:dyDescent="0.2">
      <c r="A31" s="19" t="s">
        <v>170</v>
      </c>
      <c r="B31" s="20" t="s">
        <v>171</v>
      </c>
      <c r="C31" s="21" t="s">
        <v>181</v>
      </c>
      <c r="D31" s="21" t="s">
        <v>182</v>
      </c>
      <c r="E31" s="19" t="s">
        <v>183</v>
      </c>
      <c r="F31" s="19" t="s">
        <v>184</v>
      </c>
      <c r="G31" s="21" t="s">
        <v>185</v>
      </c>
      <c r="H31" s="19" t="s">
        <v>186</v>
      </c>
      <c r="I31" s="20" t="s">
        <v>187</v>
      </c>
      <c r="J31" s="20" t="s">
        <v>187</v>
      </c>
      <c r="K31" s="32">
        <v>0.01</v>
      </c>
      <c r="L31" s="33">
        <v>4.0000000000000001E-3</v>
      </c>
      <c r="M31" s="32">
        <v>0.03</v>
      </c>
      <c r="N31" s="32">
        <v>0.04</v>
      </c>
    </row>
    <row r="32" spans="1:14" ht="11.25" customHeight="1" x14ac:dyDescent="0.2">
      <c r="A32" s="19" t="s">
        <v>170</v>
      </c>
      <c r="B32" s="20" t="s">
        <v>110</v>
      </c>
      <c r="C32" s="21" t="s">
        <v>188</v>
      </c>
      <c r="D32" s="21" t="s">
        <v>189</v>
      </c>
      <c r="E32" s="20" t="s">
        <v>81</v>
      </c>
      <c r="F32" s="19" t="s">
        <v>190</v>
      </c>
      <c r="G32" s="21" t="s">
        <v>191</v>
      </c>
      <c r="H32" s="19" t="s">
        <v>177</v>
      </c>
      <c r="I32" s="20" t="s">
        <v>187</v>
      </c>
      <c r="J32" s="20" t="s">
        <v>187</v>
      </c>
      <c r="K32" s="32">
        <v>0.95</v>
      </c>
      <c r="L32" s="32">
        <v>0.54</v>
      </c>
      <c r="M32" s="32">
        <v>0.96</v>
      </c>
      <c r="N32" s="32">
        <v>0.97</v>
      </c>
    </row>
    <row r="33" spans="1:14" ht="11.25" customHeight="1" x14ac:dyDescent="0.2">
      <c r="A33" s="19" t="s">
        <v>170</v>
      </c>
      <c r="B33" s="20" t="s">
        <v>110</v>
      </c>
      <c r="C33" s="21" t="s">
        <v>192</v>
      </c>
      <c r="D33" s="21" t="s">
        <v>193</v>
      </c>
      <c r="E33" s="20" t="s">
        <v>81</v>
      </c>
      <c r="F33" s="19" t="s">
        <v>194</v>
      </c>
      <c r="G33" s="21" t="s">
        <v>195</v>
      </c>
      <c r="H33" s="19" t="s">
        <v>196</v>
      </c>
      <c r="I33" s="20" t="s">
        <v>187</v>
      </c>
      <c r="J33" s="20" t="s">
        <v>187</v>
      </c>
      <c r="K33" s="32">
        <v>0.35</v>
      </c>
      <c r="L33" s="20" t="s">
        <v>197</v>
      </c>
      <c r="M33" s="32">
        <v>0.6</v>
      </c>
      <c r="N33" s="32">
        <v>1</v>
      </c>
    </row>
    <row r="34" spans="1:14" ht="11.25" customHeight="1" x14ac:dyDescent="0.2">
      <c r="A34" s="19" t="s">
        <v>198</v>
      </c>
      <c r="B34" s="27" t="s">
        <v>56</v>
      </c>
      <c r="C34" s="807" t="s">
        <v>199</v>
      </c>
      <c r="D34" s="21" t="s">
        <v>200</v>
      </c>
      <c r="E34" s="34" t="s">
        <v>201</v>
      </c>
      <c r="F34" s="34" t="s">
        <v>202</v>
      </c>
      <c r="G34" s="21" t="s">
        <v>203</v>
      </c>
      <c r="H34" s="21" t="s">
        <v>204</v>
      </c>
      <c r="I34" s="20" t="s">
        <v>205</v>
      </c>
      <c r="J34" s="34">
        <v>5.5555555555555552E-2</v>
      </c>
      <c r="K34" s="34">
        <v>0.16666666666666666</v>
      </c>
      <c r="L34" s="34">
        <v>0.06</v>
      </c>
      <c r="M34" s="34">
        <v>0.24</v>
      </c>
      <c r="N34" s="34">
        <v>0.28999999999999998</v>
      </c>
    </row>
    <row r="35" spans="1:14" ht="11.25" customHeight="1" x14ac:dyDescent="0.2">
      <c r="A35" s="19" t="s">
        <v>198</v>
      </c>
      <c r="B35" s="27" t="s">
        <v>56</v>
      </c>
      <c r="C35" s="806"/>
      <c r="D35" s="21" t="s">
        <v>206</v>
      </c>
      <c r="E35" s="34" t="s">
        <v>207</v>
      </c>
      <c r="F35" s="34" t="s">
        <v>208</v>
      </c>
      <c r="G35" s="21" t="s">
        <v>209</v>
      </c>
      <c r="H35" s="21" t="s">
        <v>204</v>
      </c>
      <c r="I35" s="20" t="s">
        <v>205</v>
      </c>
      <c r="J35" s="34">
        <v>0.27777777777777779</v>
      </c>
      <c r="K35" s="34">
        <v>0.55555555555555558</v>
      </c>
      <c r="L35" s="34">
        <v>0.5</v>
      </c>
      <c r="M35" s="34">
        <v>0.62</v>
      </c>
      <c r="N35" s="34">
        <v>0.67</v>
      </c>
    </row>
    <row r="36" spans="1:14" ht="11.25" customHeight="1" x14ac:dyDescent="0.2">
      <c r="A36" s="19" t="s">
        <v>198</v>
      </c>
      <c r="B36" s="27" t="s">
        <v>56</v>
      </c>
      <c r="C36" s="21" t="s">
        <v>210</v>
      </c>
      <c r="D36" s="21" t="s">
        <v>211</v>
      </c>
      <c r="E36" s="34" t="s">
        <v>212</v>
      </c>
      <c r="F36" s="34" t="s">
        <v>213</v>
      </c>
      <c r="G36" s="21" t="s">
        <v>214</v>
      </c>
      <c r="H36" s="21" t="s">
        <v>215</v>
      </c>
      <c r="I36" s="20" t="s">
        <v>205</v>
      </c>
      <c r="J36" s="34">
        <v>0.67</v>
      </c>
      <c r="K36" s="34">
        <v>0.72</v>
      </c>
      <c r="L36" s="34">
        <v>0.11</v>
      </c>
      <c r="M36" s="34">
        <v>0.85</v>
      </c>
      <c r="N36" s="34">
        <v>0.9</v>
      </c>
    </row>
    <row r="37" spans="1:14" ht="11.25" customHeight="1" x14ac:dyDescent="0.2">
      <c r="A37" s="19" t="s">
        <v>198</v>
      </c>
      <c r="B37" s="27" t="s">
        <v>56</v>
      </c>
      <c r="C37" s="19" t="s">
        <v>216</v>
      </c>
      <c r="D37" s="21" t="s">
        <v>217</v>
      </c>
      <c r="E37" s="20" t="s">
        <v>218</v>
      </c>
      <c r="F37" s="20" t="s">
        <v>219</v>
      </c>
      <c r="G37" s="21" t="s">
        <v>220</v>
      </c>
      <c r="H37" s="21" t="s">
        <v>221</v>
      </c>
      <c r="I37" s="20" t="s">
        <v>222</v>
      </c>
      <c r="J37" s="20">
        <v>18</v>
      </c>
      <c r="K37" s="20">
        <v>19</v>
      </c>
      <c r="L37" s="20">
        <v>16</v>
      </c>
      <c r="M37" s="20">
        <v>23</v>
      </c>
      <c r="N37" s="20">
        <v>28</v>
      </c>
    </row>
    <row r="38" spans="1:14" ht="11.25" customHeight="1" x14ac:dyDescent="0.2">
      <c r="A38" s="19" t="s">
        <v>198</v>
      </c>
      <c r="B38" s="27" t="s">
        <v>56</v>
      </c>
      <c r="C38" s="19" t="s">
        <v>216</v>
      </c>
      <c r="D38" s="21" t="s">
        <v>223</v>
      </c>
      <c r="E38" s="35" t="s">
        <v>224</v>
      </c>
      <c r="F38" s="35" t="s">
        <v>225</v>
      </c>
      <c r="G38" s="21" t="s">
        <v>220</v>
      </c>
      <c r="H38" s="21" t="s">
        <v>221</v>
      </c>
      <c r="I38" s="20" t="s">
        <v>222</v>
      </c>
      <c r="J38" s="35">
        <v>99611</v>
      </c>
      <c r="K38" s="35">
        <v>150000</v>
      </c>
      <c r="L38" s="35">
        <v>231460</v>
      </c>
      <c r="M38" s="35">
        <v>180000</v>
      </c>
      <c r="N38" s="35">
        <v>216000</v>
      </c>
    </row>
    <row r="39" spans="1:14" ht="11.25" customHeight="1" x14ac:dyDescent="0.2">
      <c r="A39" s="19" t="s">
        <v>198</v>
      </c>
      <c r="B39" s="20" t="s">
        <v>110</v>
      </c>
      <c r="C39" s="21" t="s">
        <v>226</v>
      </c>
      <c r="D39" s="21" t="s">
        <v>227</v>
      </c>
      <c r="E39" s="34" t="s">
        <v>228</v>
      </c>
      <c r="F39" s="34" t="s">
        <v>229</v>
      </c>
      <c r="G39" s="21" t="s">
        <v>230</v>
      </c>
      <c r="H39" s="21" t="s">
        <v>231</v>
      </c>
      <c r="I39" s="20" t="s">
        <v>222</v>
      </c>
      <c r="J39" s="34">
        <v>0.65</v>
      </c>
      <c r="K39" s="34">
        <v>0.7</v>
      </c>
      <c r="L39" s="34">
        <v>0.72</v>
      </c>
      <c r="M39" s="34">
        <v>0.75</v>
      </c>
      <c r="N39" s="34">
        <v>0.8</v>
      </c>
    </row>
    <row r="40" spans="1:14" ht="11.25" customHeight="1" x14ac:dyDescent="0.2">
      <c r="A40" s="19" t="s">
        <v>198</v>
      </c>
      <c r="B40" s="20" t="s">
        <v>110</v>
      </c>
      <c r="C40" s="21" t="s">
        <v>232</v>
      </c>
      <c r="D40" s="21" t="s">
        <v>233</v>
      </c>
      <c r="E40" s="20" t="s">
        <v>234</v>
      </c>
      <c r="F40" s="20" t="s">
        <v>235</v>
      </c>
      <c r="G40" s="21" t="s">
        <v>236</v>
      </c>
      <c r="H40" s="21" t="s">
        <v>237</v>
      </c>
      <c r="I40" s="20" t="s">
        <v>205</v>
      </c>
      <c r="J40" s="20">
        <v>1</v>
      </c>
      <c r="K40" s="20">
        <v>2</v>
      </c>
      <c r="L40" s="20">
        <v>1</v>
      </c>
      <c r="M40" s="20">
        <v>2</v>
      </c>
      <c r="N40" s="20">
        <v>3</v>
      </c>
    </row>
    <row r="41" spans="1:14" ht="11.25" customHeight="1" x14ac:dyDescent="0.2">
      <c r="A41" s="803" t="s">
        <v>238</v>
      </c>
      <c r="B41" s="804"/>
      <c r="C41" s="804"/>
      <c r="D41" s="804"/>
      <c r="E41" s="804"/>
      <c r="F41" s="12"/>
      <c r="G41" s="12"/>
      <c r="H41" s="12"/>
      <c r="I41" s="15"/>
      <c r="J41" s="15"/>
      <c r="K41" s="15"/>
      <c r="L41" s="15"/>
      <c r="M41" s="15"/>
      <c r="N41" s="15"/>
    </row>
    <row r="42" spans="1:14" ht="11.25" customHeight="1" x14ac:dyDescent="0.2">
      <c r="A42" s="12" t="s">
        <v>239</v>
      </c>
      <c r="B42" s="12"/>
      <c r="C42" s="12"/>
      <c r="D42" s="12"/>
      <c r="E42" s="12"/>
      <c r="F42" s="12"/>
      <c r="G42" s="12"/>
      <c r="H42" s="12"/>
      <c r="I42" s="15"/>
      <c r="J42" s="15"/>
      <c r="K42" s="15"/>
      <c r="L42" s="15"/>
      <c r="M42" s="15"/>
      <c r="N42" s="15"/>
    </row>
    <row r="43" spans="1:14" ht="11.25" customHeight="1" x14ac:dyDescent="0.2">
      <c r="A43" s="12" t="s">
        <v>240</v>
      </c>
      <c r="B43" s="12"/>
      <c r="C43" s="12"/>
      <c r="D43" s="12"/>
      <c r="E43" s="12"/>
      <c r="F43" s="12"/>
      <c r="G43" s="12"/>
      <c r="H43" s="12"/>
      <c r="I43" s="15"/>
      <c r="J43" s="15"/>
      <c r="K43" s="15"/>
      <c r="L43" s="15"/>
      <c r="M43" s="15"/>
      <c r="N43" s="15"/>
    </row>
    <row r="44" spans="1:14" ht="11.25" customHeight="1" x14ac:dyDescent="0.2">
      <c r="A44" s="12"/>
      <c r="B44" s="12"/>
      <c r="C44" s="12"/>
      <c r="D44" s="12"/>
      <c r="E44" s="12"/>
      <c r="F44" s="12"/>
      <c r="G44" s="12"/>
      <c r="H44" s="12"/>
      <c r="I44" s="15"/>
      <c r="J44" s="15"/>
      <c r="K44" s="15"/>
      <c r="L44" s="15"/>
      <c r="M44" s="15"/>
      <c r="N44" s="15"/>
    </row>
    <row r="45" spans="1:14" ht="11.25" customHeight="1" x14ac:dyDescent="0.2">
      <c r="A45" s="12"/>
      <c r="B45" s="12"/>
      <c r="C45" s="12"/>
      <c r="D45" s="12"/>
      <c r="E45" s="12"/>
      <c r="F45" s="12"/>
      <c r="G45" s="12"/>
      <c r="H45" s="12"/>
      <c r="I45" s="15"/>
      <c r="J45" s="15"/>
      <c r="K45" s="15"/>
      <c r="L45" s="15"/>
      <c r="M45" s="15"/>
      <c r="N45" s="15"/>
    </row>
    <row r="46" spans="1:14" ht="11.25" customHeight="1" x14ac:dyDescent="0.2">
      <c r="A46" s="12"/>
      <c r="B46" s="12"/>
      <c r="C46" s="12"/>
      <c r="D46" s="12"/>
      <c r="E46" s="12"/>
      <c r="F46" s="12"/>
      <c r="G46" s="12"/>
      <c r="H46" s="12"/>
      <c r="I46" s="15"/>
      <c r="J46" s="15"/>
      <c r="K46" s="15"/>
      <c r="L46" s="15"/>
      <c r="M46" s="15"/>
      <c r="N46" s="15"/>
    </row>
    <row r="47" spans="1:14" ht="11.25" customHeight="1" x14ac:dyDescent="0.2">
      <c r="A47" s="12"/>
      <c r="B47" s="12"/>
      <c r="C47" s="12"/>
      <c r="D47" s="12"/>
      <c r="E47" s="12"/>
      <c r="F47" s="12"/>
      <c r="G47" s="12"/>
      <c r="H47" s="12"/>
      <c r="I47" s="15"/>
      <c r="J47" s="15"/>
      <c r="K47" s="15"/>
      <c r="L47" s="15"/>
      <c r="M47" s="15"/>
      <c r="N47" s="15"/>
    </row>
    <row r="48" spans="1:14" ht="11.25" customHeight="1" x14ac:dyDescent="0.2">
      <c r="A48" s="12"/>
      <c r="B48" s="12"/>
      <c r="C48" s="12"/>
      <c r="D48" s="12"/>
      <c r="E48" s="12"/>
      <c r="F48" s="12"/>
      <c r="G48" s="12"/>
      <c r="H48" s="12"/>
      <c r="I48" s="15"/>
      <c r="J48" s="15"/>
      <c r="K48" s="15"/>
      <c r="L48" s="15"/>
      <c r="M48" s="15"/>
      <c r="N48" s="15"/>
    </row>
    <row r="49" spans="1:14" ht="11.25" customHeight="1" x14ac:dyDescent="0.2">
      <c r="A49" s="12"/>
      <c r="B49" s="12"/>
      <c r="C49" s="12"/>
      <c r="D49" s="12"/>
      <c r="E49" s="12"/>
      <c r="F49" s="12"/>
      <c r="G49" s="12"/>
      <c r="H49" s="12"/>
      <c r="I49" s="15"/>
      <c r="J49" s="15"/>
      <c r="K49" s="15"/>
      <c r="L49" s="15"/>
      <c r="M49" s="15"/>
      <c r="N49" s="15"/>
    </row>
    <row r="50" spans="1:14" ht="11.25" customHeight="1" x14ac:dyDescent="0.2">
      <c r="A50" s="12"/>
      <c r="B50" s="12"/>
      <c r="C50" s="12"/>
      <c r="D50" s="12"/>
      <c r="E50" s="12"/>
      <c r="F50" s="12"/>
      <c r="G50" s="12"/>
      <c r="H50" s="12"/>
      <c r="I50" s="15"/>
      <c r="J50" s="15"/>
      <c r="K50" s="15"/>
      <c r="L50" s="15"/>
      <c r="M50" s="15"/>
      <c r="N50" s="15"/>
    </row>
    <row r="51" spans="1:14" ht="11.25" customHeight="1" x14ac:dyDescent="0.2">
      <c r="A51" s="12"/>
      <c r="B51" s="12"/>
      <c r="C51" s="12"/>
      <c r="D51" s="12"/>
      <c r="E51" s="12"/>
      <c r="F51" s="12"/>
      <c r="G51" s="12"/>
      <c r="H51" s="12"/>
      <c r="I51" s="15"/>
      <c r="J51" s="15"/>
      <c r="K51" s="15"/>
      <c r="L51" s="15"/>
      <c r="M51" s="15"/>
      <c r="N51" s="15"/>
    </row>
    <row r="52" spans="1:14" ht="11.25" customHeight="1" x14ac:dyDescent="0.2">
      <c r="A52" s="12"/>
      <c r="B52" s="12"/>
      <c r="C52" s="12"/>
      <c r="D52" s="12"/>
      <c r="E52" s="12"/>
      <c r="F52" s="12"/>
      <c r="G52" s="12"/>
      <c r="H52" s="12"/>
      <c r="I52" s="15"/>
      <c r="J52" s="15"/>
      <c r="K52" s="15"/>
      <c r="L52" s="15"/>
      <c r="M52" s="15"/>
      <c r="N52" s="15"/>
    </row>
    <row r="53" spans="1:14" ht="11.25" customHeight="1" x14ac:dyDescent="0.2">
      <c r="A53" s="12"/>
      <c r="B53" s="12"/>
      <c r="C53" s="12"/>
      <c r="D53" s="12"/>
      <c r="E53" s="12"/>
      <c r="F53" s="12"/>
      <c r="G53" s="12"/>
      <c r="H53" s="12"/>
      <c r="I53" s="15"/>
      <c r="J53" s="15"/>
      <c r="K53" s="15"/>
      <c r="L53" s="15"/>
      <c r="M53" s="15"/>
      <c r="N53" s="15"/>
    </row>
    <row r="54" spans="1:14" ht="11.25" customHeight="1" x14ac:dyDescent="0.2">
      <c r="A54" s="12"/>
      <c r="B54" s="12"/>
      <c r="C54" s="12"/>
      <c r="D54" s="12"/>
      <c r="E54" s="12"/>
      <c r="F54" s="12"/>
      <c r="G54" s="12"/>
      <c r="H54" s="12"/>
      <c r="I54" s="15"/>
      <c r="J54" s="15"/>
      <c r="K54" s="15"/>
      <c r="L54" s="15"/>
      <c r="M54" s="15"/>
      <c r="N54" s="15"/>
    </row>
    <row r="55" spans="1:14" ht="11.25" customHeight="1" x14ac:dyDescent="0.2">
      <c r="A55" s="12"/>
      <c r="B55" s="12"/>
      <c r="C55" s="12"/>
      <c r="D55" s="12"/>
      <c r="E55" s="12"/>
      <c r="F55" s="12"/>
      <c r="G55" s="12"/>
      <c r="H55" s="12"/>
      <c r="I55" s="15"/>
      <c r="J55" s="15"/>
      <c r="K55" s="15"/>
      <c r="L55" s="15"/>
      <c r="M55" s="15"/>
      <c r="N55" s="15"/>
    </row>
    <row r="56" spans="1:14" ht="11.25" customHeight="1" x14ac:dyDescent="0.2">
      <c r="A56" s="12"/>
      <c r="B56" s="12"/>
      <c r="C56" s="12"/>
      <c r="D56" s="12"/>
      <c r="E56" s="12"/>
      <c r="F56" s="12"/>
      <c r="G56" s="12"/>
      <c r="H56" s="12"/>
      <c r="I56" s="15"/>
      <c r="J56" s="15"/>
      <c r="K56" s="15"/>
      <c r="L56" s="15"/>
      <c r="M56" s="15"/>
      <c r="N56" s="15"/>
    </row>
    <row r="57" spans="1:14" ht="11.25" customHeight="1" x14ac:dyDescent="0.2">
      <c r="A57" s="12"/>
      <c r="B57" s="12"/>
      <c r="C57" s="12"/>
      <c r="D57" s="12"/>
      <c r="E57" s="12"/>
      <c r="F57" s="12"/>
      <c r="G57" s="12"/>
      <c r="H57" s="12"/>
      <c r="I57" s="15"/>
      <c r="J57" s="15"/>
      <c r="K57" s="15"/>
      <c r="L57" s="15"/>
      <c r="M57" s="15"/>
      <c r="N57" s="15"/>
    </row>
    <row r="58" spans="1:14" ht="11.25" customHeight="1" x14ac:dyDescent="0.2">
      <c r="A58" s="12"/>
      <c r="B58" s="12"/>
      <c r="C58" s="12"/>
      <c r="D58" s="12"/>
      <c r="E58" s="12"/>
      <c r="F58" s="12"/>
      <c r="G58" s="12"/>
      <c r="H58" s="12"/>
      <c r="I58" s="15"/>
      <c r="J58" s="15"/>
      <c r="K58" s="15"/>
      <c r="L58" s="15"/>
      <c r="M58" s="15"/>
      <c r="N58" s="15"/>
    </row>
    <row r="59" spans="1:14" ht="11.25" customHeight="1" x14ac:dyDescent="0.2">
      <c r="A59" s="12"/>
      <c r="B59" s="12"/>
      <c r="C59" s="12"/>
      <c r="D59" s="12"/>
      <c r="E59" s="12"/>
      <c r="F59" s="12"/>
      <c r="G59" s="12"/>
      <c r="H59" s="12"/>
      <c r="I59" s="15"/>
      <c r="J59" s="15"/>
      <c r="K59" s="15"/>
      <c r="L59" s="15"/>
      <c r="M59" s="15"/>
      <c r="N59" s="15"/>
    </row>
    <row r="60" spans="1:14" ht="11.25" customHeight="1" x14ac:dyDescent="0.2">
      <c r="A60" s="12"/>
      <c r="B60" s="12"/>
      <c r="C60" s="12"/>
      <c r="D60" s="12"/>
      <c r="E60" s="12"/>
      <c r="F60" s="12"/>
      <c r="G60" s="12"/>
      <c r="H60" s="12"/>
      <c r="I60" s="15"/>
      <c r="J60" s="15"/>
      <c r="K60" s="15"/>
      <c r="L60" s="15"/>
      <c r="M60" s="15"/>
      <c r="N60" s="15"/>
    </row>
    <row r="61" spans="1:14" ht="11.25" customHeight="1" x14ac:dyDescent="0.2">
      <c r="A61" s="12"/>
      <c r="B61" s="12"/>
      <c r="C61" s="12"/>
      <c r="D61" s="12"/>
      <c r="E61" s="12"/>
      <c r="F61" s="12"/>
      <c r="G61" s="12"/>
      <c r="H61" s="12"/>
      <c r="I61" s="15"/>
      <c r="J61" s="15"/>
      <c r="K61" s="15"/>
      <c r="L61" s="15"/>
      <c r="M61" s="15"/>
      <c r="N61" s="15"/>
    </row>
    <row r="62" spans="1:14" ht="11.25" customHeight="1" x14ac:dyDescent="0.2">
      <c r="A62" s="12"/>
      <c r="B62" s="12"/>
      <c r="C62" s="12"/>
      <c r="D62" s="12"/>
      <c r="E62" s="12"/>
      <c r="F62" s="12"/>
      <c r="G62" s="12"/>
      <c r="H62" s="12"/>
      <c r="I62" s="15"/>
      <c r="J62" s="15"/>
      <c r="K62" s="15"/>
      <c r="L62" s="15"/>
      <c r="M62" s="15"/>
      <c r="N62" s="15"/>
    </row>
    <row r="63" spans="1:14" ht="11.25" customHeight="1" x14ac:dyDescent="0.2">
      <c r="A63" s="12"/>
      <c r="B63" s="12"/>
      <c r="C63" s="12"/>
      <c r="D63" s="12"/>
      <c r="E63" s="12"/>
      <c r="F63" s="12"/>
      <c r="G63" s="12"/>
      <c r="H63" s="12"/>
      <c r="I63" s="15"/>
      <c r="J63" s="15"/>
      <c r="K63" s="15"/>
      <c r="L63" s="15"/>
      <c r="M63" s="15"/>
      <c r="N63" s="15"/>
    </row>
    <row r="64" spans="1:14" ht="11.25" customHeight="1" x14ac:dyDescent="0.2">
      <c r="A64" s="12"/>
      <c r="B64" s="12"/>
      <c r="C64" s="12"/>
      <c r="D64" s="12"/>
      <c r="E64" s="12"/>
      <c r="F64" s="12"/>
      <c r="G64" s="12"/>
      <c r="H64" s="12"/>
      <c r="I64" s="15"/>
      <c r="J64" s="15"/>
      <c r="K64" s="15"/>
      <c r="L64" s="15"/>
      <c r="M64" s="15"/>
      <c r="N64" s="15"/>
    </row>
    <row r="65" spans="1:14" ht="11.25" customHeight="1" x14ac:dyDescent="0.2">
      <c r="A65" s="12"/>
      <c r="B65" s="12"/>
      <c r="C65" s="12"/>
      <c r="D65" s="12"/>
      <c r="E65" s="12"/>
      <c r="F65" s="12"/>
      <c r="G65" s="12"/>
      <c r="H65" s="12"/>
      <c r="I65" s="15"/>
      <c r="J65" s="15"/>
      <c r="K65" s="15"/>
      <c r="L65" s="15"/>
      <c r="M65" s="15"/>
      <c r="N65" s="15"/>
    </row>
    <row r="66" spans="1:14" ht="11.25" customHeight="1" x14ac:dyDescent="0.2">
      <c r="A66" s="12"/>
      <c r="B66" s="12"/>
      <c r="C66" s="12"/>
      <c r="D66" s="12"/>
      <c r="E66" s="12"/>
      <c r="F66" s="12"/>
      <c r="G66" s="12"/>
      <c r="H66" s="12"/>
      <c r="I66" s="15"/>
      <c r="J66" s="15"/>
      <c r="K66" s="15"/>
      <c r="L66" s="15"/>
      <c r="M66" s="15"/>
      <c r="N66" s="15"/>
    </row>
    <row r="67" spans="1:14" ht="11.25" customHeight="1" x14ac:dyDescent="0.2">
      <c r="A67" s="12"/>
      <c r="B67" s="12"/>
      <c r="C67" s="12"/>
      <c r="D67" s="12"/>
      <c r="E67" s="12"/>
      <c r="F67" s="12"/>
      <c r="G67" s="12"/>
      <c r="H67" s="12"/>
      <c r="I67" s="15"/>
      <c r="J67" s="15"/>
      <c r="K67" s="15"/>
      <c r="L67" s="15"/>
      <c r="M67" s="15"/>
      <c r="N67" s="15"/>
    </row>
    <row r="68" spans="1:14" ht="11.25" customHeight="1" x14ac:dyDescent="0.2">
      <c r="A68" s="12"/>
      <c r="B68" s="12"/>
      <c r="C68" s="12"/>
      <c r="D68" s="12"/>
      <c r="E68" s="12"/>
      <c r="F68" s="12"/>
      <c r="G68" s="12"/>
      <c r="H68" s="12"/>
      <c r="I68" s="15"/>
      <c r="J68" s="15"/>
      <c r="K68" s="15"/>
      <c r="L68" s="15"/>
      <c r="M68" s="15"/>
      <c r="N68" s="15"/>
    </row>
    <row r="69" spans="1:14" ht="11.25" customHeight="1" x14ac:dyDescent="0.2">
      <c r="A69" s="12"/>
      <c r="B69" s="12"/>
      <c r="C69" s="12"/>
      <c r="D69" s="12"/>
      <c r="E69" s="12"/>
      <c r="F69" s="12"/>
      <c r="G69" s="12"/>
      <c r="H69" s="12"/>
      <c r="I69" s="15"/>
      <c r="J69" s="15"/>
      <c r="K69" s="15"/>
      <c r="L69" s="15"/>
      <c r="M69" s="15"/>
      <c r="N69" s="15"/>
    </row>
    <row r="70" spans="1:14" ht="11.25" customHeight="1" x14ac:dyDescent="0.2">
      <c r="A70" s="12"/>
      <c r="B70" s="12"/>
      <c r="C70" s="12"/>
      <c r="D70" s="12"/>
      <c r="E70" s="12"/>
      <c r="F70" s="12"/>
      <c r="G70" s="12"/>
      <c r="H70" s="12"/>
      <c r="I70" s="15"/>
      <c r="J70" s="15"/>
      <c r="K70" s="15"/>
      <c r="L70" s="15"/>
      <c r="M70" s="15"/>
      <c r="N70" s="15"/>
    </row>
    <row r="71" spans="1:14" ht="11.25" customHeight="1" x14ac:dyDescent="0.2">
      <c r="A71" s="12"/>
      <c r="B71" s="12"/>
      <c r="C71" s="12"/>
      <c r="D71" s="12"/>
      <c r="E71" s="12"/>
      <c r="F71" s="12"/>
      <c r="G71" s="12"/>
      <c r="H71" s="12"/>
      <c r="I71" s="15"/>
      <c r="J71" s="15"/>
      <c r="K71" s="15"/>
      <c r="L71" s="15"/>
      <c r="M71" s="15"/>
      <c r="N71" s="15"/>
    </row>
    <row r="72" spans="1:14" ht="11.25" customHeight="1" x14ac:dyDescent="0.2">
      <c r="A72" s="12"/>
      <c r="B72" s="12"/>
      <c r="C72" s="12"/>
      <c r="D72" s="12"/>
      <c r="E72" s="12"/>
      <c r="F72" s="12"/>
      <c r="G72" s="12"/>
      <c r="H72" s="12"/>
      <c r="I72" s="15"/>
      <c r="J72" s="15"/>
      <c r="K72" s="15"/>
      <c r="L72" s="15"/>
      <c r="M72" s="15"/>
      <c r="N72" s="15"/>
    </row>
    <row r="73" spans="1:14" ht="11.25" customHeight="1" x14ac:dyDescent="0.2">
      <c r="A73" s="12"/>
      <c r="B73" s="12"/>
      <c r="C73" s="12"/>
      <c r="D73" s="12"/>
      <c r="E73" s="12"/>
      <c r="F73" s="12"/>
      <c r="G73" s="12"/>
      <c r="H73" s="12"/>
      <c r="I73" s="15"/>
      <c r="J73" s="15"/>
      <c r="K73" s="15"/>
      <c r="L73" s="15"/>
      <c r="M73" s="15"/>
      <c r="N73" s="15"/>
    </row>
    <row r="74" spans="1:14" ht="11.25" customHeight="1" x14ac:dyDescent="0.2">
      <c r="A74" s="12"/>
      <c r="B74" s="12"/>
      <c r="C74" s="12"/>
      <c r="D74" s="12"/>
      <c r="E74" s="12"/>
      <c r="F74" s="12"/>
      <c r="G74" s="12"/>
      <c r="H74" s="12"/>
      <c r="I74" s="15"/>
      <c r="J74" s="15"/>
      <c r="K74" s="15"/>
      <c r="L74" s="15"/>
      <c r="M74" s="15"/>
      <c r="N74" s="15"/>
    </row>
    <row r="75" spans="1:14" ht="11.25" customHeight="1" x14ac:dyDescent="0.2">
      <c r="A75" s="12"/>
      <c r="B75" s="12"/>
      <c r="C75" s="12"/>
      <c r="D75" s="12"/>
      <c r="E75" s="12"/>
      <c r="F75" s="12"/>
      <c r="G75" s="12"/>
      <c r="H75" s="12"/>
      <c r="I75" s="15"/>
      <c r="J75" s="15"/>
      <c r="K75" s="15"/>
      <c r="L75" s="15"/>
      <c r="M75" s="15"/>
      <c r="N75" s="15"/>
    </row>
    <row r="76" spans="1:14" ht="11.25" customHeight="1" x14ac:dyDescent="0.2">
      <c r="A76" s="12"/>
      <c r="B76" s="12"/>
      <c r="C76" s="12"/>
      <c r="D76" s="12"/>
      <c r="E76" s="12"/>
      <c r="F76" s="12"/>
      <c r="G76" s="12"/>
      <c r="H76" s="12"/>
      <c r="I76" s="15"/>
      <c r="J76" s="15"/>
      <c r="K76" s="15"/>
      <c r="L76" s="15"/>
      <c r="M76" s="15"/>
      <c r="N76" s="15"/>
    </row>
    <row r="77" spans="1:14" ht="11.25" customHeight="1" x14ac:dyDescent="0.2">
      <c r="A77" s="12"/>
      <c r="B77" s="12"/>
      <c r="C77" s="12"/>
      <c r="D77" s="12"/>
      <c r="E77" s="12"/>
      <c r="F77" s="12"/>
      <c r="G77" s="12"/>
      <c r="H77" s="12"/>
      <c r="I77" s="15"/>
      <c r="J77" s="15"/>
      <c r="K77" s="15"/>
      <c r="L77" s="15"/>
      <c r="M77" s="15"/>
      <c r="N77" s="15"/>
    </row>
    <row r="78" spans="1:14" ht="11.25" customHeight="1" x14ac:dyDescent="0.2">
      <c r="A78" s="12"/>
      <c r="B78" s="12"/>
      <c r="C78" s="12"/>
      <c r="D78" s="12"/>
      <c r="E78" s="12"/>
      <c r="F78" s="12"/>
      <c r="G78" s="12"/>
      <c r="H78" s="12"/>
      <c r="I78" s="15"/>
      <c r="J78" s="15"/>
      <c r="K78" s="15"/>
      <c r="L78" s="15"/>
      <c r="M78" s="15"/>
      <c r="N78" s="15"/>
    </row>
    <row r="79" spans="1:14" ht="11.25" customHeight="1" x14ac:dyDescent="0.2">
      <c r="A79" s="12"/>
      <c r="B79" s="12"/>
      <c r="C79" s="12"/>
      <c r="D79" s="12"/>
      <c r="E79" s="12"/>
      <c r="F79" s="12"/>
      <c r="G79" s="12"/>
      <c r="H79" s="12"/>
      <c r="I79" s="15"/>
      <c r="J79" s="15"/>
      <c r="K79" s="15"/>
      <c r="L79" s="15"/>
      <c r="M79" s="15"/>
      <c r="N79" s="15"/>
    </row>
    <row r="80" spans="1:14" ht="11.25" customHeight="1" x14ac:dyDescent="0.2">
      <c r="A80" s="12"/>
      <c r="B80" s="12"/>
      <c r="C80" s="12"/>
      <c r="D80" s="12"/>
      <c r="E80" s="12"/>
      <c r="F80" s="12"/>
      <c r="G80" s="12"/>
      <c r="H80" s="12"/>
      <c r="I80" s="15"/>
      <c r="J80" s="15"/>
      <c r="K80" s="15"/>
      <c r="L80" s="15"/>
      <c r="M80" s="15"/>
      <c r="N80" s="15"/>
    </row>
    <row r="81" spans="1:14" ht="11.25" customHeight="1" x14ac:dyDescent="0.2">
      <c r="A81" s="12"/>
      <c r="B81" s="12"/>
      <c r="C81" s="12"/>
      <c r="D81" s="12"/>
      <c r="E81" s="12"/>
      <c r="F81" s="12"/>
      <c r="G81" s="12"/>
      <c r="H81" s="12"/>
      <c r="I81" s="15"/>
      <c r="J81" s="15"/>
      <c r="K81" s="15"/>
      <c r="L81" s="15"/>
      <c r="M81" s="15"/>
      <c r="N81" s="15"/>
    </row>
    <row r="82" spans="1:14" ht="11.25" customHeight="1" x14ac:dyDescent="0.2">
      <c r="A82" s="12"/>
      <c r="B82" s="12"/>
      <c r="C82" s="12"/>
      <c r="D82" s="12"/>
      <c r="E82" s="12"/>
      <c r="F82" s="12"/>
      <c r="G82" s="12"/>
      <c r="H82" s="12"/>
      <c r="I82" s="15"/>
      <c r="J82" s="15"/>
      <c r="K82" s="15"/>
      <c r="L82" s="15"/>
      <c r="M82" s="15"/>
      <c r="N82" s="15"/>
    </row>
    <row r="83" spans="1:14" ht="11.25" customHeight="1" x14ac:dyDescent="0.2">
      <c r="A83" s="12"/>
      <c r="B83" s="12"/>
      <c r="C83" s="12"/>
      <c r="D83" s="12"/>
      <c r="E83" s="12"/>
      <c r="F83" s="12"/>
      <c r="G83" s="12"/>
      <c r="H83" s="12"/>
      <c r="I83" s="15"/>
      <c r="J83" s="15"/>
      <c r="K83" s="15"/>
      <c r="L83" s="15"/>
      <c r="M83" s="15"/>
      <c r="N83" s="15"/>
    </row>
    <row r="84" spans="1:14" ht="11.25" customHeight="1" x14ac:dyDescent="0.2">
      <c r="A84" s="12"/>
      <c r="B84" s="12"/>
      <c r="C84" s="12"/>
      <c r="D84" s="12"/>
      <c r="E84" s="12"/>
      <c r="F84" s="12"/>
      <c r="G84" s="12"/>
      <c r="H84" s="12"/>
      <c r="I84" s="15"/>
      <c r="J84" s="15"/>
      <c r="K84" s="15"/>
      <c r="L84" s="15"/>
      <c r="M84" s="15"/>
      <c r="N84" s="15"/>
    </row>
    <row r="85" spans="1:14" ht="11.25" customHeight="1" x14ac:dyDescent="0.2">
      <c r="A85" s="12"/>
      <c r="B85" s="12"/>
      <c r="C85" s="12"/>
      <c r="D85" s="12"/>
      <c r="E85" s="12"/>
      <c r="F85" s="12"/>
      <c r="G85" s="12"/>
      <c r="H85" s="12"/>
      <c r="I85" s="15"/>
      <c r="J85" s="15"/>
      <c r="K85" s="15"/>
      <c r="L85" s="15"/>
      <c r="M85" s="15"/>
      <c r="N85" s="15"/>
    </row>
    <row r="86" spans="1:14" ht="11.25" customHeight="1" x14ac:dyDescent="0.2">
      <c r="A86" s="12"/>
      <c r="B86" s="12"/>
      <c r="C86" s="12"/>
      <c r="D86" s="12"/>
      <c r="E86" s="12"/>
      <c r="F86" s="12"/>
      <c r="G86" s="12"/>
      <c r="H86" s="12"/>
      <c r="I86" s="15"/>
      <c r="J86" s="15"/>
      <c r="K86" s="15"/>
      <c r="L86" s="15"/>
      <c r="M86" s="15"/>
      <c r="N86" s="15"/>
    </row>
    <row r="87" spans="1:14" ht="11.25" customHeight="1" x14ac:dyDescent="0.2">
      <c r="A87" s="12"/>
      <c r="B87" s="12"/>
      <c r="C87" s="12"/>
      <c r="D87" s="12"/>
      <c r="E87" s="12"/>
      <c r="F87" s="12"/>
      <c r="G87" s="12"/>
      <c r="H87" s="12"/>
      <c r="I87" s="15"/>
      <c r="J87" s="15"/>
      <c r="K87" s="15"/>
      <c r="L87" s="15"/>
      <c r="M87" s="15"/>
      <c r="N87" s="15"/>
    </row>
    <row r="88" spans="1:14" ht="11.25" customHeight="1" x14ac:dyDescent="0.2">
      <c r="A88" s="12"/>
      <c r="B88" s="12"/>
      <c r="C88" s="12"/>
      <c r="D88" s="12"/>
      <c r="E88" s="12"/>
      <c r="F88" s="12"/>
      <c r="G88" s="12"/>
      <c r="H88" s="12"/>
      <c r="I88" s="15"/>
      <c r="J88" s="15"/>
      <c r="K88" s="15"/>
      <c r="L88" s="15"/>
      <c r="M88" s="15"/>
      <c r="N88" s="15"/>
    </row>
    <row r="89" spans="1:14" ht="11.25" customHeight="1" x14ac:dyDescent="0.2">
      <c r="A89" s="12"/>
      <c r="B89" s="12"/>
      <c r="C89" s="12"/>
      <c r="D89" s="12"/>
      <c r="E89" s="12"/>
      <c r="F89" s="12"/>
      <c r="G89" s="12"/>
      <c r="H89" s="12"/>
      <c r="I89" s="15"/>
      <c r="J89" s="15"/>
      <c r="K89" s="15"/>
      <c r="L89" s="15"/>
      <c r="M89" s="15"/>
      <c r="N89" s="15"/>
    </row>
    <row r="90" spans="1:14" ht="11.25" customHeight="1" x14ac:dyDescent="0.2">
      <c r="A90" s="12"/>
      <c r="B90" s="12"/>
      <c r="C90" s="12"/>
      <c r="D90" s="12"/>
      <c r="E90" s="12"/>
      <c r="F90" s="12"/>
      <c r="G90" s="12"/>
      <c r="H90" s="12"/>
      <c r="I90" s="15"/>
      <c r="J90" s="15"/>
      <c r="K90" s="15"/>
      <c r="L90" s="15"/>
      <c r="M90" s="15"/>
      <c r="N90" s="15"/>
    </row>
    <row r="91" spans="1:14" ht="11.25" customHeight="1" x14ac:dyDescent="0.2">
      <c r="A91" s="12"/>
      <c r="B91" s="12"/>
      <c r="C91" s="12"/>
      <c r="D91" s="12"/>
      <c r="E91" s="12"/>
      <c r="F91" s="12"/>
      <c r="G91" s="12"/>
      <c r="H91" s="12"/>
      <c r="I91" s="15"/>
      <c r="J91" s="15"/>
      <c r="K91" s="15"/>
      <c r="L91" s="15"/>
      <c r="M91" s="15"/>
      <c r="N91" s="15"/>
    </row>
    <row r="92" spans="1:14" ht="11.25" customHeight="1" x14ac:dyDescent="0.2">
      <c r="A92" s="12"/>
      <c r="B92" s="12"/>
      <c r="C92" s="12"/>
      <c r="D92" s="12"/>
      <c r="E92" s="12"/>
      <c r="F92" s="12"/>
      <c r="G92" s="12"/>
      <c r="H92" s="12"/>
      <c r="I92" s="15"/>
      <c r="J92" s="15"/>
      <c r="K92" s="15"/>
      <c r="L92" s="15"/>
      <c r="M92" s="15"/>
      <c r="N92" s="15"/>
    </row>
    <row r="93" spans="1:14" ht="11.25" customHeight="1" x14ac:dyDescent="0.2">
      <c r="A93" s="12"/>
      <c r="B93" s="12"/>
      <c r="C93" s="12"/>
      <c r="D93" s="12"/>
      <c r="E93" s="12"/>
      <c r="F93" s="12"/>
      <c r="G93" s="12"/>
      <c r="H93" s="12"/>
      <c r="I93" s="15"/>
      <c r="J93" s="15"/>
      <c r="K93" s="15"/>
      <c r="L93" s="15"/>
      <c r="M93" s="15"/>
      <c r="N93" s="15"/>
    </row>
    <row r="94" spans="1:14" ht="11.25" customHeight="1" x14ac:dyDescent="0.2">
      <c r="A94" s="12"/>
      <c r="B94" s="12"/>
      <c r="C94" s="12"/>
      <c r="D94" s="12"/>
      <c r="E94" s="12"/>
      <c r="F94" s="12"/>
      <c r="G94" s="12"/>
      <c r="H94" s="12"/>
      <c r="I94" s="15"/>
      <c r="J94" s="15"/>
      <c r="K94" s="15"/>
      <c r="L94" s="15"/>
      <c r="M94" s="15"/>
      <c r="N94" s="15"/>
    </row>
    <row r="95" spans="1:14" ht="11.25" customHeight="1" x14ac:dyDescent="0.2">
      <c r="A95" s="12"/>
      <c r="B95" s="12"/>
      <c r="C95" s="12"/>
      <c r="D95" s="12"/>
      <c r="E95" s="12"/>
      <c r="F95" s="12"/>
      <c r="G95" s="12"/>
      <c r="H95" s="12"/>
      <c r="I95" s="15"/>
      <c r="J95" s="15"/>
      <c r="K95" s="15"/>
      <c r="L95" s="15"/>
      <c r="M95" s="15"/>
      <c r="N95" s="15"/>
    </row>
    <row r="96" spans="1:14" ht="11.25" customHeight="1" x14ac:dyDescent="0.2">
      <c r="A96" s="12"/>
      <c r="B96" s="12"/>
      <c r="C96" s="12"/>
      <c r="D96" s="12"/>
      <c r="E96" s="12"/>
      <c r="F96" s="12"/>
      <c r="G96" s="12"/>
      <c r="H96" s="12"/>
      <c r="I96" s="15"/>
      <c r="J96" s="15"/>
      <c r="K96" s="15"/>
      <c r="L96" s="15"/>
      <c r="M96" s="15"/>
      <c r="N96" s="15"/>
    </row>
    <row r="97" spans="1:14" ht="11.25" customHeight="1" x14ac:dyDescent="0.2">
      <c r="A97" s="12"/>
      <c r="B97" s="12"/>
      <c r="C97" s="12"/>
      <c r="D97" s="12"/>
      <c r="E97" s="12"/>
      <c r="F97" s="12"/>
      <c r="G97" s="12"/>
      <c r="H97" s="12"/>
      <c r="I97" s="15"/>
      <c r="J97" s="15"/>
      <c r="K97" s="15"/>
      <c r="L97" s="15"/>
      <c r="M97" s="15"/>
      <c r="N97" s="15"/>
    </row>
    <row r="98" spans="1:14" ht="11.25" customHeight="1" x14ac:dyDescent="0.2">
      <c r="A98" s="12"/>
      <c r="B98" s="12"/>
      <c r="C98" s="12"/>
      <c r="D98" s="12"/>
      <c r="E98" s="12"/>
      <c r="F98" s="12"/>
      <c r="G98" s="12"/>
      <c r="H98" s="12"/>
      <c r="I98" s="15"/>
      <c r="J98" s="15"/>
      <c r="K98" s="15"/>
      <c r="L98" s="15"/>
      <c r="M98" s="15"/>
      <c r="N98" s="15"/>
    </row>
    <row r="99" spans="1:14" ht="11.25" customHeight="1" x14ac:dyDescent="0.2">
      <c r="A99" s="12"/>
      <c r="B99" s="12"/>
      <c r="C99" s="12"/>
      <c r="D99" s="12"/>
      <c r="E99" s="12"/>
      <c r="F99" s="12"/>
      <c r="G99" s="12"/>
      <c r="H99" s="12"/>
      <c r="I99" s="15"/>
      <c r="J99" s="15"/>
      <c r="K99" s="15"/>
      <c r="L99" s="15"/>
      <c r="M99" s="15"/>
      <c r="N99" s="15"/>
    </row>
    <row r="100" spans="1:14" ht="11.25" customHeight="1" x14ac:dyDescent="0.2">
      <c r="A100" s="12"/>
      <c r="B100" s="12"/>
      <c r="C100" s="12"/>
      <c r="D100" s="12"/>
      <c r="E100" s="12"/>
      <c r="F100" s="12"/>
      <c r="G100" s="12"/>
      <c r="H100" s="12"/>
      <c r="I100" s="15"/>
      <c r="J100" s="15"/>
      <c r="K100" s="15"/>
      <c r="L100" s="15"/>
      <c r="M100" s="15"/>
      <c r="N100" s="15"/>
    </row>
  </sheetData>
  <mergeCells count="12">
    <mergeCell ref="H3:H4"/>
    <mergeCell ref="I3:J3"/>
    <mergeCell ref="K3:L3"/>
    <mergeCell ref="G3:G4"/>
    <mergeCell ref="F3:F4"/>
    <mergeCell ref="A41:E41"/>
    <mergeCell ref="A3:A4"/>
    <mergeCell ref="B3:B4"/>
    <mergeCell ref="C3:C4"/>
    <mergeCell ref="D3:D4"/>
    <mergeCell ref="E3:E4"/>
    <mergeCell ref="C34:C35"/>
  </mergeCells>
  <printOptions horizontalCentered="1"/>
  <pageMargins left="0.23622047244094491" right="0.23622047244094491" top="0.74803149606299213" bottom="0.74803149606299213" header="0" footer="0"/>
  <pageSetup paperSize="9" scale="79" orientation="landscape"/>
  <headerFooter>
    <oddHeader>&amp;CPROYECTO DE PRESUPUESTO 2021</oddHeader>
    <oddFooter>&amp;LPROYECTO DE PRESUPUESTO PARA EL AÑO FISCAL 2020 INFORMACIÓN PARA LA COMISIÓN DE PRESUPUESTO Y CUENTA GENERAL DE LA REPÚBLICA DEL CONGRESO DE LA REPÚBLICA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100"/>
  <sheetViews>
    <sheetView workbookViewId="0"/>
  </sheetViews>
  <sheetFormatPr baseColWidth="10" defaultColWidth="14.42578125" defaultRowHeight="15" customHeight="1" x14ac:dyDescent="0.2"/>
  <cols>
    <col min="1" max="11" width="10.710937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Q100"/>
  <sheetViews>
    <sheetView showGridLines="0" workbookViewId="0"/>
  </sheetViews>
  <sheetFormatPr baseColWidth="10" defaultColWidth="14.42578125" defaultRowHeight="15" customHeight="1" x14ac:dyDescent="0.2"/>
  <cols>
    <col min="1" max="1" width="65.7109375" customWidth="1"/>
    <col min="2" max="3" width="14.7109375" customWidth="1"/>
    <col min="4" max="4" width="15.28515625" customWidth="1"/>
    <col min="5" max="9" width="11.28515625" customWidth="1"/>
    <col min="10" max="10" width="18.85546875" customWidth="1"/>
    <col min="11" max="17" width="11.28515625" customWidth="1"/>
  </cols>
  <sheetData>
    <row r="1" spans="1:17" ht="11.25" customHeight="1" x14ac:dyDescent="0.2">
      <c r="A1" s="36" t="s">
        <v>241</v>
      </c>
      <c r="B1" s="37"/>
      <c r="C1" s="37"/>
      <c r="D1" s="37"/>
      <c r="E1" s="37"/>
      <c r="F1" s="37"/>
      <c r="G1" s="37"/>
      <c r="H1" s="37"/>
      <c r="I1" s="37"/>
      <c r="J1" s="37"/>
      <c r="K1" s="37"/>
      <c r="L1" s="37"/>
      <c r="M1" s="37"/>
      <c r="N1" s="37"/>
      <c r="O1" s="37"/>
      <c r="P1" s="37"/>
      <c r="Q1" s="37"/>
    </row>
    <row r="2" spans="1:17" ht="11.25" customHeight="1" x14ac:dyDescent="0.2">
      <c r="A2" s="17" t="s">
        <v>242</v>
      </c>
      <c r="B2" s="37"/>
      <c r="C2" s="37"/>
      <c r="D2" s="37"/>
      <c r="E2" s="37"/>
      <c r="F2" s="37"/>
      <c r="G2" s="37"/>
      <c r="H2" s="37"/>
      <c r="I2" s="37"/>
      <c r="J2" s="37"/>
      <c r="K2" s="37"/>
      <c r="L2" s="37"/>
      <c r="M2" s="37"/>
      <c r="N2" s="37"/>
      <c r="O2" s="37"/>
      <c r="P2" s="37"/>
      <c r="Q2" s="37"/>
    </row>
    <row r="3" spans="1:17" ht="9.75" customHeight="1" x14ac:dyDescent="0.2">
      <c r="A3" s="17"/>
      <c r="B3" s="37"/>
      <c r="C3" s="37"/>
      <c r="D3" s="37"/>
      <c r="E3" s="37"/>
      <c r="F3" s="37"/>
      <c r="G3" s="37"/>
      <c r="H3" s="37"/>
      <c r="I3" s="37"/>
      <c r="J3" s="37"/>
      <c r="K3" s="37"/>
      <c r="L3" s="37"/>
      <c r="M3" s="37"/>
      <c r="N3" s="37"/>
      <c r="O3" s="37"/>
      <c r="P3" s="37"/>
      <c r="Q3" s="37"/>
    </row>
    <row r="4" spans="1:17" ht="27.75" customHeight="1" x14ac:dyDescent="0.2">
      <c r="A4" s="18" t="s">
        <v>243</v>
      </c>
      <c r="B4" s="38">
        <v>2019</v>
      </c>
      <c r="C4" s="38">
        <v>2020</v>
      </c>
      <c r="D4" s="38">
        <v>2021</v>
      </c>
      <c r="E4" s="39"/>
      <c r="F4" s="39"/>
      <c r="G4" s="39"/>
      <c r="H4" s="39"/>
      <c r="I4" s="39"/>
      <c r="J4" s="39"/>
      <c r="K4" s="39"/>
      <c r="L4" s="39"/>
      <c r="M4" s="39"/>
      <c r="N4" s="39"/>
      <c r="O4" s="39"/>
      <c r="P4" s="39"/>
      <c r="Q4" s="39"/>
    </row>
    <row r="5" spans="1:17" ht="23.25" customHeight="1" x14ac:dyDescent="0.2">
      <c r="A5" s="40" t="s">
        <v>244</v>
      </c>
      <c r="B5" s="41">
        <v>237140352</v>
      </c>
      <c r="C5" s="41">
        <v>194573805</v>
      </c>
      <c r="D5" s="41">
        <v>176716113</v>
      </c>
      <c r="E5" s="37"/>
      <c r="F5" s="37"/>
      <c r="G5" s="37"/>
      <c r="H5" s="37"/>
      <c r="I5" s="37"/>
      <c r="J5" s="37"/>
      <c r="K5" s="37"/>
      <c r="L5" s="37"/>
      <c r="M5" s="37"/>
      <c r="N5" s="37"/>
      <c r="O5" s="37"/>
      <c r="P5" s="37"/>
      <c r="Q5" s="37"/>
    </row>
    <row r="6" spans="1:17" ht="23.25" customHeight="1" x14ac:dyDescent="0.2">
      <c r="A6" s="40" t="s">
        <v>245</v>
      </c>
      <c r="B6" s="41">
        <v>246843111</v>
      </c>
      <c r="C6" s="41">
        <v>256619663</v>
      </c>
      <c r="D6" s="41">
        <v>243532744</v>
      </c>
      <c r="E6" s="37"/>
      <c r="F6" s="37"/>
      <c r="G6" s="37"/>
      <c r="H6" s="37"/>
      <c r="I6" s="37"/>
      <c r="J6" s="37"/>
      <c r="K6" s="37"/>
      <c r="L6" s="37"/>
      <c r="M6" s="37"/>
      <c r="N6" s="37"/>
      <c r="O6" s="37"/>
      <c r="P6" s="37"/>
      <c r="Q6" s="37"/>
    </row>
    <row r="7" spans="1:17" ht="23.25" customHeight="1" x14ac:dyDescent="0.2">
      <c r="A7" s="40" t="s">
        <v>246</v>
      </c>
      <c r="B7" s="41">
        <v>4079161998</v>
      </c>
      <c r="C7" s="41">
        <v>3395580163</v>
      </c>
      <c r="D7" s="41">
        <v>2935006057</v>
      </c>
      <c r="E7" s="37"/>
      <c r="F7" s="37"/>
      <c r="G7" s="37"/>
      <c r="H7" s="37"/>
      <c r="I7" s="37"/>
      <c r="J7" s="37"/>
      <c r="K7" s="37"/>
      <c r="L7" s="37"/>
      <c r="M7" s="37"/>
      <c r="N7" s="37"/>
      <c r="O7" s="37"/>
      <c r="P7" s="37"/>
      <c r="Q7" s="37"/>
    </row>
    <row r="8" spans="1:17" ht="27.75" customHeight="1" x14ac:dyDescent="0.2">
      <c r="A8" s="42" t="s">
        <v>247</v>
      </c>
      <c r="B8" s="43">
        <f t="shared" ref="B8:D8" si="0">SUM(B5:B7)</f>
        <v>4563145461</v>
      </c>
      <c r="C8" s="43">
        <f t="shared" si="0"/>
        <v>3846773631</v>
      </c>
      <c r="D8" s="43">
        <f t="shared" si="0"/>
        <v>3355254914</v>
      </c>
      <c r="E8" s="12"/>
      <c r="F8" s="12"/>
      <c r="G8" s="12"/>
      <c r="H8" s="12"/>
      <c r="I8" s="12"/>
      <c r="J8" s="12"/>
      <c r="K8" s="12"/>
      <c r="L8" s="12"/>
      <c r="M8" s="12"/>
      <c r="N8" s="12"/>
      <c r="O8" s="12"/>
      <c r="P8" s="12"/>
      <c r="Q8" s="12"/>
    </row>
    <row r="9" spans="1:17" ht="11.25" customHeight="1" x14ac:dyDescent="0.2">
      <c r="A9" s="12"/>
      <c r="B9" s="12"/>
      <c r="C9" s="12"/>
      <c r="D9" s="12"/>
      <c r="E9" s="37"/>
      <c r="F9" s="37"/>
      <c r="G9" s="37"/>
      <c r="H9" s="37"/>
      <c r="I9" s="37"/>
      <c r="J9" s="37"/>
      <c r="K9" s="37"/>
      <c r="L9" s="37"/>
      <c r="M9" s="37"/>
      <c r="N9" s="37"/>
      <c r="O9" s="37"/>
      <c r="P9" s="37"/>
      <c r="Q9" s="37"/>
    </row>
    <row r="10" spans="1:17" ht="27.75" customHeight="1" x14ac:dyDescent="0.2">
      <c r="A10" s="18" t="s">
        <v>248</v>
      </c>
      <c r="B10" s="38">
        <v>2019</v>
      </c>
      <c r="C10" s="38" t="s">
        <v>249</v>
      </c>
      <c r="D10" s="38" t="s">
        <v>250</v>
      </c>
      <c r="E10" s="39"/>
      <c r="F10" s="39"/>
      <c r="G10" s="39"/>
      <c r="H10" s="39"/>
      <c r="I10" s="39"/>
      <c r="J10" s="39"/>
      <c r="K10" s="39"/>
      <c r="L10" s="39"/>
      <c r="M10" s="39"/>
      <c r="N10" s="39"/>
      <c r="O10" s="39"/>
      <c r="P10" s="39"/>
      <c r="Q10" s="39"/>
    </row>
    <row r="11" spans="1:17" ht="23.25" customHeight="1" x14ac:dyDescent="0.2">
      <c r="A11" s="40" t="s">
        <v>244</v>
      </c>
      <c r="B11" s="41">
        <v>226569952</v>
      </c>
      <c r="C11" s="41">
        <v>3391180263</v>
      </c>
      <c r="D11" s="41">
        <v>176716113</v>
      </c>
      <c r="E11" s="37"/>
      <c r="F11" s="37"/>
      <c r="G11" s="37"/>
      <c r="H11" s="37"/>
      <c r="I11" s="37"/>
      <c r="J11" s="37"/>
      <c r="K11" s="37"/>
      <c r="L11" s="37"/>
      <c r="M11" s="37"/>
      <c r="N11" s="37"/>
      <c r="O11" s="37"/>
      <c r="P11" s="37"/>
      <c r="Q11" s="37"/>
    </row>
    <row r="12" spans="1:17" ht="23.25" customHeight="1" x14ac:dyDescent="0.2">
      <c r="A12" s="40" t="s">
        <v>245</v>
      </c>
      <c r="B12" s="41">
        <v>331547439</v>
      </c>
      <c r="C12" s="41">
        <v>198472540</v>
      </c>
      <c r="D12" s="41">
        <v>243532744</v>
      </c>
      <c r="E12" s="37"/>
      <c r="F12" s="37"/>
      <c r="G12" s="37"/>
      <c r="H12" s="37"/>
      <c r="I12" s="37"/>
      <c r="J12" s="37"/>
      <c r="K12" s="37"/>
      <c r="L12" s="37"/>
      <c r="M12" s="37"/>
      <c r="N12" s="37"/>
      <c r="O12" s="37"/>
      <c r="P12" s="37"/>
      <c r="Q12" s="37"/>
    </row>
    <row r="13" spans="1:17" ht="23.25" customHeight="1" x14ac:dyDescent="0.2">
      <c r="A13" s="40" t="s">
        <v>246</v>
      </c>
      <c r="B13" s="41">
        <v>3709248536</v>
      </c>
      <c r="C13" s="41">
        <v>323543999</v>
      </c>
      <c r="D13" s="41">
        <v>2935006057</v>
      </c>
      <c r="E13" s="37"/>
      <c r="F13" s="37"/>
      <c r="G13" s="37"/>
      <c r="H13" s="37"/>
      <c r="I13" s="37"/>
      <c r="J13" s="37"/>
      <c r="K13" s="37"/>
      <c r="L13" s="37"/>
      <c r="M13" s="37"/>
      <c r="N13" s="37"/>
      <c r="O13" s="37"/>
      <c r="P13" s="37"/>
      <c r="Q13" s="37"/>
    </row>
    <row r="14" spans="1:17" ht="27.75" customHeight="1" x14ac:dyDescent="0.2">
      <c r="A14" s="42" t="s">
        <v>251</v>
      </c>
      <c r="B14" s="43">
        <f t="shared" ref="B14:D14" si="1">SUM(B11:B13)</f>
        <v>4267365927</v>
      </c>
      <c r="C14" s="43">
        <f t="shared" si="1"/>
        <v>3913196802</v>
      </c>
      <c r="D14" s="43">
        <f t="shared" si="1"/>
        <v>3355254914</v>
      </c>
      <c r="E14" s="12"/>
      <c r="F14" s="12"/>
      <c r="G14" s="12"/>
      <c r="H14" s="12"/>
      <c r="I14" s="12"/>
      <c r="J14" s="12"/>
      <c r="K14" s="12"/>
      <c r="L14" s="12"/>
      <c r="M14" s="12"/>
      <c r="N14" s="12"/>
      <c r="O14" s="12"/>
      <c r="P14" s="12"/>
      <c r="Q14" s="12"/>
    </row>
    <row r="15" spans="1:17" ht="11.25" customHeight="1" x14ac:dyDescent="0.2">
      <c r="A15" s="12"/>
      <c r="B15" s="12"/>
      <c r="C15" s="12"/>
      <c r="D15" s="12"/>
      <c r="E15" s="37"/>
      <c r="F15" s="37"/>
      <c r="G15" s="37"/>
      <c r="H15" s="37"/>
      <c r="I15" s="37"/>
      <c r="J15" s="37"/>
      <c r="K15" s="37"/>
      <c r="L15" s="37"/>
      <c r="M15" s="37"/>
      <c r="N15" s="37"/>
      <c r="O15" s="37"/>
      <c r="P15" s="37"/>
      <c r="Q15" s="37"/>
    </row>
    <row r="16" spans="1:17" ht="27.75" customHeight="1" x14ac:dyDescent="0.2">
      <c r="A16" s="18" t="s">
        <v>252</v>
      </c>
      <c r="B16" s="38">
        <v>2019</v>
      </c>
      <c r="C16" s="38" t="s">
        <v>249</v>
      </c>
      <c r="D16" s="38" t="s">
        <v>250</v>
      </c>
      <c r="E16" s="39"/>
      <c r="F16" s="39"/>
      <c r="G16" s="39"/>
      <c r="H16" s="39"/>
      <c r="I16" s="39"/>
      <c r="J16" s="12"/>
      <c r="K16" s="39"/>
      <c r="L16" s="39"/>
      <c r="M16" s="39"/>
      <c r="N16" s="39"/>
      <c r="O16" s="39"/>
      <c r="P16" s="39"/>
      <c r="Q16" s="39"/>
    </row>
    <row r="17" spans="1:17" ht="23.25" customHeight="1" x14ac:dyDescent="0.2">
      <c r="A17" s="40" t="s">
        <v>244</v>
      </c>
      <c r="B17" s="41">
        <v>185898033.59999973</v>
      </c>
      <c r="C17" s="41">
        <v>167635224.51999003</v>
      </c>
      <c r="D17" s="41">
        <v>176716113</v>
      </c>
      <c r="E17" s="37"/>
      <c r="F17" s="37"/>
      <c r="G17" s="37"/>
      <c r="H17" s="37"/>
      <c r="I17" s="37"/>
      <c r="J17" s="12"/>
      <c r="K17" s="37"/>
      <c r="L17" s="37"/>
      <c r="M17" s="37"/>
      <c r="N17" s="37"/>
      <c r="O17" s="37"/>
      <c r="P17" s="37"/>
      <c r="Q17" s="44"/>
    </row>
    <row r="18" spans="1:17" ht="23.25" customHeight="1" x14ac:dyDescent="0.2">
      <c r="A18" s="40" t="s">
        <v>245</v>
      </c>
      <c r="B18" s="41">
        <v>242631406.06999969</v>
      </c>
      <c r="C18" s="41">
        <v>255373676.93083328</v>
      </c>
      <c r="D18" s="41">
        <v>243532744</v>
      </c>
      <c r="E18" s="37"/>
      <c r="F18" s="37"/>
      <c r="G18" s="37"/>
      <c r="H18" s="37"/>
      <c r="I18" s="37"/>
      <c r="J18" s="12"/>
      <c r="K18" s="37"/>
      <c r="L18" s="12"/>
      <c r="M18" s="37"/>
      <c r="N18" s="37"/>
      <c r="O18" s="37"/>
      <c r="P18" s="37"/>
      <c r="Q18" s="44"/>
    </row>
    <row r="19" spans="1:17" ht="23.25" customHeight="1" x14ac:dyDescent="0.2">
      <c r="A19" s="40" t="s">
        <v>246</v>
      </c>
      <c r="B19" s="41">
        <v>3172351015.0900016</v>
      </c>
      <c r="C19" s="41">
        <f>3030844880.82629-101470456.953072</f>
        <v>2929374423.8732181</v>
      </c>
      <c r="D19" s="41">
        <v>2935006057</v>
      </c>
      <c r="E19" s="37"/>
      <c r="F19" s="37"/>
      <c r="G19" s="37"/>
      <c r="H19" s="37"/>
      <c r="I19" s="37"/>
      <c r="J19" s="12"/>
      <c r="K19" s="37"/>
      <c r="L19" s="37"/>
      <c r="M19" s="37"/>
      <c r="N19" s="37"/>
      <c r="O19" s="37"/>
      <c r="P19" s="37"/>
      <c r="Q19" s="44"/>
    </row>
    <row r="20" spans="1:17" ht="27.75" customHeight="1" x14ac:dyDescent="0.2">
      <c r="A20" s="42" t="s">
        <v>253</v>
      </c>
      <c r="B20" s="43">
        <f t="shared" ref="B20:D20" si="2">SUM(B17:B19)</f>
        <v>3600880454.7600012</v>
      </c>
      <c r="C20" s="43">
        <f t="shared" si="2"/>
        <v>3352383325.3240414</v>
      </c>
      <c r="D20" s="43">
        <f t="shared" si="2"/>
        <v>3355254914</v>
      </c>
      <c r="E20" s="12"/>
      <c r="F20" s="12"/>
      <c r="G20" s="12"/>
      <c r="H20" s="12"/>
      <c r="I20" s="12"/>
      <c r="J20" s="12"/>
      <c r="K20" s="12"/>
      <c r="L20" s="12"/>
      <c r="M20" s="12"/>
      <c r="N20" s="12"/>
      <c r="O20" s="12"/>
      <c r="P20" s="12"/>
      <c r="Q20" s="12"/>
    </row>
    <row r="21" spans="1:17" ht="11.25" customHeight="1" x14ac:dyDescent="0.2">
      <c r="A21" s="45" t="s">
        <v>254</v>
      </c>
      <c r="B21" s="12"/>
      <c r="C21" s="12"/>
      <c r="D21" s="12"/>
      <c r="E21" s="37"/>
      <c r="F21" s="37"/>
      <c r="G21" s="37"/>
      <c r="H21" s="37"/>
      <c r="I21" s="37"/>
      <c r="J21" s="12"/>
      <c r="K21" s="37"/>
      <c r="L21" s="37"/>
      <c r="M21" s="37"/>
      <c r="N21" s="37"/>
      <c r="O21" s="37"/>
      <c r="P21" s="37"/>
      <c r="Q21" s="37"/>
    </row>
    <row r="22" spans="1:17" ht="11.25" customHeight="1" x14ac:dyDescent="0.2">
      <c r="A22" s="14" t="s">
        <v>255</v>
      </c>
      <c r="B22" s="12"/>
      <c r="C22" s="12"/>
      <c r="D22" s="12"/>
      <c r="E22" s="37"/>
      <c r="F22" s="37"/>
      <c r="G22" s="37"/>
      <c r="H22" s="37"/>
      <c r="I22" s="37"/>
      <c r="J22" s="12"/>
      <c r="K22" s="37"/>
      <c r="L22" s="37"/>
      <c r="M22" s="37"/>
      <c r="N22" s="37"/>
      <c r="O22" s="37"/>
      <c r="P22" s="37"/>
      <c r="Q22" s="37"/>
    </row>
    <row r="23" spans="1:17" ht="11.25" customHeight="1" x14ac:dyDescent="0.2">
      <c r="A23" s="37"/>
      <c r="B23" s="37"/>
      <c r="C23" s="44"/>
      <c r="D23" s="37"/>
      <c r="E23" s="37"/>
      <c r="F23" s="37"/>
      <c r="G23" s="37"/>
      <c r="H23" s="37"/>
      <c r="I23" s="37"/>
      <c r="J23" s="12"/>
      <c r="K23" s="37"/>
      <c r="L23" s="37"/>
      <c r="M23" s="37"/>
      <c r="N23" s="37"/>
      <c r="O23" s="37"/>
      <c r="P23" s="37"/>
      <c r="Q23" s="37"/>
    </row>
    <row r="24" spans="1:17" ht="11.25" customHeight="1" x14ac:dyDescent="0.2">
      <c r="A24" s="37"/>
      <c r="B24" s="37"/>
      <c r="C24" s="37"/>
      <c r="D24" s="37"/>
      <c r="E24" s="37"/>
      <c r="F24" s="37"/>
      <c r="G24" s="37"/>
      <c r="H24" s="37"/>
      <c r="I24" s="37"/>
      <c r="J24" s="12"/>
      <c r="K24" s="37"/>
      <c r="L24" s="37"/>
      <c r="M24" s="37"/>
      <c r="N24" s="37"/>
      <c r="O24" s="37"/>
      <c r="P24" s="37"/>
      <c r="Q24" s="37"/>
    </row>
    <row r="25" spans="1:17" ht="11.25" customHeight="1" x14ac:dyDescent="0.2">
      <c r="A25" s="37"/>
      <c r="B25" s="37"/>
      <c r="C25" s="37"/>
      <c r="D25" s="37"/>
      <c r="E25" s="37"/>
      <c r="F25" s="37"/>
      <c r="G25" s="37"/>
      <c r="H25" s="37"/>
      <c r="I25" s="37"/>
      <c r="J25" s="12"/>
      <c r="K25" s="37"/>
      <c r="L25" s="37"/>
      <c r="M25" s="37"/>
      <c r="N25" s="37"/>
      <c r="O25" s="37"/>
      <c r="P25" s="37"/>
      <c r="Q25" s="37"/>
    </row>
    <row r="26" spans="1:17" ht="11.25" customHeight="1" x14ac:dyDescent="0.2">
      <c r="A26" s="37"/>
      <c r="B26" s="37"/>
      <c r="C26" s="37"/>
      <c r="D26" s="37"/>
      <c r="E26" s="37"/>
      <c r="F26" s="37"/>
      <c r="G26" s="37"/>
      <c r="H26" s="37"/>
      <c r="I26" s="37"/>
      <c r="J26" s="37"/>
      <c r="K26" s="37"/>
      <c r="L26" s="37"/>
      <c r="M26" s="37"/>
      <c r="N26" s="37"/>
      <c r="O26" s="37"/>
      <c r="P26" s="37"/>
      <c r="Q26" s="37"/>
    </row>
    <row r="27" spans="1:17" ht="11.25" customHeight="1" x14ac:dyDescent="0.2">
      <c r="A27" s="37"/>
      <c r="B27" s="37"/>
      <c r="C27" s="37"/>
      <c r="D27" s="37"/>
      <c r="E27" s="37"/>
      <c r="F27" s="37"/>
      <c r="G27" s="37"/>
      <c r="H27" s="37"/>
      <c r="I27" s="37"/>
      <c r="J27" s="37"/>
      <c r="K27" s="37"/>
      <c r="L27" s="37"/>
      <c r="M27" s="37"/>
      <c r="N27" s="37"/>
      <c r="O27" s="37"/>
      <c r="P27" s="37"/>
      <c r="Q27" s="37"/>
    </row>
    <row r="28" spans="1:17" ht="11.25" customHeight="1" x14ac:dyDescent="0.2">
      <c r="A28" s="37"/>
      <c r="B28" s="37"/>
      <c r="C28" s="37"/>
      <c r="D28" s="37"/>
      <c r="E28" s="37"/>
      <c r="F28" s="37"/>
      <c r="G28" s="37"/>
      <c r="H28" s="37"/>
      <c r="I28" s="37"/>
      <c r="J28" s="37"/>
      <c r="K28" s="37"/>
      <c r="L28" s="37"/>
      <c r="M28" s="37"/>
      <c r="N28" s="37"/>
      <c r="O28" s="37"/>
      <c r="P28" s="37"/>
      <c r="Q28" s="37"/>
    </row>
    <row r="29" spans="1:17" ht="11.25" customHeight="1" x14ac:dyDescent="0.2">
      <c r="A29" s="37"/>
      <c r="B29" s="37"/>
      <c r="C29" s="37"/>
      <c r="D29" s="37"/>
      <c r="E29" s="37"/>
      <c r="F29" s="37"/>
      <c r="G29" s="37"/>
      <c r="H29" s="37"/>
      <c r="I29" s="37"/>
      <c r="J29" s="37"/>
      <c r="K29" s="37"/>
      <c r="L29" s="37"/>
      <c r="M29" s="37"/>
      <c r="N29" s="37"/>
      <c r="O29" s="37"/>
      <c r="P29" s="37"/>
      <c r="Q29" s="37"/>
    </row>
    <row r="30" spans="1:17" ht="11.25" customHeight="1" x14ac:dyDescent="0.2">
      <c r="A30" s="37"/>
      <c r="B30" s="37"/>
      <c r="C30" s="37"/>
      <c r="D30" s="37"/>
      <c r="E30" s="37"/>
      <c r="F30" s="37"/>
      <c r="G30" s="37"/>
      <c r="H30" s="37"/>
      <c r="I30" s="37"/>
      <c r="J30" s="37"/>
      <c r="K30" s="37"/>
      <c r="L30" s="37"/>
      <c r="M30" s="37"/>
      <c r="N30" s="37"/>
      <c r="O30" s="37"/>
      <c r="P30" s="37"/>
      <c r="Q30" s="37"/>
    </row>
    <row r="31" spans="1:17" ht="11.25" customHeight="1" x14ac:dyDescent="0.2">
      <c r="A31" s="37"/>
      <c r="B31" s="37"/>
      <c r="C31" s="37"/>
      <c r="D31" s="37"/>
      <c r="E31" s="37"/>
      <c r="F31" s="37"/>
      <c r="G31" s="37"/>
      <c r="H31" s="37"/>
      <c r="I31" s="37"/>
      <c r="J31" s="37"/>
      <c r="K31" s="37"/>
      <c r="L31" s="37"/>
      <c r="M31" s="37"/>
      <c r="N31" s="37"/>
      <c r="O31" s="37"/>
      <c r="P31" s="37"/>
      <c r="Q31" s="37"/>
    </row>
    <row r="32" spans="1:17" ht="11.25" customHeight="1" x14ac:dyDescent="0.2">
      <c r="A32" s="37"/>
      <c r="B32" s="37"/>
      <c r="C32" s="37"/>
      <c r="D32" s="37"/>
      <c r="E32" s="37"/>
      <c r="F32" s="37"/>
      <c r="G32" s="37"/>
      <c r="H32" s="37"/>
      <c r="I32" s="37"/>
      <c r="J32" s="37"/>
      <c r="K32" s="37"/>
      <c r="L32" s="37"/>
      <c r="M32" s="37"/>
      <c r="N32" s="37"/>
      <c r="O32" s="37"/>
      <c r="P32" s="37"/>
      <c r="Q32" s="37"/>
    </row>
    <row r="33" spans="1:17" ht="11.25" customHeight="1" x14ac:dyDescent="0.2">
      <c r="A33" s="37"/>
      <c r="B33" s="37"/>
      <c r="C33" s="37"/>
      <c r="D33" s="37"/>
      <c r="E33" s="37"/>
      <c r="F33" s="37"/>
      <c r="G33" s="37"/>
      <c r="H33" s="37"/>
      <c r="I33" s="37"/>
      <c r="J33" s="37"/>
      <c r="K33" s="37"/>
      <c r="L33" s="37"/>
      <c r="M33" s="37"/>
      <c r="N33" s="37"/>
      <c r="O33" s="37"/>
      <c r="P33" s="37"/>
      <c r="Q33" s="37"/>
    </row>
    <row r="34" spans="1:17" ht="11.25" customHeight="1" x14ac:dyDescent="0.2">
      <c r="A34" s="37"/>
      <c r="B34" s="37"/>
      <c r="C34" s="37"/>
      <c r="D34" s="37"/>
      <c r="E34" s="37"/>
      <c r="F34" s="37"/>
      <c r="G34" s="37"/>
      <c r="H34" s="37"/>
      <c r="I34" s="37"/>
      <c r="J34" s="37"/>
      <c r="K34" s="37"/>
      <c r="L34" s="37"/>
      <c r="M34" s="37"/>
      <c r="N34" s="37"/>
      <c r="O34" s="37"/>
      <c r="P34" s="37"/>
      <c r="Q34" s="37"/>
    </row>
    <row r="35" spans="1:17" ht="11.25" customHeight="1" x14ac:dyDescent="0.2">
      <c r="A35" s="37"/>
      <c r="B35" s="37"/>
      <c r="C35" s="37"/>
      <c r="D35" s="37"/>
      <c r="E35" s="37"/>
      <c r="F35" s="37"/>
      <c r="G35" s="37"/>
      <c r="H35" s="37"/>
      <c r="I35" s="37"/>
      <c r="J35" s="37"/>
      <c r="K35" s="37"/>
      <c r="L35" s="37"/>
      <c r="M35" s="37"/>
      <c r="N35" s="37"/>
      <c r="O35" s="37"/>
      <c r="P35" s="37"/>
      <c r="Q35" s="37"/>
    </row>
    <row r="36" spans="1:17" ht="11.25" customHeight="1" x14ac:dyDescent="0.2">
      <c r="A36" s="37"/>
      <c r="B36" s="37"/>
      <c r="C36" s="37"/>
      <c r="D36" s="37"/>
      <c r="E36" s="37"/>
      <c r="F36" s="37"/>
      <c r="G36" s="37"/>
      <c r="H36" s="37"/>
      <c r="I36" s="37"/>
      <c r="J36" s="37"/>
      <c r="K36" s="37"/>
      <c r="L36" s="37"/>
      <c r="M36" s="37"/>
      <c r="N36" s="37"/>
      <c r="O36" s="37"/>
      <c r="P36" s="37"/>
      <c r="Q36" s="37"/>
    </row>
    <row r="37" spans="1:17" ht="11.25" customHeight="1" x14ac:dyDescent="0.2">
      <c r="A37" s="37"/>
      <c r="B37" s="37"/>
      <c r="C37" s="37"/>
      <c r="D37" s="37"/>
      <c r="E37" s="37"/>
      <c r="F37" s="37"/>
      <c r="G37" s="37"/>
      <c r="H37" s="37"/>
      <c r="I37" s="37"/>
      <c r="J37" s="37"/>
      <c r="K37" s="37"/>
      <c r="L37" s="37"/>
      <c r="M37" s="37"/>
      <c r="N37" s="37"/>
      <c r="O37" s="37"/>
      <c r="P37" s="37"/>
      <c r="Q37" s="37"/>
    </row>
    <row r="38" spans="1:17" ht="11.25" customHeight="1" x14ac:dyDescent="0.2">
      <c r="A38" s="37"/>
      <c r="B38" s="37"/>
      <c r="C38" s="37"/>
      <c r="D38" s="37"/>
      <c r="E38" s="37"/>
      <c r="F38" s="37"/>
      <c r="G38" s="37"/>
      <c r="H38" s="37"/>
      <c r="I38" s="37"/>
      <c r="J38" s="37"/>
      <c r="K38" s="37"/>
      <c r="L38" s="37"/>
      <c r="M38" s="37"/>
      <c r="N38" s="37"/>
      <c r="O38" s="37"/>
      <c r="P38" s="37"/>
      <c r="Q38" s="37"/>
    </row>
    <row r="39" spans="1:17" ht="11.25" customHeight="1" x14ac:dyDescent="0.2">
      <c r="A39" s="37"/>
      <c r="B39" s="37"/>
      <c r="C39" s="37"/>
      <c r="D39" s="37"/>
      <c r="E39" s="37"/>
      <c r="F39" s="37"/>
      <c r="G39" s="37"/>
      <c r="H39" s="37"/>
      <c r="I39" s="37"/>
      <c r="J39" s="37"/>
      <c r="K39" s="37"/>
      <c r="L39" s="37"/>
      <c r="M39" s="37"/>
      <c r="N39" s="37"/>
      <c r="O39" s="37"/>
      <c r="P39" s="37"/>
      <c r="Q39" s="37"/>
    </row>
    <row r="40" spans="1:17" ht="11.25" customHeight="1" x14ac:dyDescent="0.2">
      <c r="A40" s="37"/>
      <c r="B40" s="37"/>
      <c r="C40" s="37"/>
      <c r="D40" s="37"/>
      <c r="E40" s="37"/>
      <c r="F40" s="37"/>
      <c r="G40" s="37"/>
      <c r="H40" s="37"/>
      <c r="I40" s="37"/>
      <c r="J40" s="37"/>
      <c r="K40" s="37"/>
      <c r="L40" s="37"/>
      <c r="M40" s="37"/>
      <c r="N40" s="37"/>
      <c r="O40" s="37"/>
      <c r="P40" s="37"/>
      <c r="Q40" s="37"/>
    </row>
    <row r="41" spans="1:17" ht="11.25" customHeight="1" x14ac:dyDescent="0.2">
      <c r="A41" s="37"/>
      <c r="B41" s="37"/>
      <c r="C41" s="37"/>
      <c r="D41" s="37"/>
      <c r="E41" s="37"/>
      <c r="F41" s="37"/>
      <c r="G41" s="37"/>
      <c r="H41" s="37"/>
      <c r="I41" s="37"/>
      <c r="J41" s="37"/>
      <c r="K41" s="37"/>
      <c r="L41" s="37"/>
      <c r="M41" s="37"/>
      <c r="N41" s="37"/>
      <c r="O41" s="37"/>
      <c r="P41" s="37"/>
      <c r="Q41" s="37"/>
    </row>
    <row r="42" spans="1:17" ht="11.25" customHeight="1" x14ac:dyDescent="0.2">
      <c r="A42" s="37"/>
      <c r="B42" s="37"/>
      <c r="C42" s="37"/>
      <c r="D42" s="37"/>
      <c r="E42" s="37"/>
      <c r="F42" s="37"/>
      <c r="G42" s="37"/>
      <c r="H42" s="37"/>
      <c r="I42" s="37"/>
      <c r="J42" s="37"/>
      <c r="K42" s="37"/>
      <c r="L42" s="37"/>
      <c r="M42" s="37"/>
      <c r="N42" s="37"/>
      <c r="O42" s="37"/>
      <c r="P42" s="37"/>
      <c r="Q42" s="37"/>
    </row>
    <row r="43" spans="1:17" ht="11.25" customHeight="1" x14ac:dyDescent="0.2">
      <c r="A43" s="37"/>
      <c r="B43" s="37"/>
      <c r="C43" s="37"/>
      <c r="D43" s="37"/>
      <c r="E43" s="37"/>
      <c r="F43" s="37"/>
      <c r="G43" s="37"/>
      <c r="H43" s="37"/>
      <c r="I43" s="37"/>
      <c r="J43" s="37"/>
      <c r="K43" s="37"/>
      <c r="L43" s="37"/>
      <c r="M43" s="37"/>
      <c r="N43" s="37"/>
      <c r="O43" s="37"/>
      <c r="P43" s="37"/>
      <c r="Q43" s="37"/>
    </row>
    <row r="44" spans="1:17" ht="11.25" customHeight="1" x14ac:dyDescent="0.2">
      <c r="A44" s="37"/>
      <c r="B44" s="37"/>
      <c r="C44" s="37"/>
      <c r="D44" s="37"/>
      <c r="E44" s="37"/>
      <c r="F44" s="37"/>
      <c r="G44" s="37"/>
      <c r="H44" s="37"/>
      <c r="I44" s="37"/>
      <c r="J44" s="37"/>
      <c r="K44" s="37"/>
      <c r="L44" s="37"/>
      <c r="M44" s="37"/>
      <c r="N44" s="37"/>
      <c r="O44" s="37"/>
      <c r="P44" s="37"/>
      <c r="Q44" s="37"/>
    </row>
    <row r="45" spans="1:17" ht="11.25" customHeight="1" x14ac:dyDescent="0.2">
      <c r="A45" s="37"/>
      <c r="B45" s="37"/>
      <c r="C45" s="37"/>
      <c r="D45" s="37"/>
      <c r="E45" s="37"/>
      <c r="F45" s="37"/>
      <c r="G45" s="37"/>
      <c r="H45" s="37"/>
      <c r="I45" s="37"/>
      <c r="J45" s="37"/>
      <c r="K45" s="37"/>
      <c r="L45" s="37"/>
      <c r="M45" s="37"/>
      <c r="N45" s="37"/>
      <c r="O45" s="37"/>
      <c r="P45" s="37"/>
      <c r="Q45" s="37"/>
    </row>
    <row r="46" spans="1:17" ht="11.25" customHeight="1" x14ac:dyDescent="0.2">
      <c r="A46" s="37"/>
      <c r="B46" s="37"/>
      <c r="C46" s="37"/>
      <c r="D46" s="37"/>
      <c r="E46" s="37"/>
      <c r="F46" s="37"/>
      <c r="G46" s="37"/>
      <c r="H46" s="37"/>
      <c r="I46" s="37"/>
      <c r="J46" s="37"/>
      <c r="K46" s="37"/>
      <c r="L46" s="37"/>
      <c r="M46" s="37"/>
      <c r="N46" s="37"/>
      <c r="O46" s="37"/>
      <c r="P46" s="37"/>
      <c r="Q46" s="37"/>
    </row>
    <row r="47" spans="1:17" ht="11.25" customHeight="1" x14ac:dyDescent="0.2">
      <c r="A47" s="37"/>
      <c r="B47" s="37"/>
      <c r="C47" s="37"/>
      <c r="D47" s="37"/>
      <c r="E47" s="37"/>
      <c r="F47" s="37"/>
      <c r="G47" s="37"/>
      <c r="H47" s="37"/>
      <c r="I47" s="37"/>
      <c r="J47" s="37"/>
      <c r="K47" s="37"/>
      <c r="L47" s="37"/>
      <c r="M47" s="37"/>
      <c r="N47" s="37"/>
      <c r="O47" s="37"/>
      <c r="P47" s="37"/>
      <c r="Q47" s="37"/>
    </row>
    <row r="48" spans="1:17" ht="11.25" customHeight="1" x14ac:dyDescent="0.2">
      <c r="A48" s="37"/>
      <c r="B48" s="37"/>
      <c r="C48" s="37"/>
      <c r="D48" s="37"/>
      <c r="E48" s="37"/>
      <c r="F48" s="37"/>
      <c r="G48" s="37"/>
      <c r="H48" s="37"/>
      <c r="I48" s="37"/>
      <c r="J48" s="37"/>
      <c r="K48" s="37"/>
      <c r="L48" s="37"/>
      <c r="M48" s="37"/>
      <c r="N48" s="37"/>
      <c r="O48" s="37"/>
      <c r="P48" s="37"/>
      <c r="Q48" s="37"/>
    </row>
    <row r="49" spans="1:17" ht="11.25" customHeight="1" x14ac:dyDescent="0.2">
      <c r="A49" s="37"/>
      <c r="B49" s="37"/>
      <c r="C49" s="37"/>
      <c r="D49" s="37"/>
      <c r="E49" s="37"/>
      <c r="F49" s="37"/>
      <c r="G49" s="37"/>
      <c r="H49" s="37"/>
      <c r="I49" s="37"/>
      <c r="J49" s="37"/>
      <c r="K49" s="37"/>
      <c r="L49" s="37"/>
      <c r="M49" s="37"/>
      <c r="N49" s="37"/>
      <c r="O49" s="37"/>
      <c r="P49" s="37"/>
      <c r="Q49" s="37"/>
    </row>
    <row r="50" spans="1:17" ht="11.25" customHeight="1" x14ac:dyDescent="0.2">
      <c r="A50" s="37"/>
      <c r="B50" s="37"/>
      <c r="C50" s="37"/>
      <c r="D50" s="37"/>
      <c r="E50" s="37"/>
      <c r="F50" s="37"/>
      <c r="G50" s="37"/>
      <c r="H50" s="37"/>
      <c r="I50" s="37"/>
      <c r="J50" s="37"/>
      <c r="K50" s="37"/>
      <c r="L50" s="37"/>
      <c r="M50" s="37"/>
      <c r="N50" s="37"/>
      <c r="O50" s="37"/>
      <c r="P50" s="37"/>
      <c r="Q50" s="37"/>
    </row>
    <row r="51" spans="1:17" ht="11.25" customHeight="1" x14ac:dyDescent="0.2">
      <c r="A51" s="37"/>
      <c r="B51" s="37"/>
      <c r="C51" s="37"/>
      <c r="D51" s="37"/>
      <c r="E51" s="37"/>
      <c r="F51" s="37"/>
      <c r="G51" s="37"/>
      <c r="H51" s="37"/>
      <c r="I51" s="37"/>
      <c r="J51" s="37"/>
      <c r="K51" s="37"/>
      <c r="L51" s="37"/>
      <c r="M51" s="37"/>
      <c r="N51" s="37"/>
      <c r="O51" s="37"/>
      <c r="P51" s="37"/>
      <c r="Q51" s="37"/>
    </row>
    <row r="52" spans="1:17" ht="11.25" customHeight="1" x14ac:dyDescent="0.2">
      <c r="A52" s="37"/>
      <c r="B52" s="37"/>
      <c r="C52" s="37"/>
      <c r="D52" s="37"/>
      <c r="E52" s="37"/>
      <c r="F52" s="37"/>
      <c r="G52" s="37"/>
      <c r="H52" s="37"/>
      <c r="I52" s="37"/>
      <c r="J52" s="37"/>
      <c r="K52" s="37"/>
      <c r="L52" s="37"/>
      <c r="M52" s="37"/>
      <c r="N52" s="37"/>
      <c r="O52" s="37"/>
      <c r="P52" s="37"/>
      <c r="Q52" s="37"/>
    </row>
    <row r="53" spans="1:17" ht="11.25" customHeight="1" x14ac:dyDescent="0.2">
      <c r="A53" s="37"/>
      <c r="B53" s="37"/>
      <c r="C53" s="37"/>
      <c r="D53" s="37"/>
      <c r="E53" s="37"/>
      <c r="F53" s="37"/>
      <c r="G53" s="37"/>
      <c r="H53" s="37"/>
      <c r="I53" s="37"/>
      <c r="J53" s="37"/>
      <c r="K53" s="37"/>
      <c r="L53" s="37"/>
      <c r="M53" s="37"/>
      <c r="N53" s="37"/>
      <c r="O53" s="37"/>
      <c r="P53" s="37"/>
      <c r="Q53" s="37"/>
    </row>
    <row r="54" spans="1:17" ht="11.25" customHeight="1" x14ac:dyDescent="0.2">
      <c r="A54" s="37"/>
      <c r="B54" s="37"/>
      <c r="C54" s="37"/>
      <c r="D54" s="37"/>
      <c r="E54" s="37"/>
      <c r="F54" s="37"/>
      <c r="G54" s="37"/>
      <c r="H54" s="37"/>
      <c r="I54" s="37"/>
      <c r="J54" s="37"/>
      <c r="K54" s="37"/>
      <c r="L54" s="37"/>
      <c r="M54" s="37"/>
      <c r="N54" s="37"/>
      <c r="O54" s="37"/>
      <c r="P54" s="37"/>
      <c r="Q54" s="37"/>
    </row>
    <row r="55" spans="1:17" ht="11.25" customHeight="1" x14ac:dyDescent="0.2">
      <c r="A55" s="37"/>
      <c r="B55" s="37"/>
      <c r="C55" s="37"/>
      <c r="D55" s="37"/>
      <c r="E55" s="37"/>
      <c r="F55" s="37"/>
      <c r="G55" s="37"/>
      <c r="H55" s="37"/>
      <c r="I55" s="37"/>
      <c r="J55" s="37"/>
      <c r="K55" s="37"/>
      <c r="L55" s="37"/>
      <c r="M55" s="37"/>
      <c r="N55" s="37"/>
      <c r="O55" s="37"/>
      <c r="P55" s="37"/>
      <c r="Q55" s="37"/>
    </row>
    <row r="56" spans="1:17" ht="11.25" customHeight="1" x14ac:dyDescent="0.2">
      <c r="A56" s="37"/>
      <c r="B56" s="37"/>
      <c r="C56" s="37"/>
      <c r="D56" s="37"/>
      <c r="E56" s="37"/>
      <c r="F56" s="37"/>
      <c r="G56" s="37"/>
      <c r="H56" s="37"/>
      <c r="I56" s="37"/>
      <c r="J56" s="37"/>
      <c r="K56" s="37"/>
      <c r="L56" s="37"/>
      <c r="M56" s="37"/>
      <c r="N56" s="37"/>
      <c r="O56" s="37"/>
      <c r="P56" s="37"/>
      <c r="Q56" s="37"/>
    </row>
    <row r="57" spans="1:17" ht="11.25" customHeight="1" x14ac:dyDescent="0.2">
      <c r="A57" s="37"/>
      <c r="B57" s="37"/>
      <c r="C57" s="37"/>
      <c r="D57" s="37"/>
      <c r="E57" s="37"/>
      <c r="F57" s="37"/>
      <c r="G57" s="37"/>
      <c r="H57" s="37"/>
      <c r="I57" s="37"/>
      <c r="J57" s="37"/>
      <c r="K57" s="37"/>
      <c r="L57" s="37"/>
      <c r="M57" s="37"/>
      <c r="N57" s="37"/>
      <c r="O57" s="37"/>
      <c r="P57" s="37"/>
      <c r="Q57" s="37"/>
    </row>
    <row r="58" spans="1:17" ht="11.25" customHeight="1" x14ac:dyDescent="0.2">
      <c r="A58" s="37"/>
      <c r="B58" s="37"/>
      <c r="C58" s="37"/>
      <c r="D58" s="37"/>
      <c r="E58" s="37"/>
      <c r="F58" s="37"/>
      <c r="G58" s="37"/>
      <c r="H58" s="37"/>
      <c r="I58" s="37"/>
      <c r="J58" s="37"/>
      <c r="K58" s="37"/>
      <c r="L58" s="37"/>
      <c r="M58" s="37"/>
      <c r="N58" s="37"/>
      <c r="O58" s="37"/>
      <c r="P58" s="37"/>
      <c r="Q58" s="37"/>
    </row>
    <row r="59" spans="1:17" ht="11.25" customHeight="1" x14ac:dyDescent="0.2">
      <c r="A59" s="37"/>
      <c r="B59" s="37"/>
      <c r="C59" s="37"/>
      <c r="D59" s="37"/>
      <c r="E59" s="37"/>
      <c r="F59" s="37"/>
      <c r="G59" s="37"/>
      <c r="H59" s="37"/>
      <c r="I59" s="37"/>
      <c r="J59" s="37"/>
      <c r="K59" s="37"/>
      <c r="L59" s="37"/>
      <c r="M59" s="37"/>
      <c r="N59" s="37"/>
      <c r="O59" s="37"/>
      <c r="P59" s="37"/>
      <c r="Q59" s="37"/>
    </row>
    <row r="60" spans="1:17" ht="11.25" customHeight="1" x14ac:dyDescent="0.2">
      <c r="A60" s="37"/>
      <c r="B60" s="37"/>
      <c r="C60" s="37"/>
      <c r="D60" s="37"/>
      <c r="E60" s="37"/>
      <c r="F60" s="37"/>
      <c r="G60" s="37"/>
      <c r="H60" s="37"/>
      <c r="I60" s="37"/>
      <c r="J60" s="37"/>
      <c r="K60" s="37"/>
      <c r="L60" s="37"/>
      <c r="M60" s="37"/>
      <c r="N60" s="37"/>
      <c r="O60" s="37"/>
      <c r="P60" s="37"/>
      <c r="Q60" s="37"/>
    </row>
    <row r="61" spans="1:17" ht="11.25" customHeight="1" x14ac:dyDescent="0.2">
      <c r="A61" s="37"/>
      <c r="B61" s="37"/>
      <c r="C61" s="37"/>
      <c r="D61" s="37"/>
      <c r="E61" s="37"/>
      <c r="F61" s="37"/>
      <c r="G61" s="37"/>
      <c r="H61" s="37"/>
      <c r="I61" s="37"/>
      <c r="J61" s="37"/>
      <c r="K61" s="37"/>
      <c r="L61" s="37"/>
      <c r="M61" s="37"/>
      <c r="N61" s="37"/>
      <c r="O61" s="37"/>
      <c r="P61" s="37"/>
      <c r="Q61" s="37"/>
    </row>
    <row r="62" spans="1:17" ht="11.25" customHeight="1" x14ac:dyDescent="0.2">
      <c r="A62" s="37"/>
      <c r="B62" s="37"/>
      <c r="C62" s="37"/>
      <c r="D62" s="37"/>
      <c r="E62" s="37"/>
      <c r="F62" s="37"/>
      <c r="G62" s="37"/>
      <c r="H62" s="37"/>
      <c r="I62" s="37"/>
      <c r="J62" s="37"/>
      <c r="K62" s="37"/>
      <c r="L62" s="37"/>
      <c r="M62" s="37"/>
      <c r="N62" s="37"/>
      <c r="O62" s="37"/>
      <c r="P62" s="37"/>
      <c r="Q62" s="37"/>
    </row>
    <row r="63" spans="1:17" ht="11.25" customHeight="1" x14ac:dyDescent="0.2">
      <c r="A63" s="37"/>
      <c r="B63" s="37"/>
      <c r="C63" s="37"/>
      <c r="D63" s="37"/>
      <c r="E63" s="37"/>
      <c r="F63" s="37"/>
      <c r="G63" s="37"/>
      <c r="H63" s="37"/>
      <c r="I63" s="37"/>
      <c r="J63" s="37"/>
      <c r="K63" s="37"/>
      <c r="L63" s="37"/>
      <c r="M63" s="37"/>
      <c r="N63" s="37"/>
      <c r="O63" s="37"/>
      <c r="P63" s="37"/>
      <c r="Q63" s="37"/>
    </row>
    <row r="64" spans="1:17" ht="11.25" customHeight="1" x14ac:dyDescent="0.2">
      <c r="A64" s="37"/>
      <c r="B64" s="37"/>
      <c r="C64" s="37"/>
      <c r="D64" s="37"/>
      <c r="E64" s="37"/>
      <c r="F64" s="37"/>
      <c r="G64" s="37"/>
      <c r="H64" s="37"/>
      <c r="I64" s="37"/>
      <c r="J64" s="37"/>
      <c r="K64" s="37"/>
      <c r="L64" s="37"/>
      <c r="M64" s="37"/>
      <c r="N64" s="37"/>
      <c r="O64" s="37"/>
      <c r="P64" s="37"/>
      <c r="Q64" s="37"/>
    </row>
    <row r="65" spans="1:17" ht="11.25" customHeight="1" x14ac:dyDescent="0.2">
      <c r="A65" s="37"/>
      <c r="B65" s="37"/>
      <c r="C65" s="37"/>
      <c r="D65" s="37"/>
      <c r="E65" s="37"/>
      <c r="F65" s="37"/>
      <c r="G65" s="37"/>
      <c r="H65" s="37"/>
      <c r="I65" s="37"/>
      <c r="J65" s="37"/>
      <c r="K65" s="37"/>
      <c r="L65" s="37"/>
      <c r="M65" s="37"/>
      <c r="N65" s="37"/>
      <c r="O65" s="37"/>
      <c r="P65" s="37"/>
      <c r="Q65" s="37"/>
    </row>
    <row r="66" spans="1:17" ht="11.25" customHeight="1" x14ac:dyDescent="0.2">
      <c r="A66" s="37"/>
      <c r="B66" s="37"/>
      <c r="C66" s="37"/>
      <c r="D66" s="37"/>
      <c r="E66" s="37"/>
      <c r="F66" s="37"/>
      <c r="G66" s="37"/>
      <c r="H66" s="37"/>
      <c r="I66" s="37"/>
      <c r="J66" s="37"/>
      <c r="K66" s="37"/>
      <c r="L66" s="37"/>
      <c r="M66" s="37"/>
      <c r="N66" s="37"/>
      <c r="O66" s="37"/>
      <c r="P66" s="37"/>
      <c r="Q66" s="37"/>
    </row>
    <row r="67" spans="1:17" ht="11.25" customHeight="1" x14ac:dyDescent="0.2">
      <c r="A67" s="37"/>
      <c r="B67" s="37"/>
      <c r="C67" s="37"/>
      <c r="D67" s="37"/>
      <c r="E67" s="37"/>
      <c r="F67" s="37"/>
      <c r="G67" s="37"/>
      <c r="H67" s="37"/>
      <c r="I67" s="37"/>
      <c r="J67" s="37"/>
      <c r="K67" s="37"/>
      <c r="L67" s="37"/>
      <c r="M67" s="37"/>
      <c r="N67" s="37"/>
      <c r="O67" s="37"/>
      <c r="P67" s="37"/>
      <c r="Q67" s="37"/>
    </row>
    <row r="68" spans="1:17" ht="11.25" customHeight="1" x14ac:dyDescent="0.2">
      <c r="A68" s="37"/>
      <c r="B68" s="37"/>
      <c r="C68" s="37"/>
      <c r="D68" s="37"/>
      <c r="E68" s="37"/>
      <c r="F68" s="37"/>
      <c r="G68" s="37"/>
      <c r="H68" s="37"/>
      <c r="I68" s="37"/>
      <c r="J68" s="37"/>
      <c r="K68" s="37"/>
      <c r="L68" s="37"/>
      <c r="M68" s="37"/>
      <c r="N68" s="37"/>
      <c r="O68" s="37"/>
      <c r="P68" s="37"/>
      <c r="Q68" s="37"/>
    </row>
    <row r="69" spans="1:17" ht="11.25" customHeight="1" x14ac:dyDescent="0.2">
      <c r="A69" s="37"/>
      <c r="B69" s="37"/>
      <c r="C69" s="37"/>
      <c r="D69" s="37"/>
      <c r="E69" s="37"/>
      <c r="F69" s="37"/>
      <c r="G69" s="37"/>
      <c r="H69" s="37"/>
      <c r="I69" s="37"/>
      <c r="J69" s="37"/>
      <c r="K69" s="37"/>
      <c r="L69" s="37"/>
      <c r="M69" s="37"/>
      <c r="N69" s="37"/>
      <c r="O69" s="37"/>
      <c r="P69" s="37"/>
      <c r="Q69" s="37"/>
    </row>
    <row r="70" spans="1:17" ht="11.25" customHeight="1" x14ac:dyDescent="0.2">
      <c r="A70" s="37"/>
      <c r="B70" s="37"/>
      <c r="C70" s="37"/>
      <c r="D70" s="37"/>
      <c r="E70" s="37"/>
      <c r="F70" s="37"/>
      <c r="G70" s="37"/>
      <c r="H70" s="37"/>
      <c r="I70" s="37"/>
      <c r="J70" s="37"/>
      <c r="K70" s="37"/>
      <c r="L70" s="37"/>
      <c r="M70" s="37"/>
      <c r="N70" s="37"/>
      <c r="O70" s="37"/>
      <c r="P70" s="37"/>
      <c r="Q70" s="37"/>
    </row>
    <row r="71" spans="1:17" ht="11.25" customHeight="1" x14ac:dyDescent="0.2">
      <c r="A71" s="37"/>
      <c r="B71" s="37"/>
      <c r="C71" s="37"/>
      <c r="D71" s="37"/>
      <c r="E71" s="37"/>
      <c r="F71" s="37"/>
      <c r="G71" s="37"/>
      <c r="H71" s="37"/>
      <c r="I71" s="37"/>
      <c r="J71" s="37"/>
      <c r="K71" s="37"/>
      <c r="L71" s="37"/>
      <c r="M71" s="37"/>
      <c r="N71" s="37"/>
      <c r="O71" s="37"/>
      <c r="P71" s="37"/>
      <c r="Q71" s="37"/>
    </row>
    <row r="72" spans="1:17" ht="11.25" customHeight="1" x14ac:dyDescent="0.2">
      <c r="A72" s="37"/>
      <c r="B72" s="37"/>
      <c r="C72" s="37"/>
      <c r="D72" s="37"/>
      <c r="E72" s="37"/>
      <c r="F72" s="37"/>
      <c r="G72" s="37"/>
      <c r="H72" s="37"/>
      <c r="I72" s="37"/>
      <c r="J72" s="37"/>
      <c r="K72" s="37"/>
      <c r="L72" s="37"/>
      <c r="M72" s="37"/>
      <c r="N72" s="37"/>
      <c r="O72" s="37"/>
      <c r="P72" s="37"/>
      <c r="Q72" s="37"/>
    </row>
    <row r="73" spans="1:17" ht="11.25" customHeight="1" x14ac:dyDescent="0.2">
      <c r="A73" s="37"/>
      <c r="B73" s="37"/>
      <c r="C73" s="37"/>
      <c r="D73" s="37"/>
      <c r="E73" s="37"/>
      <c r="F73" s="37"/>
      <c r="G73" s="37"/>
      <c r="H73" s="37"/>
      <c r="I73" s="37"/>
      <c r="J73" s="37"/>
      <c r="K73" s="37"/>
      <c r="L73" s="37"/>
      <c r="M73" s="37"/>
      <c r="N73" s="37"/>
      <c r="O73" s="37"/>
      <c r="P73" s="37"/>
      <c r="Q73" s="37"/>
    </row>
    <row r="74" spans="1:17" ht="11.25" customHeight="1" x14ac:dyDescent="0.2">
      <c r="A74" s="37"/>
      <c r="B74" s="37"/>
      <c r="C74" s="37"/>
      <c r="D74" s="37"/>
      <c r="E74" s="37"/>
      <c r="F74" s="37"/>
      <c r="G74" s="37"/>
      <c r="H74" s="37"/>
      <c r="I74" s="37"/>
      <c r="J74" s="37"/>
      <c r="K74" s="37"/>
      <c r="L74" s="37"/>
      <c r="M74" s="37"/>
      <c r="N74" s="37"/>
      <c r="O74" s="37"/>
      <c r="P74" s="37"/>
      <c r="Q74" s="37"/>
    </row>
    <row r="75" spans="1:17" ht="11.25" customHeight="1" x14ac:dyDescent="0.2">
      <c r="A75" s="37"/>
      <c r="B75" s="37"/>
      <c r="C75" s="37"/>
      <c r="D75" s="37"/>
      <c r="E75" s="37"/>
      <c r="F75" s="37"/>
      <c r="G75" s="37"/>
      <c r="H75" s="37"/>
      <c r="I75" s="37"/>
      <c r="J75" s="37"/>
      <c r="K75" s="37"/>
      <c r="L75" s="37"/>
      <c r="M75" s="37"/>
      <c r="N75" s="37"/>
      <c r="O75" s="37"/>
      <c r="P75" s="37"/>
      <c r="Q75" s="37"/>
    </row>
    <row r="76" spans="1:17" ht="11.25" customHeight="1" x14ac:dyDescent="0.2">
      <c r="A76" s="37"/>
      <c r="B76" s="37"/>
      <c r="C76" s="37"/>
      <c r="D76" s="37"/>
      <c r="E76" s="37"/>
      <c r="F76" s="37"/>
      <c r="G76" s="37"/>
      <c r="H76" s="37"/>
      <c r="I76" s="37"/>
      <c r="J76" s="37"/>
      <c r="K76" s="37"/>
      <c r="L76" s="37"/>
      <c r="M76" s="37"/>
      <c r="N76" s="37"/>
      <c r="O76" s="37"/>
      <c r="P76" s="37"/>
      <c r="Q76" s="37"/>
    </row>
    <row r="77" spans="1:17" ht="11.25" customHeight="1" x14ac:dyDescent="0.2">
      <c r="A77" s="37"/>
      <c r="B77" s="37"/>
      <c r="C77" s="37"/>
      <c r="D77" s="37"/>
      <c r="E77" s="37"/>
      <c r="F77" s="37"/>
      <c r="G77" s="37"/>
      <c r="H77" s="37"/>
      <c r="I77" s="37"/>
      <c r="J77" s="37"/>
      <c r="K77" s="37"/>
      <c r="L77" s="37"/>
      <c r="M77" s="37"/>
      <c r="N77" s="37"/>
      <c r="O77" s="37"/>
      <c r="P77" s="37"/>
      <c r="Q77" s="37"/>
    </row>
    <row r="78" spans="1:17" ht="11.25" customHeight="1" x14ac:dyDescent="0.2">
      <c r="A78" s="37"/>
      <c r="B78" s="37"/>
      <c r="C78" s="37"/>
      <c r="D78" s="37"/>
      <c r="E78" s="37"/>
      <c r="F78" s="37"/>
      <c r="G78" s="37"/>
      <c r="H78" s="37"/>
      <c r="I78" s="37"/>
      <c r="J78" s="37"/>
      <c r="K78" s="37"/>
      <c r="L78" s="37"/>
      <c r="M78" s="37"/>
      <c r="N78" s="37"/>
      <c r="O78" s="37"/>
      <c r="P78" s="37"/>
      <c r="Q78" s="37"/>
    </row>
    <row r="79" spans="1:17" ht="11.25" customHeight="1" x14ac:dyDescent="0.2">
      <c r="A79" s="37"/>
      <c r="B79" s="37"/>
      <c r="C79" s="37"/>
      <c r="D79" s="37"/>
      <c r="E79" s="37"/>
      <c r="F79" s="37"/>
      <c r="G79" s="37"/>
      <c r="H79" s="37"/>
      <c r="I79" s="37"/>
      <c r="J79" s="37"/>
      <c r="K79" s="37"/>
      <c r="L79" s="37"/>
      <c r="M79" s="37"/>
      <c r="N79" s="37"/>
      <c r="O79" s="37"/>
      <c r="P79" s="37"/>
      <c r="Q79" s="37"/>
    </row>
    <row r="80" spans="1:17" ht="11.25" customHeight="1" x14ac:dyDescent="0.2">
      <c r="A80" s="37"/>
      <c r="B80" s="37"/>
      <c r="C80" s="37"/>
      <c r="D80" s="37"/>
      <c r="E80" s="37"/>
      <c r="F80" s="37"/>
      <c r="G80" s="37"/>
      <c r="H80" s="37"/>
      <c r="I80" s="37"/>
      <c r="J80" s="37"/>
      <c r="K80" s="37"/>
      <c r="L80" s="37"/>
      <c r="M80" s="37"/>
      <c r="N80" s="37"/>
      <c r="O80" s="37"/>
      <c r="P80" s="37"/>
      <c r="Q80" s="37"/>
    </row>
    <row r="81" spans="1:17" ht="11.25" customHeight="1" x14ac:dyDescent="0.2">
      <c r="A81" s="37"/>
      <c r="B81" s="37"/>
      <c r="C81" s="37"/>
      <c r="D81" s="37"/>
      <c r="E81" s="37"/>
      <c r="F81" s="37"/>
      <c r="G81" s="37"/>
      <c r="H81" s="37"/>
      <c r="I81" s="37"/>
      <c r="J81" s="37"/>
      <c r="K81" s="37"/>
      <c r="L81" s="37"/>
      <c r="M81" s="37"/>
      <c r="N81" s="37"/>
      <c r="O81" s="37"/>
      <c r="P81" s="37"/>
      <c r="Q81" s="37"/>
    </row>
    <row r="82" spans="1:17" ht="11.25" customHeight="1" x14ac:dyDescent="0.2">
      <c r="A82" s="37"/>
      <c r="B82" s="37"/>
      <c r="C82" s="37"/>
      <c r="D82" s="37"/>
      <c r="E82" s="37"/>
      <c r="F82" s="37"/>
      <c r="G82" s="37"/>
      <c r="H82" s="37"/>
      <c r="I82" s="37"/>
      <c r="J82" s="37"/>
      <c r="K82" s="37"/>
      <c r="L82" s="37"/>
      <c r="M82" s="37"/>
      <c r="N82" s="37"/>
      <c r="O82" s="37"/>
      <c r="P82" s="37"/>
      <c r="Q82" s="37"/>
    </row>
    <row r="83" spans="1:17" ht="11.25" customHeight="1" x14ac:dyDescent="0.2">
      <c r="A83" s="37"/>
      <c r="B83" s="37"/>
      <c r="C83" s="37"/>
      <c r="D83" s="37"/>
      <c r="E83" s="37"/>
      <c r="F83" s="37"/>
      <c r="G83" s="37"/>
      <c r="H83" s="37"/>
      <c r="I83" s="37"/>
      <c r="J83" s="37"/>
      <c r="K83" s="37"/>
      <c r="L83" s="37"/>
      <c r="M83" s="37"/>
      <c r="N83" s="37"/>
      <c r="O83" s="37"/>
      <c r="P83" s="37"/>
      <c r="Q83" s="37"/>
    </row>
    <row r="84" spans="1:17" ht="11.25" customHeight="1" x14ac:dyDescent="0.2">
      <c r="A84" s="37"/>
      <c r="B84" s="37"/>
      <c r="C84" s="37"/>
      <c r="D84" s="37"/>
      <c r="E84" s="37"/>
      <c r="F84" s="37"/>
      <c r="G84" s="37"/>
      <c r="H84" s="37"/>
      <c r="I84" s="37"/>
      <c r="J84" s="37"/>
      <c r="K84" s="37"/>
      <c r="L84" s="37"/>
      <c r="M84" s="37"/>
      <c r="N84" s="37"/>
      <c r="O84" s="37"/>
      <c r="P84" s="37"/>
      <c r="Q84" s="37"/>
    </row>
    <row r="85" spans="1:17" ht="11.25" customHeight="1" x14ac:dyDescent="0.2">
      <c r="A85" s="37"/>
      <c r="B85" s="37"/>
      <c r="C85" s="37"/>
      <c r="D85" s="37"/>
      <c r="E85" s="37"/>
      <c r="F85" s="37"/>
      <c r="G85" s="37"/>
      <c r="H85" s="37"/>
      <c r="I85" s="37"/>
      <c r="J85" s="37"/>
      <c r="K85" s="37"/>
      <c r="L85" s="37"/>
      <c r="M85" s="37"/>
      <c r="N85" s="37"/>
      <c r="O85" s="37"/>
      <c r="P85" s="37"/>
      <c r="Q85" s="37"/>
    </row>
    <row r="86" spans="1:17" ht="11.25" customHeight="1" x14ac:dyDescent="0.2">
      <c r="A86" s="37"/>
      <c r="B86" s="37"/>
      <c r="C86" s="37"/>
      <c r="D86" s="37"/>
      <c r="E86" s="37"/>
      <c r="F86" s="37"/>
      <c r="G86" s="37"/>
      <c r="H86" s="37"/>
      <c r="I86" s="37"/>
      <c r="J86" s="37"/>
      <c r="K86" s="37"/>
      <c r="L86" s="37"/>
      <c r="M86" s="37"/>
      <c r="N86" s="37"/>
      <c r="O86" s="37"/>
      <c r="P86" s="37"/>
      <c r="Q86" s="37"/>
    </row>
    <row r="87" spans="1:17" ht="11.25" customHeight="1" x14ac:dyDescent="0.2">
      <c r="A87" s="37"/>
      <c r="B87" s="37"/>
      <c r="C87" s="37"/>
      <c r="D87" s="37"/>
      <c r="E87" s="37"/>
      <c r="F87" s="37"/>
      <c r="G87" s="37"/>
      <c r="H87" s="37"/>
      <c r="I87" s="37"/>
      <c r="J87" s="37"/>
      <c r="K87" s="37"/>
      <c r="L87" s="37"/>
      <c r="M87" s="37"/>
      <c r="N87" s="37"/>
      <c r="O87" s="37"/>
      <c r="P87" s="37"/>
      <c r="Q87" s="37"/>
    </row>
    <row r="88" spans="1:17" ht="11.25" customHeight="1" x14ac:dyDescent="0.2">
      <c r="A88" s="37"/>
      <c r="B88" s="37"/>
      <c r="C88" s="37"/>
      <c r="D88" s="37"/>
      <c r="E88" s="37"/>
      <c r="F88" s="37"/>
      <c r="G88" s="37"/>
      <c r="H88" s="37"/>
      <c r="I88" s="37"/>
      <c r="J88" s="37"/>
      <c r="K88" s="37"/>
      <c r="L88" s="37"/>
      <c r="M88" s="37"/>
      <c r="N88" s="37"/>
      <c r="O88" s="37"/>
      <c r="P88" s="37"/>
      <c r="Q88" s="37"/>
    </row>
    <row r="89" spans="1:17" ht="11.25" customHeight="1" x14ac:dyDescent="0.2">
      <c r="A89" s="37"/>
      <c r="B89" s="37"/>
      <c r="C89" s="37"/>
      <c r="D89" s="37"/>
      <c r="E89" s="37"/>
      <c r="F89" s="37"/>
      <c r="G89" s="37"/>
      <c r="H89" s="37"/>
      <c r="I89" s="37"/>
      <c r="J89" s="37"/>
      <c r="K89" s="37"/>
      <c r="L89" s="37"/>
      <c r="M89" s="37"/>
      <c r="N89" s="37"/>
      <c r="O89" s="37"/>
      <c r="P89" s="37"/>
      <c r="Q89" s="37"/>
    </row>
    <row r="90" spans="1:17" ht="11.25" customHeight="1" x14ac:dyDescent="0.2">
      <c r="A90" s="37"/>
      <c r="B90" s="37"/>
      <c r="C90" s="37"/>
      <c r="D90" s="37"/>
      <c r="E90" s="37"/>
      <c r="F90" s="37"/>
      <c r="G90" s="37"/>
      <c r="H90" s="37"/>
      <c r="I90" s="37"/>
      <c r="J90" s="37"/>
      <c r="K90" s="37"/>
      <c r="L90" s="37"/>
      <c r="M90" s="37"/>
      <c r="N90" s="37"/>
      <c r="O90" s="37"/>
      <c r="P90" s="37"/>
      <c r="Q90" s="37"/>
    </row>
    <row r="91" spans="1:17" ht="11.25" customHeight="1" x14ac:dyDescent="0.2">
      <c r="A91" s="37"/>
      <c r="B91" s="37"/>
      <c r="C91" s="37"/>
      <c r="D91" s="37"/>
      <c r="E91" s="37"/>
      <c r="F91" s="37"/>
      <c r="G91" s="37"/>
      <c r="H91" s="37"/>
      <c r="I91" s="37"/>
      <c r="J91" s="37"/>
      <c r="K91" s="37"/>
      <c r="L91" s="37"/>
      <c r="M91" s="37"/>
      <c r="N91" s="37"/>
      <c r="O91" s="37"/>
      <c r="P91" s="37"/>
      <c r="Q91" s="37"/>
    </row>
    <row r="92" spans="1:17" ht="11.25" customHeight="1" x14ac:dyDescent="0.2">
      <c r="A92" s="37"/>
      <c r="B92" s="37"/>
      <c r="C92" s="37"/>
      <c r="D92" s="37"/>
      <c r="E92" s="37"/>
      <c r="F92" s="37"/>
      <c r="G92" s="37"/>
      <c r="H92" s="37"/>
      <c r="I92" s="37"/>
      <c r="J92" s="37"/>
      <c r="K92" s="37"/>
      <c r="L92" s="37"/>
      <c r="M92" s="37"/>
      <c r="N92" s="37"/>
      <c r="O92" s="37"/>
      <c r="P92" s="37"/>
      <c r="Q92" s="37"/>
    </row>
    <row r="93" spans="1:17" ht="11.25" customHeight="1" x14ac:dyDescent="0.2">
      <c r="A93" s="37"/>
      <c r="B93" s="37"/>
      <c r="C93" s="37"/>
      <c r="D93" s="37"/>
      <c r="E93" s="37"/>
      <c r="F93" s="37"/>
      <c r="G93" s="37"/>
      <c r="H93" s="37"/>
      <c r="I93" s="37"/>
      <c r="J93" s="37"/>
      <c r="K93" s="37"/>
      <c r="L93" s="37"/>
      <c r="M93" s="37"/>
      <c r="N93" s="37"/>
      <c r="O93" s="37"/>
      <c r="P93" s="37"/>
      <c r="Q93" s="37"/>
    </row>
    <row r="94" spans="1:17" ht="11.25" customHeight="1" x14ac:dyDescent="0.2">
      <c r="A94" s="37"/>
      <c r="B94" s="37"/>
      <c r="C94" s="37"/>
      <c r="D94" s="37"/>
      <c r="E94" s="37"/>
      <c r="F94" s="37"/>
      <c r="G94" s="37"/>
      <c r="H94" s="37"/>
      <c r="I94" s="37"/>
      <c r="J94" s="37"/>
      <c r="K94" s="37"/>
      <c r="L94" s="37"/>
      <c r="M94" s="37"/>
      <c r="N94" s="37"/>
      <c r="O94" s="37"/>
      <c r="P94" s="37"/>
      <c r="Q94" s="37"/>
    </row>
    <row r="95" spans="1:17" ht="11.25" customHeight="1" x14ac:dyDescent="0.2">
      <c r="A95" s="37"/>
      <c r="B95" s="37"/>
      <c r="C95" s="37"/>
      <c r="D95" s="37"/>
      <c r="E95" s="37"/>
      <c r="F95" s="37"/>
      <c r="G95" s="37"/>
      <c r="H95" s="37"/>
      <c r="I95" s="37"/>
      <c r="J95" s="37"/>
      <c r="K95" s="37"/>
      <c r="L95" s="37"/>
      <c r="M95" s="37"/>
      <c r="N95" s="37"/>
      <c r="O95" s="37"/>
      <c r="P95" s="37"/>
      <c r="Q95" s="37"/>
    </row>
    <row r="96" spans="1:17" ht="11.25" customHeight="1" x14ac:dyDescent="0.2">
      <c r="A96" s="37"/>
      <c r="B96" s="37"/>
      <c r="C96" s="37"/>
      <c r="D96" s="37"/>
      <c r="E96" s="37"/>
      <c r="F96" s="37"/>
      <c r="G96" s="37"/>
      <c r="H96" s="37"/>
      <c r="I96" s="37"/>
      <c r="J96" s="37"/>
      <c r="K96" s="37"/>
      <c r="L96" s="37"/>
      <c r="M96" s="37"/>
      <c r="N96" s="37"/>
      <c r="O96" s="37"/>
      <c r="P96" s="37"/>
      <c r="Q96" s="37"/>
    </row>
    <row r="97" spans="1:17" ht="11.25" customHeight="1" x14ac:dyDescent="0.2">
      <c r="A97" s="37"/>
      <c r="B97" s="37"/>
      <c r="C97" s="37"/>
      <c r="D97" s="37"/>
      <c r="E97" s="37"/>
      <c r="F97" s="37"/>
      <c r="G97" s="37"/>
      <c r="H97" s="37"/>
      <c r="I97" s="37"/>
      <c r="J97" s="37"/>
      <c r="K97" s="37"/>
      <c r="L97" s="37"/>
      <c r="M97" s="37"/>
      <c r="N97" s="37"/>
      <c r="O97" s="37"/>
      <c r="P97" s="37"/>
      <c r="Q97" s="37"/>
    </row>
    <row r="98" spans="1:17" ht="11.25" customHeight="1" x14ac:dyDescent="0.2">
      <c r="A98" s="37"/>
      <c r="B98" s="37"/>
      <c r="C98" s="37"/>
      <c r="D98" s="37"/>
      <c r="E98" s="37"/>
      <c r="F98" s="37"/>
      <c r="G98" s="37"/>
      <c r="H98" s="37"/>
      <c r="I98" s="37"/>
      <c r="J98" s="37"/>
      <c r="K98" s="37"/>
      <c r="L98" s="37"/>
      <c r="M98" s="37"/>
      <c r="N98" s="37"/>
      <c r="O98" s="37"/>
      <c r="P98" s="37"/>
      <c r="Q98" s="37"/>
    </row>
    <row r="99" spans="1:17" ht="11.25" customHeight="1" x14ac:dyDescent="0.2">
      <c r="A99" s="37"/>
      <c r="B99" s="37"/>
      <c r="C99" s="37"/>
      <c r="D99" s="37"/>
      <c r="E99" s="37"/>
      <c r="F99" s="37"/>
      <c r="G99" s="37"/>
      <c r="H99" s="37"/>
      <c r="I99" s="37"/>
      <c r="J99" s="37"/>
      <c r="K99" s="37"/>
      <c r="L99" s="37"/>
      <c r="M99" s="37"/>
      <c r="N99" s="37"/>
      <c r="O99" s="37"/>
      <c r="P99" s="37"/>
      <c r="Q99" s="37"/>
    </row>
    <row r="100" spans="1:17" ht="11.25" customHeight="1" x14ac:dyDescent="0.2">
      <c r="A100" s="37"/>
      <c r="B100" s="37"/>
      <c r="C100" s="37"/>
      <c r="D100" s="37"/>
      <c r="E100" s="37"/>
      <c r="F100" s="37"/>
      <c r="G100" s="37"/>
      <c r="H100" s="37"/>
      <c r="I100" s="37"/>
      <c r="J100" s="37"/>
      <c r="K100" s="37"/>
      <c r="L100" s="37"/>
      <c r="M100" s="37"/>
      <c r="N100" s="37"/>
      <c r="O100" s="37"/>
      <c r="P100" s="37"/>
      <c r="Q100" s="37"/>
    </row>
  </sheetData>
  <printOptions horizontalCentered="1" verticalCentered="1"/>
  <pageMargins left="0.70866141732283472" right="0.51181102362204722" top="0.74803149606299213" bottom="0.74803149606299213" header="0" footer="0"/>
  <pageSetup paperSize="9" orientation="landscape"/>
  <headerFooter>
    <oddHeader>&amp;L &amp;CPROYECTO DE PRESUPUESTO 2021&amp;R</oddHeader>
    <oddFooter>&amp;LPROYECTO DE PRESUPUESTO PARA EL AÑO FISCAL 2020 INFORMACIÓN PARA LA COMISIÓN DE PRESUPUESTO Y CUENTA GENERAL DE LA REPÚBLICA DEL CONGRESO DE LA REPÚBLICA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K338"/>
  <sheetViews>
    <sheetView showGridLines="0" workbookViewId="0"/>
  </sheetViews>
  <sheetFormatPr baseColWidth="10" defaultColWidth="14.42578125" defaultRowHeight="15" customHeight="1" x14ac:dyDescent="0.2"/>
  <cols>
    <col min="1" max="1" width="57" customWidth="1"/>
    <col min="2" max="4" width="14.140625" customWidth="1"/>
    <col min="5" max="5" width="14.28515625" customWidth="1"/>
    <col min="6" max="6" width="11.28515625" customWidth="1"/>
    <col min="7" max="7" width="21" customWidth="1"/>
    <col min="8" max="11" width="11.28515625" customWidth="1"/>
  </cols>
  <sheetData>
    <row r="1" spans="1:11" ht="12.75" customHeight="1" x14ac:dyDescent="0.2">
      <c r="A1" s="46" t="s">
        <v>256</v>
      </c>
      <c r="B1" s="47"/>
      <c r="C1" s="47"/>
      <c r="D1" s="47"/>
      <c r="E1" s="47"/>
      <c r="F1" s="47"/>
      <c r="G1" s="47"/>
      <c r="H1" s="47"/>
      <c r="I1" s="47"/>
      <c r="J1" s="47"/>
      <c r="K1" s="47"/>
    </row>
    <row r="2" spans="1:11" ht="12.75" customHeight="1" x14ac:dyDescent="0.2">
      <c r="A2" s="7" t="s">
        <v>242</v>
      </c>
      <c r="B2" s="47"/>
      <c r="C2" s="47"/>
      <c r="D2" s="47"/>
      <c r="E2" s="47"/>
      <c r="F2" s="47"/>
      <c r="G2" s="47"/>
      <c r="H2" s="47"/>
      <c r="I2" s="47"/>
      <c r="J2" s="47"/>
      <c r="K2" s="47"/>
    </row>
    <row r="3" spans="1:11" ht="9" customHeight="1" x14ac:dyDescent="0.2">
      <c r="A3" s="16"/>
      <c r="B3" s="47"/>
      <c r="C3" s="47"/>
      <c r="D3" s="47"/>
      <c r="E3" s="47"/>
      <c r="F3" s="47"/>
      <c r="G3" s="47"/>
      <c r="H3" s="47"/>
      <c r="I3" s="47"/>
      <c r="J3" s="47"/>
      <c r="K3" s="47"/>
    </row>
    <row r="4" spans="1:11" ht="12" customHeight="1" x14ac:dyDescent="0.2">
      <c r="A4" s="48" t="s">
        <v>257</v>
      </c>
      <c r="B4" s="47"/>
      <c r="C4" s="47"/>
      <c r="D4" s="47"/>
      <c r="E4" s="47"/>
      <c r="F4" s="47"/>
      <c r="G4" s="47"/>
      <c r="H4" s="47"/>
      <c r="I4" s="47"/>
      <c r="J4" s="47"/>
      <c r="K4" s="47"/>
    </row>
    <row r="5" spans="1:11" ht="27.75" customHeight="1" x14ac:dyDescent="0.2">
      <c r="A5" s="49" t="s">
        <v>258</v>
      </c>
      <c r="B5" s="50">
        <v>2019</v>
      </c>
      <c r="C5" s="50">
        <v>2020</v>
      </c>
      <c r="D5" s="50">
        <v>2021</v>
      </c>
      <c r="E5" s="51"/>
      <c r="F5" s="51"/>
      <c r="G5" s="51"/>
      <c r="H5" s="51"/>
      <c r="I5" s="51"/>
      <c r="J5" s="51"/>
      <c r="K5" s="51"/>
    </row>
    <row r="6" spans="1:11" ht="12.75" customHeight="1" x14ac:dyDescent="0.2">
      <c r="A6" s="52" t="s">
        <v>259</v>
      </c>
      <c r="B6" s="53">
        <f t="shared" ref="B6:D6" si="0">SUM(B7:B12)</f>
        <v>801175097</v>
      </c>
      <c r="C6" s="53">
        <f t="shared" si="0"/>
        <v>1158429573</v>
      </c>
      <c r="D6" s="53">
        <f t="shared" si="0"/>
        <v>875316589</v>
      </c>
      <c r="E6" s="47"/>
      <c r="F6" s="47"/>
      <c r="G6" s="47"/>
      <c r="H6" s="47"/>
      <c r="I6" s="47"/>
      <c r="J6" s="47"/>
      <c r="K6" s="47"/>
    </row>
    <row r="7" spans="1:11" ht="12.75" customHeight="1" x14ac:dyDescent="0.2">
      <c r="A7" s="54" t="s">
        <v>260</v>
      </c>
      <c r="B7" s="55">
        <f t="shared" ref="B7:D7" si="1">B63+B119+B175+B231+B287</f>
        <v>0</v>
      </c>
      <c r="C7" s="55">
        <f t="shared" si="1"/>
        <v>0</v>
      </c>
      <c r="D7" s="55">
        <f t="shared" si="1"/>
        <v>0</v>
      </c>
      <c r="E7" s="47"/>
      <c r="F7" s="47"/>
      <c r="G7" s="47"/>
      <c r="H7" s="47"/>
      <c r="I7" s="47"/>
      <c r="J7" s="47"/>
      <c r="K7" s="47"/>
    </row>
    <row r="8" spans="1:11" ht="12.75" customHeight="1" x14ac:dyDescent="0.2">
      <c r="A8" s="54" t="s">
        <v>261</v>
      </c>
      <c r="B8" s="55">
        <f t="shared" ref="B8:D8" si="2">B64+B120+B176+B232+B288</f>
        <v>44363379</v>
      </c>
      <c r="C8" s="55">
        <f t="shared" si="2"/>
        <v>42413514</v>
      </c>
      <c r="D8" s="55">
        <f t="shared" si="2"/>
        <v>41951422</v>
      </c>
      <c r="E8" s="47"/>
      <c r="F8" s="47"/>
      <c r="G8" s="47"/>
      <c r="H8" s="47"/>
      <c r="I8" s="47"/>
      <c r="J8" s="47"/>
      <c r="K8" s="47"/>
    </row>
    <row r="9" spans="1:11" ht="12.75" customHeight="1" x14ac:dyDescent="0.2">
      <c r="A9" s="54" t="s">
        <v>262</v>
      </c>
      <c r="B9" s="55">
        <f t="shared" ref="B9:D9" si="3">B65+B121+B177+B233+B289</f>
        <v>3354780</v>
      </c>
      <c r="C9" s="55">
        <f t="shared" si="3"/>
        <v>2936540</v>
      </c>
      <c r="D9" s="55">
        <f t="shared" si="3"/>
        <v>2987832</v>
      </c>
      <c r="E9" s="47"/>
      <c r="F9" s="47"/>
      <c r="G9" s="47"/>
      <c r="H9" s="47"/>
      <c r="I9" s="47"/>
      <c r="J9" s="47"/>
      <c r="K9" s="47"/>
    </row>
    <row r="10" spans="1:11" ht="12.75" customHeight="1" x14ac:dyDescent="0.2">
      <c r="A10" s="54" t="s">
        <v>263</v>
      </c>
      <c r="B10" s="55">
        <f t="shared" ref="B10:D10" si="4">B66+B122+B178+B234+B290</f>
        <v>476016000</v>
      </c>
      <c r="C10" s="55">
        <f t="shared" si="4"/>
        <v>613066279</v>
      </c>
      <c r="D10" s="55">
        <f t="shared" si="4"/>
        <v>573891565</v>
      </c>
      <c r="E10" s="47"/>
      <c r="F10" s="47"/>
      <c r="G10" s="47"/>
      <c r="H10" s="47"/>
      <c r="I10" s="47"/>
      <c r="J10" s="47"/>
      <c r="K10" s="47"/>
    </row>
    <row r="11" spans="1:11" ht="12.75" customHeight="1" x14ac:dyDescent="0.2">
      <c r="A11" s="54" t="s">
        <v>264</v>
      </c>
      <c r="B11" s="55">
        <f t="shared" ref="B11:D11" si="5">B67+B123+B179+B235+B291</f>
        <v>45059739</v>
      </c>
      <c r="C11" s="55">
        <f t="shared" si="5"/>
        <v>33280299</v>
      </c>
      <c r="D11" s="55">
        <f t="shared" si="5"/>
        <v>26425062</v>
      </c>
      <c r="E11" s="47"/>
      <c r="F11" s="47"/>
      <c r="G11" s="47"/>
      <c r="H11" s="47"/>
      <c r="I11" s="47"/>
      <c r="J11" s="47"/>
      <c r="K11" s="47"/>
    </row>
    <row r="12" spans="1:11" ht="12.75" customHeight="1" x14ac:dyDescent="0.2">
      <c r="A12" s="54" t="s">
        <v>265</v>
      </c>
      <c r="B12" s="55">
        <f t="shared" ref="B12:D12" si="6">B68+B124+B180+B236+B292</f>
        <v>232381199</v>
      </c>
      <c r="C12" s="55">
        <f t="shared" si="6"/>
        <v>466732941</v>
      </c>
      <c r="D12" s="55">
        <f t="shared" si="6"/>
        <v>230060708</v>
      </c>
      <c r="E12" s="47"/>
      <c r="F12" s="47"/>
      <c r="G12" s="47"/>
      <c r="H12" s="47"/>
      <c r="I12" s="47"/>
      <c r="J12" s="47"/>
      <c r="K12" s="47"/>
    </row>
    <row r="13" spans="1:11" ht="12.75" customHeight="1" x14ac:dyDescent="0.2">
      <c r="A13" s="52" t="s">
        <v>266</v>
      </c>
      <c r="B13" s="53">
        <f t="shared" ref="B13:D13" si="7">SUM(B14:B17)</f>
        <v>3761970364</v>
      </c>
      <c r="C13" s="53">
        <f t="shared" si="7"/>
        <v>2688344058</v>
      </c>
      <c r="D13" s="53">
        <f t="shared" si="7"/>
        <v>2479938325</v>
      </c>
      <c r="E13" s="47"/>
      <c r="F13" s="47"/>
      <c r="G13" s="47"/>
      <c r="H13" s="47"/>
      <c r="I13" s="47"/>
      <c r="J13" s="47"/>
      <c r="K13" s="47"/>
    </row>
    <row r="14" spans="1:11" ht="12.75" customHeight="1" x14ac:dyDescent="0.2">
      <c r="A14" s="54" t="s">
        <v>267</v>
      </c>
      <c r="B14" s="55">
        <f t="shared" ref="B14:D14" si="8">B70+B126+B182+B238+B294</f>
        <v>1576446601</v>
      </c>
      <c r="C14" s="55">
        <f t="shared" si="8"/>
        <v>1043420800</v>
      </c>
      <c r="D14" s="55">
        <f t="shared" si="8"/>
        <v>1043420800</v>
      </c>
      <c r="E14" s="47"/>
      <c r="F14" s="47"/>
      <c r="G14" s="47"/>
      <c r="H14" s="47"/>
      <c r="I14" s="47"/>
      <c r="J14" s="47"/>
      <c r="K14" s="47"/>
    </row>
    <row r="15" spans="1:11" ht="12.75" customHeight="1" x14ac:dyDescent="0.2">
      <c r="A15" s="54" t="s">
        <v>268</v>
      </c>
      <c r="B15" s="55">
        <f t="shared" ref="B15:D15" si="9">B71+B127+B183+B239+B295</f>
        <v>0</v>
      </c>
      <c r="C15" s="55">
        <f t="shared" si="9"/>
        <v>0</v>
      </c>
      <c r="D15" s="55">
        <f t="shared" si="9"/>
        <v>0</v>
      </c>
      <c r="E15" s="47"/>
      <c r="F15" s="47"/>
      <c r="G15" s="47"/>
      <c r="H15" s="47"/>
      <c r="I15" s="47"/>
      <c r="J15" s="47"/>
      <c r="K15" s="47"/>
    </row>
    <row r="16" spans="1:11" ht="12.75" customHeight="1" x14ac:dyDescent="0.2">
      <c r="A16" s="54" t="s">
        <v>269</v>
      </c>
      <c r="B16" s="55">
        <f t="shared" ref="B16:D16" si="10">B72+B128+B184+B240+B296</f>
        <v>2185523763</v>
      </c>
      <c r="C16" s="55">
        <f t="shared" si="10"/>
        <v>1644923258</v>
      </c>
      <c r="D16" s="55">
        <f t="shared" si="10"/>
        <v>1436517525</v>
      </c>
      <c r="E16" s="47"/>
      <c r="F16" s="47"/>
      <c r="G16" s="47"/>
      <c r="H16" s="47"/>
      <c r="I16" s="47"/>
      <c r="J16" s="47"/>
      <c r="K16" s="47"/>
    </row>
    <row r="17" spans="1:11" ht="12.75" customHeight="1" x14ac:dyDescent="0.2">
      <c r="A17" s="54" t="s">
        <v>270</v>
      </c>
      <c r="B17" s="55">
        <f t="shared" ref="B17:D17" si="11">B73+B129+B185+B241+B297</f>
        <v>0</v>
      </c>
      <c r="C17" s="55">
        <f t="shared" si="11"/>
        <v>0</v>
      </c>
      <c r="D17" s="55">
        <f t="shared" si="11"/>
        <v>0</v>
      </c>
      <c r="E17" s="47"/>
      <c r="F17" s="47"/>
      <c r="G17" s="47"/>
      <c r="H17" s="47"/>
      <c r="I17" s="47"/>
      <c r="J17" s="47"/>
      <c r="K17" s="47"/>
    </row>
    <row r="18" spans="1:11" ht="12.75" customHeight="1" x14ac:dyDescent="0.2">
      <c r="A18" s="52" t="s">
        <v>271</v>
      </c>
      <c r="B18" s="53">
        <f t="shared" ref="B18:D18" si="12">B19</f>
        <v>0</v>
      </c>
      <c r="C18" s="53">
        <f t="shared" si="12"/>
        <v>0</v>
      </c>
      <c r="D18" s="53">
        <f t="shared" si="12"/>
        <v>0</v>
      </c>
      <c r="E18" s="47"/>
      <c r="F18" s="47"/>
      <c r="G18" s="47"/>
      <c r="H18" s="47"/>
      <c r="I18" s="47"/>
      <c r="J18" s="47"/>
      <c r="K18" s="47"/>
    </row>
    <row r="19" spans="1:11" ht="12.75" customHeight="1" x14ac:dyDescent="0.2">
      <c r="A19" s="54" t="s">
        <v>272</v>
      </c>
      <c r="B19" s="55">
        <f t="shared" ref="B19:D19" si="13">B75+B131+B187+B243+B299</f>
        <v>0</v>
      </c>
      <c r="C19" s="55">
        <f t="shared" si="13"/>
        <v>0</v>
      </c>
      <c r="D19" s="55">
        <f t="shared" si="13"/>
        <v>0</v>
      </c>
      <c r="E19" s="47"/>
      <c r="F19" s="47"/>
      <c r="G19" s="47"/>
      <c r="H19" s="47"/>
      <c r="I19" s="47"/>
      <c r="J19" s="47"/>
      <c r="K19" s="47"/>
    </row>
    <row r="20" spans="1:11" ht="18" customHeight="1" x14ac:dyDescent="0.2">
      <c r="A20" s="56" t="s">
        <v>247</v>
      </c>
      <c r="B20" s="57">
        <f t="shared" ref="B20:D20" si="14">B18+B13+B6</f>
        <v>4563145461</v>
      </c>
      <c r="C20" s="57">
        <f t="shared" si="14"/>
        <v>3846773631</v>
      </c>
      <c r="D20" s="57">
        <f t="shared" si="14"/>
        <v>3355254914</v>
      </c>
      <c r="E20" s="5"/>
      <c r="F20" s="5"/>
      <c r="G20" s="5"/>
      <c r="H20" s="5"/>
      <c r="I20" s="5"/>
      <c r="J20" s="5"/>
      <c r="K20" s="5"/>
    </row>
    <row r="21" spans="1:11" ht="12.75" customHeight="1" x14ac:dyDescent="0.2">
      <c r="A21" s="47"/>
      <c r="B21" s="47"/>
      <c r="C21" s="47"/>
      <c r="D21" s="47"/>
      <c r="E21" s="47"/>
      <c r="F21" s="47"/>
      <c r="G21" s="47"/>
      <c r="H21" s="47"/>
      <c r="I21" s="47"/>
      <c r="J21" s="47"/>
      <c r="K21" s="47"/>
    </row>
    <row r="22" spans="1:11" ht="22.5" customHeight="1" x14ac:dyDescent="0.2">
      <c r="A22" s="48" t="s">
        <v>257</v>
      </c>
      <c r="B22" s="47"/>
      <c r="C22" s="47"/>
      <c r="D22" s="47"/>
      <c r="E22" s="51"/>
      <c r="F22" s="51"/>
      <c r="G22" s="51"/>
      <c r="H22" s="51"/>
      <c r="I22" s="51"/>
      <c r="J22" s="51"/>
      <c r="K22" s="51"/>
    </row>
    <row r="23" spans="1:11" ht="12.75" customHeight="1" x14ac:dyDescent="0.2">
      <c r="A23" s="49" t="s">
        <v>273</v>
      </c>
      <c r="B23" s="50">
        <v>2019</v>
      </c>
      <c r="C23" s="50" t="s">
        <v>249</v>
      </c>
      <c r="D23" s="50" t="s">
        <v>250</v>
      </c>
      <c r="E23" s="47"/>
      <c r="F23" s="47"/>
      <c r="G23" s="47"/>
      <c r="H23" s="47"/>
      <c r="I23" s="47"/>
      <c r="J23" s="47"/>
      <c r="K23" s="47"/>
    </row>
    <row r="24" spans="1:11" ht="12.75" customHeight="1" x14ac:dyDescent="0.2">
      <c r="A24" s="52" t="s">
        <v>259</v>
      </c>
      <c r="B24" s="53">
        <f t="shared" ref="B24:D24" si="15">SUM(B25:B30)</f>
        <v>931769874</v>
      </c>
      <c r="C24" s="53">
        <f t="shared" si="15"/>
        <v>1233043281</v>
      </c>
      <c r="D24" s="53">
        <f t="shared" si="15"/>
        <v>875316589</v>
      </c>
      <c r="E24" s="47"/>
      <c r="F24" s="47"/>
      <c r="G24" s="47"/>
      <c r="H24" s="47"/>
      <c r="I24" s="47"/>
      <c r="J24" s="47"/>
      <c r="K24" s="47"/>
    </row>
    <row r="25" spans="1:11" ht="12.75" customHeight="1" x14ac:dyDescent="0.2">
      <c r="A25" s="54" t="s">
        <v>260</v>
      </c>
      <c r="B25" s="55">
        <f t="shared" ref="B25:D25" si="16">B81+B137+B193+B249+B305</f>
        <v>0</v>
      </c>
      <c r="C25" s="55">
        <f t="shared" si="16"/>
        <v>0</v>
      </c>
      <c r="D25" s="55">
        <f t="shared" si="16"/>
        <v>0</v>
      </c>
      <c r="E25" s="47"/>
      <c r="F25" s="47"/>
      <c r="G25" s="47"/>
      <c r="H25" s="47"/>
      <c r="I25" s="47"/>
      <c r="J25" s="47"/>
      <c r="K25" s="47"/>
    </row>
    <row r="26" spans="1:11" ht="12.75" customHeight="1" x14ac:dyDescent="0.2">
      <c r="A26" s="54" t="s">
        <v>261</v>
      </c>
      <c r="B26" s="55">
        <f t="shared" ref="B26:D26" si="17">B82+B138+B194+B250+B306</f>
        <v>41479578</v>
      </c>
      <c r="C26" s="55">
        <f t="shared" si="17"/>
        <v>43056022</v>
      </c>
      <c r="D26" s="55">
        <f t="shared" si="17"/>
        <v>41951422</v>
      </c>
      <c r="E26" s="47"/>
      <c r="F26" s="47"/>
      <c r="G26" s="47"/>
      <c r="H26" s="47"/>
      <c r="I26" s="47"/>
      <c r="J26" s="47"/>
      <c r="K26" s="47"/>
    </row>
    <row r="27" spans="1:11" ht="12.75" customHeight="1" x14ac:dyDescent="0.2">
      <c r="A27" s="54" t="s">
        <v>262</v>
      </c>
      <c r="B27" s="55">
        <f t="shared" ref="B27:D27" si="18">B83+B139+B195+B251+B307</f>
        <v>3187120</v>
      </c>
      <c r="C27" s="55">
        <f t="shared" si="18"/>
        <v>24334002</v>
      </c>
      <c r="D27" s="55">
        <f t="shared" si="18"/>
        <v>2987832</v>
      </c>
      <c r="E27" s="47"/>
      <c r="F27" s="47"/>
      <c r="G27" s="47"/>
      <c r="H27" s="47"/>
      <c r="I27" s="47"/>
      <c r="J27" s="47"/>
      <c r="K27" s="47"/>
    </row>
    <row r="28" spans="1:11" ht="12.75" customHeight="1" x14ac:dyDescent="0.2">
      <c r="A28" s="54" t="s">
        <v>263</v>
      </c>
      <c r="B28" s="55">
        <f t="shared" ref="B28:D28" si="19">B84+B140+B196+B252+B308</f>
        <v>640122621</v>
      </c>
      <c r="C28" s="55">
        <f t="shared" si="19"/>
        <v>684817932</v>
      </c>
      <c r="D28" s="55">
        <f t="shared" si="19"/>
        <v>573891565</v>
      </c>
      <c r="E28" s="47"/>
      <c r="F28" s="47"/>
      <c r="G28" s="47"/>
      <c r="H28" s="47"/>
      <c r="I28" s="47"/>
      <c r="J28" s="47"/>
      <c r="K28" s="47"/>
    </row>
    <row r="29" spans="1:11" ht="12.75" customHeight="1" x14ac:dyDescent="0.2">
      <c r="A29" s="54" t="s">
        <v>264</v>
      </c>
      <c r="B29" s="55">
        <f t="shared" ref="B29:D29" si="20">B85+B141+B197+B253+B309</f>
        <v>10028836</v>
      </c>
      <c r="C29" s="55">
        <f t="shared" si="20"/>
        <v>19450768</v>
      </c>
      <c r="D29" s="55">
        <f t="shared" si="20"/>
        <v>26425062</v>
      </c>
      <c r="E29" s="47"/>
      <c r="F29" s="47"/>
      <c r="G29" s="47"/>
      <c r="H29" s="47"/>
      <c r="I29" s="47"/>
      <c r="J29" s="47"/>
      <c r="K29" s="47"/>
    </row>
    <row r="30" spans="1:11" ht="12.75" customHeight="1" x14ac:dyDescent="0.2">
      <c r="A30" s="54" t="s">
        <v>265</v>
      </c>
      <c r="B30" s="55">
        <f t="shared" ref="B30:D30" si="21">B86+B142+B198+B254+B310</f>
        <v>236951719</v>
      </c>
      <c r="C30" s="55">
        <f t="shared" si="21"/>
        <v>461384557</v>
      </c>
      <c r="D30" s="55">
        <f t="shared" si="21"/>
        <v>230060708</v>
      </c>
      <c r="E30" s="47"/>
      <c r="F30" s="47"/>
      <c r="G30" s="47"/>
      <c r="H30" s="47"/>
      <c r="I30" s="47"/>
      <c r="J30" s="47"/>
      <c r="K30" s="47"/>
    </row>
    <row r="31" spans="1:11" ht="12.75" customHeight="1" x14ac:dyDescent="0.2">
      <c r="A31" s="52" t="s">
        <v>266</v>
      </c>
      <c r="B31" s="53">
        <f t="shared" ref="B31:D31" si="22">SUM(B32:B35)</f>
        <v>3335596053</v>
      </c>
      <c r="C31" s="53">
        <f t="shared" si="22"/>
        <v>2680153521</v>
      </c>
      <c r="D31" s="53">
        <f t="shared" si="22"/>
        <v>2479938325</v>
      </c>
      <c r="E31" s="47"/>
      <c r="F31" s="47"/>
      <c r="G31" s="47"/>
      <c r="H31" s="47"/>
      <c r="I31" s="47"/>
      <c r="J31" s="47"/>
      <c r="K31" s="47"/>
    </row>
    <row r="32" spans="1:11" ht="12.75" customHeight="1" x14ac:dyDescent="0.2">
      <c r="A32" s="54" t="s">
        <v>267</v>
      </c>
      <c r="B32" s="55">
        <f t="shared" ref="B32:D32" si="23">B88+B144+B200+B256+B312</f>
        <v>1578015978</v>
      </c>
      <c r="C32" s="55">
        <f t="shared" si="23"/>
        <v>1320310923</v>
      </c>
      <c r="D32" s="55">
        <f t="shared" si="23"/>
        <v>1043420800</v>
      </c>
      <c r="E32" s="47"/>
      <c r="F32" s="47"/>
      <c r="G32" s="47"/>
      <c r="H32" s="47"/>
      <c r="I32" s="47"/>
      <c r="J32" s="47"/>
      <c r="K32" s="47"/>
    </row>
    <row r="33" spans="1:11" ht="12.75" customHeight="1" x14ac:dyDescent="0.2">
      <c r="A33" s="54" t="s">
        <v>268</v>
      </c>
      <c r="B33" s="55">
        <f t="shared" ref="B33:D33" si="24">B89+B145+B201+B257+B313</f>
        <v>298497541</v>
      </c>
      <c r="C33" s="55">
        <f t="shared" si="24"/>
        <v>56862318</v>
      </c>
      <c r="D33" s="55">
        <f t="shared" si="24"/>
        <v>0</v>
      </c>
      <c r="E33" s="47"/>
      <c r="F33" s="47"/>
      <c r="G33" s="47"/>
      <c r="H33" s="47"/>
      <c r="I33" s="47"/>
      <c r="J33" s="47"/>
      <c r="K33" s="47"/>
    </row>
    <row r="34" spans="1:11" ht="12.75" customHeight="1" x14ac:dyDescent="0.2">
      <c r="A34" s="54" t="s">
        <v>269</v>
      </c>
      <c r="B34" s="55">
        <f t="shared" ref="B34:D34" si="25">B90+B146+B202+B258+B314</f>
        <v>1459082534</v>
      </c>
      <c r="C34" s="55">
        <f t="shared" si="25"/>
        <v>1302980280</v>
      </c>
      <c r="D34" s="55">
        <f t="shared" si="25"/>
        <v>1436517525</v>
      </c>
      <c r="E34" s="47"/>
      <c r="F34" s="47"/>
      <c r="G34" s="47"/>
      <c r="H34" s="47"/>
      <c r="I34" s="47"/>
      <c r="J34" s="47"/>
      <c r="K34" s="47"/>
    </row>
    <row r="35" spans="1:11" ht="12.75" customHeight="1" x14ac:dyDescent="0.2">
      <c r="A35" s="54" t="s">
        <v>270</v>
      </c>
      <c r="B35" s="55">
        <f t="shared" ref="B35:D35" si="26">B91+B147+B203+B259+B315</f>
        <v>0</v>
      </c>
      <c r="C35" s="55">
        <f t="shared" si="26"/>
        <v>0</v>
      </c>
      <c r="D35" s="55">
        <f t="shared" si="26"/>
        <v>0</v>
      </c>
      <c r="E35" s="47"/>
      <c r="F35" s="47"/>
      <c r="G35" s="47"/>
      <c r="H35" s="47"/>
      <c r="I35" s="47"/>
      <c r="J35" s="47"/>
      <c r="K35" s="47"/>
    </row>
    <row r="36" spans="1:11" ht="12.75" customHeight="1" x14ac:dyDescent="0.2">
      <c r="A36" s="52" t="s">
        <v>271</v>
      </c>
      <c r="B36" s="53">
        <f t="shared" ref="B36:D36" si="27">B37</f>
        <v>0</v>
      </c>
      <c r="C36" s="53">
        <f t="shared" si="27"/>
        <v>0</v>
      </c>
      <c r="D36" s="53">
        <f t="shared" si="27"/>
        <v>0</v>
      </c>
      <c r="E36" s="47"/>
      <c r="F36" s="47"/>
      <c r="G36" s="47"/>
      <c r="H36" s="47"/>
      <c r="I36" s="47"/>
      <c r="J36" s="47"/>
      <c r="K36" s="47"/>
    </row>
    <row r="37" spans="1:11" ht="18" customHeight="1" x14ac:dyDescent="0.2">
      <c r="A37" s="54" t="s">
        <v>272</v>
      </c>
      <c r="B37" s="55">
        <f t="shared" ref="B37:D37" si="28">B93+B149+B205+B261+B317</f>
        <v>0</v>
      </c>
      <c r="C37" s="55">
        <f t="shared" si="28"/>
        <v>0</v>
      </c>
      <c r="D37" s="55">
        <f t="shared" si="28"/>
        <v>0</v>
      </c>
      <c r="E37" s="5"/>
      <c r="F37" s="5"/>
      <c r="G37" s="5"/>
      <c r="H37" s="5"/>
      <c r="I37" s="5"/>
      <c r="J37" s="5"/>
      <c r="K37" s="5"/>
    </row>
    <row r="38" spans="1:11" ht="12.75" customHeight="1" x14ac:dyDescent="0.2">
      <c r="A38" s="56" t="s">
        <v>251</v>
      </c>
      <c r="B38" s="57">
        <f t="shared" ref="B38:D38" si="29">B36+B31+B24</f>
        <v>4267365927</v>
      </c>
      <c r="C38" s="57">
        <f t="shared" si="29"/>
        <v>3913196802</v>
      </c>
      <c r="D38" s="57">
        <f t="shared" si="29"/>
        <v>3355254914</v>
      </c>
      <c r="E38" s="47"/>
      <c r="F38" s="47"/>
      <c r="G38" s="47"/>
      <c r="H38" s="47"/>
      <c r="I38" s="47"/>
      <c r="J38" s="47"/>
      <c r="K38" s="47"/>
    </row>
    <row r="39" spans="1:11" ht="12.75" customHeight="1" x14ac:dyDescent="0.2">
      <c r="A39" s="47"/>
      <c r="B39" s="47"/>
      <c r="C39" s="47"/>
      <c r="D39" s="47"/>
      <c r="E39" s="58"/>
      <c r="F39" s="51"/>
      <c r="G39" s="51"/>
      <c r="H39" s="51"/>
      <c r="I39" s="51"/>
      <c r="J39" s="51"/>
      <c r="K39" s="51"/>
    </row>
    <row r="40" spans="1:11" ht="12.75" customHeight="1" x14ac:dyDescent="0.2">
      <c r="A40" s="48" t="s">
        <v>257</v>
      </c>
      <c r="B40" s="47"/>
      <c r="C40" s="59"/>
      <c r="D40" s="59"/>
      <c r="E40" s="47"/>
      <c r="F40" s="47"/>
      <c r="G40" s="47"/>
      <c r="H40" s="47"/>
      <c r="I40" s="47"/>
      <c r="J40" s="47"/>
      <c r="K40" s="47"/>
    </row>
    <row r="41" spans="1:11" ht="12.75" customHeight="1" x14ac:dyDescent="0.2">
      <c r="A41" s="49" t="s">
        <v>274</v>
      </c>
      <c r="B41" s="50">
        <v>2019</v>
      </c>
      <c r="C41" s="50" t="s">
        <v>249</v>
      </c>
      <c r="D41" s="50" t="s">
        <v>250</v>
      </c>
      <c r="E41" s="47"/>
      <c r="F41" s="47"/>
      <c r="G41" s="47"/>
      <c r="H41" s="47"/>
      <c r="I41" s="47"/>
      <c r="J41" s="47"/>
      <c r="K41" s="47"/>
    </row>
    <row r="42" spans="1:11" ht="12.75" customHeight="1" x14ac:dyDescent="0.2">
      <c r="A42" s="52" t="s">
        <v>259</v>
      </c>
      <c r="B42" s="53">
        <f t="shared" ref="B42:D42" si="30">SUM(B43:B48)</f>
        <v>802710848.81999981</v>
      </c>
      <c r="C42" s="53">
        <f t="shared" si="30"/>
        <v>1159897139.8640409</v>
      </c>
      <c r="D42" s="53">
        <f t="shared" si="30"/>
        <v>875316589</v>
      </c>
      <c r="E42" s="47"/>
      <c r="F42" s="47"/>
      <c r="G42" s="47"/>
      <c r="H42" s="47"/>
      <c r="I42" s="47"/>
      <c r="J42" s="47"/>
      <c r="K42" s="47"/>
    </row>
    <row r="43" spans="1:11" ht="12.75" customHeight="1" x14ac:dyDescent="0.2">
      <c r="A43" s="54" t="s">
        <v>260</v>
      </c>
      <c r="B43" s="55">
        <f t="shared" ref="B43:D43" si="31">B99+B155+B211+B267+B323</f>
        <v>0</v>
      </c>
      <c r="C43" s="55">
        <f t="shared" si="31"/>
        <v>0</v>
      </c>
      <c r="D43" s="55">
        <f t="shared" si="31"/>
        <v>0</v>
      </c>
      <c r="E43" s="47"/>
      <c r="F43" s="47"/>
      <c r="G43" s="47"/>
      <c r="H43" s="47"/>
      <c r="I43" s="47"/>
      <c r="J43" s="47"/>
      <c r="K43" s="47"/>
    </row>
    <row r="44" spans="1:11" ht="12.75" customHeight="1" x14ac:dyDescent="0.2">
      <c r="A44" s="54" t="s">
        <v>261</v>
      </c>
      <c r="B44" s="55">
        <f t="shared" ref="B44:D44" si="32">B100+B156+B212+B268+B324</f>
        <v>36136894.160000026</v>
      </c>
      <c r="C44" s="55">
        <f t="shared" si="32"/>
        <v>41156022</v>
      </c>
      <c r="D44" s="55">
        <f t="shared" si="32"/>
        <v>41951422</v>
      </c>
      <c r="E44" s="47"/>
      <c r="F44" s="47"/>
      <c r="G44" s="59"/>
      <c r="H44" s="59"/>
      <c r="I44" s="47"/>
      <c r="J44" s="47"/>
      <c r="K44" s="47"/>
    </row>
    <row r="45" spans="1:11" ht="12.75" customHeight="1" x14ac:dyDescent="0.2">
      <c r="A45" s="54" t="s">
        <v>262</v>
      </c>
      <c r="B45" s="55">
        <f t="shared" ref="B45:D45" si="33">B101+B157+B213+B269+B325</f>
        <v>3006808.3500000006</v>
      </c>
      <c r="C45" s="55">
        <f t="shared" si="33"/>
        <v>24334002</v>
      </c>
      <c r="D45" s="55">
        <f t="shared" si="33"/>
        <v>2987832</v>
      </c>
      <c r="E45" s="47"/>
      <c r="F45" s="47"/>
      <c r="G45" s="59"/>
      <c r="H45" s="59"/>
      <c r="I45" s="47"/>
      <c r="J45" s="47"/>
      <c r="K45" s="47"/>
    </row>
    <row r="46" spans="1:11" ht="12.75" customHeight="1" x14ac:dyDescent="0.2">
      <c r="A46" s="54" t="s">
        <v>263</v>
      </c>
      <c r="B46" s="55">
        <f t="shared" ref="B46:D46" si="34">B102+B158+B214+B270+B326</f>
        <v>530336701.14999986</v>
      </c>
      <c r="C46" s="55">
        <f t="shared" si="34"/>
        <v>614479012.73404074</v>
      </c>
      <c r="D46" s="55">
        <f t="shared" si="34"/>
        <v>573891565</v>
      </c>
      <c r="E46" s="47"/>
      <c r="F46" s="47"/>
      <c r="G46" s="59"/>
      <c r="H46" s="59"/>
      <c r="I46" s="47"/>
      <c r="J46" s="47"/>
      <c r="K46" s="47"/>
    </row>
    <row r="47" spans="1:11" ht="12.75" customHeight="1" x14ac:dyDescent="0.2">
      <c r="A47" s="54" t="s">
        <v>264</v>
      </c>
      <c r="B47" s="55">
        <f t="shared" ref="B47:D47" si="35">B103+B159+B215+B271+B327</f>
        <v>10012240.370000001</v>
      </c>
      <c r="C47" s="55">
        <f t="shared" si="35"/>
        <v>19450768</v>
      </c>
      <c r="D47" s="55">
        <f t="shared" si="35"/>
        <v>26425062</v>
      </c>
      <c r="E47" s="47"/>
      <c r="F47" s="47"/>
      <c r="G47" s="59"/>
      <c r="H47" s="59"/>
      <c r="I47" s="47"/>
      <c r="J47" s="47"/>
      <c r="K47" s="47"/>
    </row>
    <row r="48" spans="1:11" ht="12.75" customHeight="1" x14ac:dyDescent="0.2">
      <c r="A48" s="54" t="s">
        <v>265</v>
      </c>
      <c r="B48" s="55">
        <f t="shared" ref="B48:D48" si="36">B104+B160+B216+B272+B328</f>
        <v>223218204.78999996</v>
      </c>
      <c r="C48" s="55">
        <f t="shared" si="36"/>
        <v>460477335.13</v>
      </c>
      <c r="D48" s="55">
        <f t="shared" si="36"/>
        <v>230060708</v>
      </c>
      <c r="E48" s="47"/>
      <c r="F48" s="47"/>
      <c r="G48" s="59"/>
      <c r="H48" s="59"/>
      <c r="I48" s="47"/>
      <c r="J48" s="47"/>
      <c r="K48" s="47"/>
    </row>
    <row r="49" spans="1:11" ht="12.75" customHeight="1" x14ac:dyDescent="0.2">
      <c r="A49" s="52" t="s">
        <v>266</v>
      </c>
      <c r="B49" s="53">
        <f t="shared" ref="B49:D49" si="37">SUM(B50:B53)</f>
        <v>2798169605.9400005</v>
      </c>
      <c r="C49" s="53">
        <f t="shared" si="37"/>
        <v>2192486185.46</v>
      </c>
      <c r="D49" s="53">
        <f t="shared" si="37"/>
        <v>2479938325</v>
      </c>
      <c r="E49" s="47"/>
      <c r="F49" s="47"/>
      <c r="G49" s="59"/>
      <c r="H49" s="59"/>
      <c r="I49" s="47"/>
      <c r="J49" s="47"/>
      <c r="K49" s="47"/>
    </row>
    <row r="50" spans="1:11" ht="12.75" customHeight="1" x14ac:dyDescent="0.2">
      <c r="A50" s="54" t="s">
        <v>267</v>
      </c>
      <c r="B50" s="55">
        <f t="shared" ref="B50:D50" si="38">B106+B162+B218+B274+B330</f>
        <v>1572220755.7800002</v>
      </c>
      <c r="C50" s="55">
        <f t="shared" si="38"/>
        <v>1272284209</v>
      </c>
      <c r="D50" s="55">
        <f t="shared" si="38"/>
        <v>1043420800</v>
      </c>
      <c r="E50" s="47"/>
      <c r="F50" s="47"/>
      <c r="G50" s="59"/>
      <c r="H50" s="59"/>
      <c r="I50" s="47"/>
      <c r="J50" s="47"/>
      <c r="K50" s="47"/>
    </row>
    <row r="51" spans="1:11" ht="12.75" customHeight="1" x14ac:dyDescent="0.2">
      <c r="A51" s="54" t="s">
        <v>268</v>
      </c>
      <c r="B51" s="55">
        <f t="shared" ref="B51:D51" si="39">B107+B163+B219+B275+B331</f>
        <v>294571372.18999994</v>
      </c>
      <c r="C51" s="55">
        <f t="shared" si="39"/>
        <v>56862318</v>
      </c>
      <c r="D51" s="55">
        <f t="shared" si="39"/>
        <v>0</v>
      </c>
      <c r="E51" s="47"/>
      <c r="F51" s="47"/>
      <c r="G51" s="59"/>
      <c r="H51" s="59"/>
      <c r="I51" s="47"/>
      <c r="J51" s="47"/>
      <c r="K51" s="47"/>
    </row>
    <row r="52" spans="1:11" ht="12.75" customHeight="1" x14ac:dyDescent="0.2">
      <c r="A52" s="54" t="s">
        <v>269</v>
      </c>
      <c r="B52" s="55">
        <f t="shared" ref="B52:D52" si="40">B108+B164+B220+B276+B332</f>
        <v>931377477.97000015</v>
      </c>
      <c r="C52" s="55">
        <f t="shared" si="40"/>
        <v>863339658.46000028</v>
      </c>
      <c r="D52" s="55">
        <f t="shared" si="40"/>
        <v>1436517525</v>
      </c>
      <c r="E52" s="47"/>
      <c r="F52" s="47"/>
      <c r="G52" s="59"/>
      <c r="H52" s="59"/>
      <c r="I52" s="47"/>
      <c r="J52" s="47"/>
      <c r="K52" s="47"/>
    </row>
    <row r="53" spans="1:11" ht="12.75" customHeight="1" x14ac:dyDescent="0.2">
      <c r="A53" s="54" t="s">
        <v>270</v>
      </c>
      <c r="B53" s="55">
        <f t="shared" ref="B53:D53" si="41">B109+B165+B221+B277+B333</f>
        <v>0</v>
      </c>
      <c r="C53" s="55">
        <f t="shared" si="41"/>
        <v>0</v>
      </c>
      <c r="D53" s="55">
        <f t="shared" si="41"/>
        <v>0</v>
      </c>
      <c r="E53" s="47"/>
      <c r="F53" s="47"/>
      <c r="G53" s="59"/>
      <c r="H53" s="59"/>
      <c r="I53" s="47"/>
      <c r="J53" s="47"/>
      <c r="K53" s="47"/>
    </row>
    <row r="54" spans="1:11" ht="18" customHeight="1" x14ac:dyDescent="0.2">
      <c r="A54" s="52" t="s">
        <v>271</v>
      </c>
      <c r="B54" s="53">
        <f t="shared" ref="B54:D54" si="42">B55</f>
        <v>0</v>
      </c>
      <c r="C54" s="53">
        <f t="shared" si="42"/>
        <v>0</v>
      </c>
      <c r="D54" s="53">
        <f t="shared" si="42"/>
        <v>0</v>
      </c>
      <c r="E54" s="47"/>
      <c r="F54" s="5"/>
      <c r="G54" s="59"/>
      <c r="H54" s="5"/>
      <c r="I54" s="5"/>
      <c r="J54" s="5"/>
      <c r="K54" s="5"/>
    </row>
    <row r="55" spans="1:11" ht="12.75" customHeight="1" x14ac:dyDescent="0.2">
      <c r="A55" s="54" t="s">
        <v>272</v>
      </c>
      <c r="B55" s="55">
        <f t="shared" ref="B55:D55" si="43">B111+B167+B223+B279+B335</f>
        <v>0</v>
      </c>
      <c r="C55" s="55">
        <f t="shared" si="43"/>
        <v>0</v>
      </c>
      <c r="D55" s="55">
        <f t="shared" si="43"/>
        <v>0</v>
      </c>
      <c r="E55" s="47"/>
      <c r="F55" s="47"/>
      <c r="G55" s="59"/>
      <c r="H55" s="47"/>
      <c r="I55" s="47"/>
      <c r="J55" s="47"/>
      <c r="K55" s="47"/>
    </row>
    <row r="56" spans="1:11" ht="12.75" customHeight="1" x14ac:dyDescent="0.2">
      <c r="A56" s="60" t="s">
        <v>253</v>
      </c>
      <c r="B56" s="57">
        <f t="shared" ref="B56:D56" si="44">B54+B49+B42</f>
        <v>3600880454.7600002</v>
      </c>
      <c r="C56" s="57">
        <f t="shared" si="44"/>
        <v>3352383325.3240409</v>
      </c>
      <c r="D56" s="57">
        <f t="shared" si="44"/>
        <v>3355254914</v>
      </c>
      <c r="E56" s="47"/>
      <c r="F56" s="47"/>
      <c r="G56" s="59"/>
      <c r="H56" s="47"/>
      <c r="I56" s="47"/>
      <c r="J56" s="47"/>
      <c r="K56" s="47"/>
    </row>
    <row r="57" spans="1:11" ht="12.75" customHeight="1" x14ac:dyDescent="0.2">
      <c r="A57" s="61" t="s">
        <v>254</v>
      </c>
      <c r="B57" s="47"/>
      <c r="C57" s="47"/>
      <c r="D57" s="47"/>
      <c r="E57" s="47"/>
      <c r="F57" s="47"/>
      <c r="G57" s="47"/>
      <c r="H57" s="47"/>
      <c r="I57" s="47"/>
      <c r="J57" s="47"/>
      <c r="K57" s="47"/>
    </row>
    <row r="58" spans="1:11" ht="12.75" customHeight="1" x14ac:dyDescent="0.2">
      <c r="A58" s="62" t="s">
        <v>255</v>
      </c>
      <c r="B58" s="47"/>
      <c r="C58" s="59"/>
      <c r="D58" s="47"/>
      <c r="E58" s="59"/>
      <c r="F58" s="47"/>
      <c r="G58" s="47"/>
      <c r="H58" s="47"/>
      <c r="I58" s="47"/>
      <c r="J58" s="47"/>
      <c r="K58" s="47"/>
    </row>
    <row r="59" spans="1:11" ht="12.75" customHeight="1" x14ac:dyDescent="0.2">
      <c r="A59" s="47"/>
      <c r="B59" s="47"/>
      <c r="C59" s="59"/>
      <c r="D59" s="47"/>
      <c r="E59" s="47"/>
      <c r="F59" s="47"/>
      <c r="G59" s="47"/>
      <c r="H59" s="47"/>
      <c r="I59" s="47"/>
      <c r="J59" s="47"/>
      <c r="K59" s="47"/>
    </row>
    <row r="60" spans="1:11" ht="12.75" customHeight="1" x14ac:dyDescent="0.2">
      <c r="A60" s="48" t="s">
        <v>275</v>
      </c>
      <c r="B60" s="47"/>
      <c r="C60" s="47"/>
      <c r="D60" s="47"/>
      <c r="E60" s="47"/>
      <c r="F60" s="47"/>
      <c r="G60" s="47"/>
      <c r="H60" s="47"/>
      <c r="I60" s="47"/>
      <c r="J60" s="47"/>
      <c r="K60" s="47"/>
    </row>
    <row r="61" spans="1:11" ht="12.75" customHeight="1" x14ac:dyDescent="0.2">
      <c r="A61" s="49" t="s">
        <v>258</v>
      </c>
      <c r="B61" s="50">
        <v>2019</v>
      </c>
      <c r="C61" s="50">
        <v>2020</v>
      </c>
      <c r="D61" s="50">
        <v>2021</v>
      </c>
      <c r="E61" s="47"/>
      <c r="F61" s="47"/>
      <c r="G61" s="47"/>
      <c r="H61" s="47"/>
      <c r="I61" s="47"/>
      <c r="J61" s="47"/>
      <c r="K61" s="47"/>
    </row>
    <row r="62" spans="1:11" ht="12.75" customHeight="1" x14ac:dyDescent="0.2">
      <c r="A62" s="52" t="s">
        <v>259</v>
      </c>
      <c r="B62" s="53">
        <f t="shared" ref="B62:D62" si="45">SUM(B63:B68)</f>
        <v>670779225</v>
      </c>
      <c r="C62" s="53">
        <f t="shared" si="45"/>
        <v>991478647</v>
      </c>
      <c r="D62" s="53">
        <f t="shared" si="45"/>
        <v>740468016</v>
      </c>
      <c r="E62" s="47"/>
      <c r="F62" s="47"/>
      <c r="G62" s="47"/>
      <c r="H62" s="47"/>
      <c r="I62" s="47"/>
      <c r="J62" s="47"/>
      <c r="K62" s="47"/>
    </row>
    <row r="63" spans="1:11" ht="12.75" customHeight="1" x14ac:dyDescent="0.2">
      <c r="A63" s="54" t="s">
        <v>260</v>
      </c>
      <c r="B63" s="55">
        <v>0</v>
      </c>
      <c r="C63" s="55">
        <v>0</v>
      </c>
      <c r="D63" s="55">
        <v>0</v>
      </c>
      <c r="E63" s="47"/>
      <c r="F63" s="47"/>
      <c r="G63" s="47"/>
      <c r="H63" s="47"/>
      <c r="I63" s="47"/>
      <c r="J63" s="47"/>
      <c r="K63" s="47"/>
    </row>
    <row r="64" spans="1:11" ht="12.75" customHeight="1" x14ac:dyDescent="0.2">
      <c r="A64" s="54" t="s">
        <v>261</v>
      </c>
      <c r="B64" s="55">
        <v>30118606</v>
      </c>
      <c r="C64" s="55">
        <v>30391363</v>
      </c>
      <c r="D64" s="55">
        <v>29349478</v>
      </c>
      <c r="E64" s="47"/>
      <c r="F64" s="47"/>
      <c r="G64" s="47"/>
      <c r="H64" s="47"/>
      <c r="I64" s="47"/>
      <c r="J64" s="47"/>
      <c r="K64" s="47"/>
    </row>
    <row r="65" spans="1:11" ht="12.75" customHeight="1" x14ac:dyDescent="0.2">
      <c r="A65" s="54" t="s">
        <v>262</v>
      </c>
      <c r="B65" s="55">
        <v>3248015</v>
      </c>
      <c r="C65" s="55">
        <v>2829773</v>
      </c>
      <c r="D65" s="55">
        <v>2701065</v>
      </c>
      <c r="E65" s="47"/>
      <c r="F65" s="47"/>
      <c r="G65" s="47"/>
      <c r="H65" s="47"/>
      <c r="I65" s="47"/>
      <c r="J65" s="47"/>
      <c r="K65" s="47"/>
    </row>
    <row r="66" spans="1:11" ht="12.75" customHeight="1" x14ac:dyDescent="0.2">
      <c r="A66" s="54" t="s">
        <v>263</v>
      </c>
      <c r="B66" s="55">
        <v>361811975</v>
      </c>
      <c r="C66" s="55">
        <v>459088093</v>
      </c>
      <c r="D66" s="55">
        <v>452803292</v>
      </c>
      <c r="E66" s="47"/>
      <c r="F66" s="47"/>
      <c r="G66" s="47"/>
      <c r="H66" s="47"/>
      <c r="I66" s="47"/>
      <c r="J66" s="47"/>
      <c r="K66" s="47"/>
    </row>
    <row r="67" spans="1:11" ht="12.75" customHeight="1" x14ac:dyDescent="0.2">
      <c r="A67" s="54" t="s">
        <v>264</v>
      </c>
      <c r="B67" s="55">
        <v>45059739</v>
      </c>
      <c r="C67" s="55">
        <v>33158418</v>
      </c>
      <c r="D67" s="55">
        <v>26303181</v>
      </c>
      <c r="E67" s="47"/>
      <c r="F67" s="47"/>
      <c r="G67" s="47"/>
      <c r="H67" s="47"/>
      <c r="I67" s="47"/>
      <c r="J67" s="47"/>
      <c r="K67" s="47"/>
    </row>
    <row r="68" spans="1:11" ht="12.75" customHeight="1" x14ac:dyDescent="0.2">
      <c r="A68" s="54" t="s">
        <v>265</v>
      </c>
      <c r="B68" s="55">
        <v>230540890</v>
      </c>
      <c r="C68" s="55">
        <v>466011000</v>
      </c>
      <c r="D68" s="55">
        <v>229311000</v>
      </c>
      <c r="E68" s="47"/>
      <c r="F68" s="47"/>
      <c r="G68" s="47"/>
      <c r="H68" s="47"/>
      <c r="I68" s="47"/>
      <c r="J68" s="47"/>
      <c r="K68" s="47"/>
    </row>
    <row r="69" spans="1:11" ht="12.75" customHeight="1" x14ac:dyDescent="0.2">
      <c r="A69" s="52" t="s">
        <v>266</v>
      </c>
      <c r="B69" s="53">
        <f t="shared" ref="B69:D69" si="46">SUM(B70:B73)</f>
        <v>2549957042</v>
      </c>
      <c r="C69" s="53">
        <f t="shared" si="46"/>
        <v>2253042948</v>
      </c>
      <c r="D69" s="53">
        <f t="shared" si="46"/>
        <v>960956619</v>
      </c>
      <c r="E69" s="47"/>
      <c r="F69" s="47"/>
      <c r="G69" s="47"/>
      <c r="H69" s="47"/>
      <c r="I69" s="47"/>
      <c r="J69" s="47"/>
      <c r="K69" s="47"/>
    </row>
    <row r="70" spans="1:11" ht="12.75" customHeight="1" x14ac:dyDescent="0.2">
      <c r="A70" s="54" t="s">
        <v>267</v>
      </c>
      <c r="B70" s="55">
        <v>1576446601</v>
      </c>
      <c r="C70" s="55">
        <v>1043420800</v>
      </c>
      <c r="D70" s="55">
        <v>843420800</v>
      </c>
      <c r="E70" s="47"/>
      <c r="F70" s="47"/>
      <c r="G70" s="47"/>
      <c r="H70" s="47"/>
      <c r="I70" s="47"/>
      <c r="J70" s="47"/>
      <c r="K70" s="47"/>
    </row>
    <row r="71" spans="1:11" ht="12.75" customHeight="1" x14ac:dyDescent="0.2">
      <c r="A71" s="54" t="s">
        <v>268</v>
      </c>
      <c r="B71" s="55">
        <v>0</v>
      </c>
      <c r="C71" s="55">
        <v>0</v>
      </c>
      <c r="D71" s="55"/>
      <c r="E71" s="47"/>
      <c r="F71" s="47"/>
      <c r="G71" s="47"/>
      <c r="H71" s="47"/>
      <c r="I71" s="47"/>
      <c r="J71" s="47"/>
      <c r="K71" s="47"/>
    </row>
    <row r="72" spans="1:11" ht="12.75" customHeight="1" x14ac:dyDescent="0.2">
      <c r="A72" s="54" t="s">
        <v>269</v>
      </c>
      <c r="B72" s="55">
        <v>973510441</v>
      </c>
      <c r="C72" s="55">
        <v>1209622148</v>
      </c>
      <c r="D72" s="55">
        <v>117535819</v>
      </c>
      <c r="E72" s="47"/>
      <c r="F72" s="47"/>
      <c r="G72" s="47"/>
      <c r="H72" s="47"/>
      <c r="I72" s="47"/>
      <c r="J72" s="47"/>
      <c r="K72" s="47"/>
    </row>
    <row r="73" spans="1:11" ht="12.75" customHeight="1" x14ac:dyDescent="0.2">
      <c r="A73" s="54" t="s">
        <v>270</v>
      </c>
      <c r="B73" s="55">
        <v>0</v>
      </c>
      <c r="C73" s="55">
        <v>0</v>
      </c>
      <c r="D73" s="55">
        <v>0</v>
      </c>
      <c r="E73" s="47"/>
      <c r="F73" s="47"/>
      <c r="G73" s="47"/>
      <c r="H73" s="47"/>
      <c r="I73" s="47"/>
      <c r="J73" s="47"/>
      <c r="K73" s="47"/>
    </row>
    <row r="74" spans="1:11" ht="12.75" customHeight="1" x14ac:dyDescent="0.2">
      <c r="A74" s="52" t="s">
        <v>271</v>
      </c>
      <c r="B74" s="53">
        <f t="shared" ref="B74:D74" si="47">B75</f>
        <v>0</v>
      </c>
      <c r="C74" s="53">
        <f t="shared" si="47"/>
        <v>0</v>
      </c>
      <c r="D74" s="53">
        <f t="shared" si="47"/>
        <v>0</v>
      </c>
      <c r="E74" s="47"/>
      <c r="F74" s="47"/>
      <c r="G74" s="47"/>
      <c r="H74" s="47"/>
      <c r="I74" s="47"/>
      <c r="J74" s="47"/>
      <c r="K74" s="47"/>
    </row>
    <row r="75" spans="1:11" ht="12.75" customHeight="1" x14ac:dyDescent="0.2">
      <c r="A75" s="54" t="s">
        <v>272</v>
      </c>
      <c r="B75" s="55">
        <v>0</v>
      </c>
      <c r="C75" s="55">
        <v>0</v>
      </c>
      <c r="D75" s="55">
        <v>0</v>
      </c>
      <c r="E75" s="47"/>
      <c r="F75" s="47"/>
      <c r="G75" s="47"/>
      <c r="H75" s="47"/>
      <c r="I75" s="47"/>
      <c r="J75" s="47"/>
      <c r="K75" s="47"/>
    </row>
    <row r="76" spans="1:11" ht="12.75" customHeight="1" x14ac:dyDescent="0.2">
      <c r="A76" s="56" t="s">
        <v>247</v>
      </c>
      <c r="B76" s="57">
        <f t="shared" ref="B76:D76" si="48">B74+B69+B62</f>
        <v>3220736267</v>
      </c>
      <c r="C76" s="57">
        <f t="shared" si="48"/>
        <v>3244521595</v>
      </c>
      <c r="D76" s="57">
        <f t="shared" si="48"/>
        <v>1701424635</v>
      </c>
      <c r="E76" s="47"/>
      <c r="F76" s="47"/>
      <c r="G76" s="47"/>
      <c r="H76" s="47"/>
      <c r="I76" s="47"/>
      <c r="J76" s="47"/>
      <c r="K76" s="47"/>
    </row>
    <row r="77" spans="1:11" ht="12.75" customHeight="1" x14ac:dyDescent="0.2">
      <c r="A77" s="47"/>
      <c r="B77" s="47"/>
      <c r="C77" s="47"/>
      <c r="D77" s="47"/>
      <c r="E77" s="47"/>
      <c r="F77" s="47"/>
      <c r="G77" s="47"/>
      <c r="H77" s="47"/>
      <c r="I77" s="47"/>
      <c r="J77" s="47"/>
      <c r="K77" s="47"/>
    </row>
    <row r="78" spans="1:11" ht="12.75" customHeight="1" x14ac:dyDescent="0.2">
      <c r="A78" s="48" t="s">
        <v>275</v>
      </c>
      <c r="B78" s="47"/>
      <c r="C78" s="47"/>
      <c r="D78" s="47"/>
      <c r="E78" s="47"/>
      <c r="F78" s="47"/>
      <c r="G78" s="47"/>
      <c r="H78" s="47"/>
      <c r="I78" s="47"/>
      <c r="J78" s="47"/>
      <c r="K78" s="47"/>
    </row>
    <row r="79" spans="1:11" ht="12.75" customHeight="1" x14ac:dyDescent="0.2">
      <c r="A79" s="49" t="s">
        <v>273</v>
      </c>
      <c r="B79" s="50">
        <v>2019</v>
      </c>
      <c r="C79" s="50" t="s">
        <v>249</v>
      </c>
      <c r="D79" s="50" t="s">
        <v>250</v>
      </c>
      <c r="E79" s="47"/>
      <c r="F79" s="47"/>
      <c r="G79" s="47"/>
      <c r="H79" s="47"/>
      <c r="I79" s="47"/>
      <c r="J79" s="47"/>
      <c r="K79" s="47"/>
    </row>
    <row r="80" spans="1:11" ht="12.75" customHeight="1" x14ac:dyDescent="0.2">
      <c r="A80" s="52" t="s">
        <v>259</v>
      </c>
      <c r="B80" s="53">
        <f t="shared" ref="B80:D80" si="49">SUM(B81:B86)</f>
        <v>736664494</v>
      </c>
      <c r="C80" s="53">
        <f t="shared" si="49"/>
        <v>1027304022</v>
      </c>
      <c r="D80" s="53">
        <f t="shared" si="49"/>
        <v>740468016</v>
      </c>
      <c r="E80" s="47"/>
      <c r="F80" s="47"/>
      <c r="G80" s="47"/>
      <c r="H80" s="47"/>
      <c r="I80" s="47"/>
      <c r="J80" s="47"/>
      <c r="K80" s="47"/>
    </row>
    <row r="81" spans="1:11" ht="12.75" customHeight="1" x14ac:dyDescent="0.2">
      <c r="A81" s="54" t="s">
        <v>260</v>
      </c>
      <c r="B81" s="55">
        <v>0</v>
      </c>
      <c r="C81" s="55">
        <v>0</v>
      </c>
      <c r="D81" s="55">
        <v>0</v>
      </c>
      <c r="E81" s="47"/>
      <c r="F81" s="47"/>
      <c r="G81" s="47"/>
      <c r="H81" s="47"/>
      <c r="I81" s="47"/>
      <c r="J81" s="47"/>
      <c r="K81" s="47"/>
    </row>
    <row r="82" spans="1:11" ht="12.75" customHeight="1" x14ac:dyDescent="0.2">
      <c r="A82" s="54" t="s">
        <v>261</v>
      </c>
      <c r="B82" s="55">
        <v>27434805</v>
      </c>
      <c r="C82" s="55">
        <v>30454081</v>
      </c>
      <c r="D82" s="55">
        <v>29349478</v>
      </c>
      <c r="E82" s="47"/>
      <c r="F82" s="47"/>
      <c r="G82" s="47"/>
      <c r="H82" s="47"/>
      <c r="I82" s="47"/>
      <c r="J82" s="47"/>
      <c r="K82" s="47"/>
    </row>
    <row r="83" spans="1:11" ht="12.75" customHeight="1" x14ac:dyDescent="0.2">
      <c r="A83" s="54" t="s">
        <v>262</v>
      </c>
      <c r="B83" s="55">
        <v>2913193</v>
      </c>
      <c r="C83" s="55">
        <v>23641138</v>
      </c>
      <c r="D83" s="55">
        <v>2701065</v>
      </c>
      <c r="E83" s="47"/>
      <c r="F83" s="47"/>
      <c r="G83" s="47"/>
      <c r="H83" s="47"/>
      <c r="I83" s="47"/>
      <c r="J83" s="47"/>
      <c r="K83" s="47"/>
    </row>
    <row r="84" spans="1:11" ht="12.75" customHeight="1" x14ac:dyDescent="0.2">
      <c r="A84" s="54" t="s">
        <v>263</v>
      </c>
      <c r="B84" s="55">
        <v>471973067</v>
      </c>
      <c r="C84" s="55">
        <v>494899797</v>
      </c>
      <c r="D84" s="55">
        <v>452803292</v>
      </c>
      <c r="E84" s="47"/>
      <c r="F84" s="47"/>
      <c r="G84" s="47"/>
      <c r="H84" s="47"/>
      <c r="I84" s="47"/>
      <c r="J84" s="47"/>
      <c r="K84" s="47"/>
    </row>
    <row r="85" spans="1:11" ht="12.75" customHeight="1" x14ac:dyDescent="0.2">
      <c r="A85" s="54" t="s">
        <v>264</v>
      </c>
      <c r="B85" s="55">
        <v>4834706</v>
      </c>
      <c r="C85" s="55">
        <v>19266094</v>
      </c>
      <c r="D85" s="55">
        <v>26303181</v>
      </c>
      <c r="E85" s="47"/>
      <c r="F85" s="47"/>
      <c r="G85" s="47"/>
      <c r="H85" s="47"/>
      <c r="I85" s="47"/>
      <c r="J85" s="47"/>
      <c r="K85" s="47"/>
    </row>
    <row r="86" spans="1:11" ht="12.75" customHeight="1" x14ac:dyDescent="0.2">
      <c r="A86" s="54" t="s">
        <v>265</v>
      </c>
      <c r="B86" s="55">
        <v>229508723</v>
      </c>
      <c r="C86" s="55">
        <v>459042912</v>
      </c>
      <c r="D86" s="55">
        <v>229311000</v>
      </c>
      <c r="E86" s="47"/>
      <c r="F86" s="47"/>
      <c r="G86" s="47"/>
      <c r="H86" s="47"/>
      <c r="I86" s="47"/>
      <c r="J86" s="47"/>
      <c r="K86" s="47"/>
    </row>
    <row r="87" spans="1:11" ht="12.75" customHeight="1" x14ac:dyDescent="0.2">
      <c r="A87" s="52" t="s">
        <v>266</v>
      </c>
      <c r="B87" s="53">
        <f t="shared" ref="B87:D87" si="50">SUM(B88:B91)</f>
        <v>2214177845</v>
      </c>
      <c r="C87" s="53">
        <f t="shared" si="50"/>
        <v>1471077522</v>
      </c>
      <c r="D87" s="53">
        <f t="shared" si="50"/>
        <v>960956619</v>
      </c>
      <c r="E87" s="47"/>
      <c r="F87" s="47"/>
      <c r="G87" s="47"/>
      <c r="H87" s="47"/>
      <c r="I87" s="47"/>
      <c r="J87" s="47"/>
      <c r="K87" s="47"/>
    </row>
    <row r="88" spans="1:11" ht="12.75" customHeight="1" x14ac:dyDescent="0.2">
      <c r="A88" s="54" t="s">
        <v>267</v>
      </c>
      <c r="B88" s="55">
        <v>1568651693</v>
      </c>
      <c r="C88" s="55">
        <v>784960923</v>
      </c>
      <c r="D88" s="55">
        <v>843420800</v>
      </c>
      <c r="E88" s="47"/>
      <c r="F88" s="47"/>
      <c r="G88" s="47"/>
      <c r="H88" s="47"/>
      <c r="I88" s="47"/>
      <c r="J88" s="47"/>
      <c r="K88" s="47"/>
    </row>
    <row r="89" spans="1:11" ht="12.75" customHeight="1" x14ac:dyDescent="0.2">
      <c r="A89" s="54" t="s">
        <v>268</v>
      </c>
      <c r="B89" s="55">
        <v>194463920</v>
      </c>
      <c r="C89" s="55">
        <v>39195834</v>
      </c>
      <c r="D89" s="55"/>
      <c r="E89" s="47"/>
      <c r="F89" s="47"/>
      <c r="G89" s="47"/>
      <c r="H89" s="47"/>
      <c r="I89" s="47"/>
      <c r="J89" s="47"/>
      <c r="K89" s="47"/>
    </row>
    <row r="90" spans="1:11" ht="12.75" customHeight="1" x14ac:dyDescent="0.2">
      <c r="A90" s="54" t="s">
        <v>269</v>
      </c>
      <c r="B90" s="55">
        <v>451062232</v>
      </c>
      <c r="C90" s="55">
        <v>646920765</v>
      </c>
      <c r="D90" s="55">
        <v>117535819</v>
      </c>
      <c r="E90" s="47"/>
      <c r="F90" s="47"/>
      <c r="G90" s="47"/>
      <c r="H90" s="47"/>
      <c r="I90" s="47"/>
      <c r="J90" s="47"/>
      <c r="K90" s="47"/>
    </row>
    <row r="91" spans="1:11" ht="12.75" customHeight="1" x14ac:dyDescent="0.2">
      <c r="A91" s="54" t="s">
        <v>270</v>
      </c>
      <c r="B91" s="55">
        <v>0</v>
      </c>
      <c r="C91" s="55">
        <v>0</v>
      </c>
      <c r="D91" s="55">
        <v>0</v>
      </c>
      <c r="E91" s="47"/>
      <c r="F91" s="47"/>
      <c r="G91" s="47"/>
      <c r="H91" s="47"/>
      <c r="I91" s="47"/>
      <c r="J91" s="47"/>
      <c r="K91" s="47"/>
    </row>
    <row r="92" spans="1:11" ht="12.75" customHeight="1" x14ac:dyDescent="0.2">
      <c r="A92" s="52" t="s">
        <v>271</v>
      </c>
      <c r="B92" s="53">
        <f t="shared" ref="B92:D92" si="51">B93</f>
        <v>0</v>
      </c>
      <c r="C92" s="53">
        <f t="shared" si="51"/>
        <v>0</v>
      </c>
      <c r="D92" s="53">
        <f t="shared" si="51"/>
        <v>0</v>
      </c>
      <c r="E92" s="47"/>
      <c r="F92" s="47"/>
      <c r="G92" s="47"/>
      <c r="H92" s="47"/>
      <c r="I92" s="47"/>
      <c r="J92" s="47"/>
      <c r="K92" s="47"/>
    </row>
    <row r="93" spans="1:11" ht="12.75" customHeight="1" x14ac:dyDescent="0.2">
      <c r="A93" s="54" t="s">
        <v>272</v>
      </c>
      <c r="B93" s="55">
        <v>0</v>
      </c>
      <c r="C93" s="55">
        <v>0</v>
      </c>
      <c r="D93" s="55">
        <v>0</v>
      </c>
      <c r="E93" s="47"/>
      <c r="F93" s="47"/>
      <c r="G93" s="47"/>
      <c r="H93" s="47"/>
      <c r="I93" s="47"/>
      <c r="J93" s="47"/>
      <c r="K93" s="47"/>
    </row>
    <row r="94" spans="1:11" ht="12.75" customHeight="1" x14ac:dyDescent="0.2">
      <c r="A94" s="56" t="s">
        <v>251</v>
      </c>
      <c r="B94" s="57">
        <f t="shared" ref="B94:D94" si="52">B92+B87+B80</f>
        <v>2950842339</v>
      </c>
      <c r="C94" s="57">
        <f t="shared" si="52"/>
        <v>2498381544</v>
      </c>
      <c r="D94" s="57">
        <f t="shared" si="52"/>
        <v>1701424635</v>
      </c>
      <c r="E94" s="47"/>
      <c r="F94" s="47"/>
      <c r="G94" s="47"/>
      <c r="H94" s="47"/>
      <c r="I94" s="47"/>
      <c r="J94" s="47"/>
      <c r="K94" s="47"/>
    </row>
    <row r="95" spans="1:11" ht="12.75" customHeight="1" x14ac:dyDescent="0.2">
      <c r="A95" s="47"/>
      <c r="B95" s="47"/>
      <c r="C95" s="47"/>
      <c r="D95" s="47"/>
      <c r="E95" s="47"/>
      <c r="F95" s="47"/>
      <c r="G95" s="47"/>
      <c r="H95" s="47"/>
      <c r="I95" s="47"/>
      <c r="J95" s="47"/>
      <c r="K95" s="47"/>
    </row>
    <row r="96" spans="1:11" ht="12.75" customHeight="1" x14ac:dyDescent="0.2">
      <c r="A96" s="48" t="s">
        <v>275</v>
      </c>
      <c r="B96" s="47"/>
      <c r="C96" s="47"/>
      <c r="D96" s="47"/>
      <c r="E96" s="47"/>
      <c r="F96" s="47"/>
      <c r="G96" s="47"/>
      <c r="H96" s="47"/>
      <c r="I96" s="47"/>
      <c r="J96" s="47"/>
      <c r="K96" s="47"/>
    </row>
    <row r="97" spans="1:11" ht="12.75" customHeight="1" x14ac:dyDescent="0.2">
      <c r="A97" s="49" t="s">
        <v>274</v>
      </c>
      <c r="B97" s="50">
        <v>2019</v>
      </c>
      <c r="C97" s="50" t="s">
        <v>249</v>
      </c>
      <c r="D97" s="50" t="s">
        <v>250</v>
      </c>
      <c r="E97" s="47"/>
      <c r="F97" s="47"/>
      <c r="G97" s="47"/>
      <c r="H97" s="47"/>
      <c r="I97" s="47"/>
      <c r="J97" s="47"/>
      <c r="K97" s="47"/>
    </row>
    <row r="98" spans="1:11" ht="12.75" customHeight="1" x14ac:dyDescent="0.2">
      <c r="A98" s="52" t="s">
        <v>259</v>
      </c>
      <c r="B98" s="53">
        <f t="shared" ref="B98:D98" si="53">SUM(B99:B104)</f>
        <v>652684078.22000027</v>
      </c>
      <c r="C98" s="53">
        <f t="shared" si="53"/>
        <v>972303783.26111126</v>
      </c>
      <c r="D98" s="53">
        <f t="shared" si="53"/>
        <v>740468016</v>
      </c>
      <c r="E98" s="47"/>
      <c r="F98" s="47"/>
      <c r="G98" s="47"/>
      <c r="H98" s="47"/>
      <c r="I98" s="47"/>
      <c r="J98" s="47"/>
      <c r="K98" s="47"/>
    </row>
    <row r="99" spans="1:11" ht="12.75" customHeight="1" x14ac:dyDescent="0.2">
      <c r="A99" s="54" t="s">
        <v>260</v>
      </c>
      <c r="B99" s="55">
        <v>0</v>
      </c>
      <c r="C99" s="55"/>
      <c r="D99" s="55">
        <v>0</v>
      </c>
      <c r="E99" s="47"/>
      <c r="F99" s="47"/>
      <c r="G99" s="47"/>
      <c r="H99" s="47"/>
      <c r="I99" s="47"/>
      <c r="J99" s="47"/>
      <c r="K99" s="47"/>
    </row>
    <row r="100" spans="1:11" ht="12.75" customHeight="1" x14ac:dyDescent="0.2">
      <c r="A100" s="54" t="s">
        <v>261</v>
      </c>
      <c r="B100" s="55">
        <v>26306639.910000023</v>
      </c>
      <c r="C100" s="55">
        <f>30454081-800000</f>
        <v>29654081</v>
      </c>
      <c r="D100" s="55">
        <v>29349478</v>
      </c>
      <c r="E100" s="47"/>
      <c r="F100" s="47"/>
      <c r="G100" s="47"/>
      <c r="H100" s="47"/>
      <c r="I100" s="47"/>
      <c r="J100" s="47"/>
      <c r="K100" s="47"/>
    </row>
    <row r="101" spans="1:11" ht="12.75" customHeight="1" x14ac:dyDescent="0.2">
      <c r="A101" s="54" t="s">
        <v>262</v>
      </c>
      <c r="B101" s="55">
        <v>2781316.3500000006</v>
      </c>
      <c r="C101" s="55">
        <v>23641138</v>
      </c>
      <c r="D101" s="55">
        <v>2701065</v>
      </c>
      <c r="E101" s="47"/>
      <c r="F101" s="47"/>
      <c r="G101" s="47"/>
      <c r="H101" s="47"/>
      <c r="I101" s="47"/>
      <c r="J101" s="47"/>
      <c r="K101" s="47"/>
    </row>
    <row r="102" spans="1:11" ht="12.75" customHeight="1" x14ac:dyDescent="0.2">
      <c r="A102" s="54" t="s">
        <v>263</v>
      </c>
      <c r="B102" s="55">
        <v>399694001.54000026</v>
      </c>
      <c r="C102" s="55">
        <v>440699558.26111132</v>
      </c>
      <c r="D102" s="55">
        <v>452803292</v>
      </c>
      <c r="E102" s="47"/>
      <c r="F102" s="47"/>
      <c r="G102" s="47"/>
      <c r="H102" s="47"/>
      <c r="I102" s="47"/>
      <c r="J102" s="47"/>
      <c r="K102" s="47"/>
    </row>
    <row r="103" spans="1:11" ht="12.75" customHeight="1" x14ac:dyDescent="0.2">
      <c r="A103" s="54" t="s">
        <v>264</v>
      </c>
      <c r="B103" s="55">
        <v>4830157.5100000007</v>
      </c>
      <c r="C103" s="55">
        <v>19266094</v>
      </c>
      <c r="D103" s="55">
        <v>26303181</v>
      </c>
      <c r="E103" s="47"/>
      <c r="F103" s="47"/>
      <c r="G103" s="47"/>
      <c r="H103" s="47"/>
      <c r="I103" s="47"/>
      <c r="J103" s="47"/>
      <c r="K103" s="47"/>
    </row>
    <row r="104" spans="1:11" ht="12.75" customHeight="1" x14ac:dyDescent="0.2">
      <c r="A104" s="54" t="s">
        <v>265</v>
      </c>
      <c r="B104" s="55">
        <v>219071962.90999997</v>
      </c>
      <c r="C104" s="55">
        <v>459042912</v>
      </c>
      <c r="D104" s="55">
        <v>229311000</v>
      </c>
      <c r="E104" s="47"/>
      <c r="F104" s="47"/>
      <c r="G104" s="47"/>
      <c r="H104" s="47"/>
      <c r="I104" s="47"/>
      <c r="J104" s="47"/>
      <c r="K104" s="47"/>
    </row>
    <row r="105" spans="1:11" ht="12.75" customHeight="1" x14ac:dyDescent="0.2">
      <c r="A105" s="52" t="s">
        <v>266</v>
      </c>
      <c r="B105" s="53">
        <f t="shared" ref="B105:D105" si="54">SUM(B106:B109)</f>
        <v>2088079532.1000004</v>
      </c>
      <c r="C105" s="53">
        <f t="shared" si="54"/>
        <v>1388865923.4299998</v>
      </c>
      <c r="D105" s="53">
        <f t="shared" si="54"/>
        <v>960956619</v>
      </c>
      <c r="E105" s="47"/>
      <c r="F105" s="47"/>
      <c r="G105" s="47"/>
      <c r="H105" s="47"/>
      <c r="I105" s="47"/>
      <c r="J105" s="47"/>
      <c r="K105" s="47"/>
    </row>
    <row r="106" spans="1:11" ht="12.75" customHeight="1" x14ac:dyDescent="0.2">
      <c r="A106" s="54" t="s">
        <v>267</v>
      </c>
      <c r="B106" s="55">
        <v>1568650755.7800002</v>
      </c>
      <c r="C106" s="55">
        <v>736934209</v>
      </c>
      <c r="D106" s="55">
        <v>843420800</v>
      </c>
      <c r="E106" s="47"/>
      <c r="F106" s="47"/>
      <c r="G106" s="47"/>
      <c r="H106" s="47"/>
      <c r="I106" s="47"/>
      <c r="J106" s="47"/>
      <c r="K106" s="47"/>
    </row>
    <row r="107" spans="1:11" ht="12.75" customHeight="1" x14ac:dyDescent="0.2">
      <c r="A107" s="54" t="s">
        <v>268</v>
      </c>
      <c r="B107" s="55">
        <v>193439165.24999997</v>
      </c>
      <c r="C107" s="55">
        <v>39195834</v>
      </c>
      <c r="D107" s="55"/>
      <c r="E107" s="47"/>
      <c r="F107" s="47"/>
      <c r="G107" s="47"/>
      <c r="H107" s="47"/>
      <c r="I107" s="47"/>
      <c r="J107" s="47"/>
      <c r="K107" s="47"/>
    </row>
    <row r="108" spans="1:11" ht="12.75" customHeight="1" x14ac:dyDescent="0.2">
      <c r="A108" s="54" t="s">
        <v>269</v>
      </c>
      <c r="B108" s="55">
        <v>325989611.07000011</v>
      </c>
      <c r="C108" s="55">
        <v>612735880.42999995</v>
      </c>
      <c r="D108" s="55">
        <v>117535819</v>
      </c>
      <c r="E108" s="59"/>
      <c r="F108" s="59"/>
      <c r="G108" s="47"/>
      <c r="H108" s="47"/>
      <c r="I108" s="47"/>
      <c r="J108" s="47"/>
      <c r="K108" s="47"/>
    </row>
    <row r="109" spans="1:11" ht="12.75" customHeight="1" x14ac:dyDescent="0.2">
      <c r="A109" s="54" t="s">
        <v>270</v>
      </c>
      <c r="B109" s="55">
        <v>0</v>
      </c>
      <c r="C109" s="55">
        <v>0</v>
      </c>
      <c r="D109" s="55">
        <v>0</v>
      </c>
      <c r="E109" s="47"/>
      <c r="F109" s="47"/>
      <c r="G109" s="47"/>
      <c r="H109" s="47"/>
      <c r="I109" s="47"/>
      <c r="J109" s="47"/>
      <c r="K109" s="47"/>
    </row>
    <row r="110" spans="1:11" ht="12.75" customHeight="1" x14ac:dyDescent="0.2">
      <c r="A110" s="52" t="s">
        <v>271</v>
      </c>
      <c r="B110" s="53">
        <f t="shared" ref="B110:D110" si="55">B111</f>
        <v>0</v>
      </c>
      <c r="C110" s="53">
        <f t="shared" si="55"/>
        <v>0</v>
      </c>
      <c r="D110" s="53">
        <f t="shared" si="55"/>
        <v>0</v>
      </c>
      <c r="E110" s="47"/>
      <c r="F110" s="47"/>
      <c r="G110" s="47"/>
      <c r="H110" s="47"/>
      <c r="I110" s="47"/>
      <c r="J110" s="47"/>
      <c r="K110" s="47"/>
    </row>
    <row r="111" spans="1:11" ht="12.75" customHeight="1" x14ac:dyDescent="0.2">
      <c r="A111" s="54" t="s">
        <v>272</v>
      </c>
      <c r="B111" s="55">
        <v>0</v>
      </c>
      <c r="C111" s="55">
        <v>0</v>
      </c>
      <c r="D111" s="55">
        <v>0</v>
      </c>
      <c r="E111" s="47"/>
      <c r="F111" s="47"/>
      <c r="G111" s="47"/>
      <c r="H111" s="47"/>
      <c r="I111" s="47"/>
      <c r="J111" s="47"/>
      <c r="K111" s="47"/>
    </row>
    <row r="112" spans="1:11" ht="12.75" customHeight="1" x14ac:dyDescent="0.2">
      <c r="A112" s="60" t="s">
        <v>253</v>
      </c>
      <c r="B112" s="57">
        <f t="shared" ref="B112:D112" si="56">B110+B105+B98</f>
        <v>2740763610.3200006</v>
      </c>
      <c r="C112" s="57">
        <f t="shared" si="56"/>
        <v>2361169706.6911111</v>
      </c>
      <c r="D112" s="57">
        <f t="shared" si="56"/>
        <v>1701424635</v>
      </c>
      <c r="E112" s="47"/>
      <c r="F112" s="47"/>
      <c r="G112" s="47"/>
      <c r="H112" s="47"/>
      <c r="I112" s="47"/>
      <c r="J112" s="47"/>
      <c r="K112" s="47"/>
    </row>
    <row r="113" spans="1:11" ht="12.75" customHeight="1" x14ac:dyDescent="0.2">
      <c r="A113" s="61" t="s">
        <v>254</v>
      </c>
      <c r="B113" s="47"/>
      <c r="C113" s="47"/>
      <c r="D113" s="47"/>
      <c r="E113" s="47"/>
      <c r="F113" s="47"/>
      <c r="G113" s="47"/>
      <c r="H113" s="47"/>
      <c r="I113" s="47"/>
      <c r="J113" s="47"/>
      <c r="K113" s="47"/>
    </row>
    <row r="114" spans="1:11" ht="12.75" customHeight="1" x14ac:dyDescent="0.2">
      <c r="A114" s="62" t="s">
        <v>255</v>
      </c>
      <c r="B114" s="47"/>
      <c r="C114" s="47"/>
      <c r="D114" s="47"/>
      <c r="E114" s="47"/>
      <c r="F114" s="47"/>
      <c r="G114" s="47"/>
      <c r="H114" s="47"/>
      <c r="I114" s="47"/>
      <c r="J114" s="47"/>
      <c r="K114" s="47"/>
    </row>
    <row r="115" spans="1:11" ht="12.75" customHeight="1" x14ac:dyDescent="0.2">
      <c r="A115" s="47"/>
      <c r="B115" s="47"/>
      <c r="C115" s="47"/>
      <c r="D115" s="47"/>
      <c r="E115" s="47"/>
      <c r="F115" s="47"/>
      <c r="G115" s="47"/>
      <c r="H115" s="47"/>
      <c r="I115" s="47"/>
      <c r="J115" s="47"/>
      <c r="K115" s="47"/>
    </row>
    <row r="116" spans="1:11" ht="12.75" customHeight="1" x14ac:dyDescent="0.2">
      <c r="A116" s="48" t="s">
        <v>276</v>
      </c>
      <c r="B116" s="47"/>
      <c r="C116" s="47"/>
      <c r="D116" s="47"/>
      <c r="E116" s="47"/>
      <c r="F116" s="47"/>
      <c r="G116" s="47"/>
      <c r="H116" s="47"/>
      <c r="I116" s="47"/>
      <c r="J116" s="47"/>
      <c r="K116" s="47"/>
    </row>
    <row r="117" spans="1:11" ht="12.75" customHeight="1" x14ac:dyDescent="0.2">
      <c r="A117" s="49" t="s">
        <v>258</v>
      </c>
      <c r="B117" s="50">
        <v>2019</v>
      </c>
      <c r="C117" s="50">
        <v>2020</v>
      </c>
      <c r="D117" s="50">
        <v>2021</v>
      </c>
      <c r="E117" s="47"/>
      <c r="F117" s="47"/>
      <c r="G117" s="47"/>
      <c r="H117" s="47"/>
      <c r="I117" s="47"/>
      <c r="J117" s="47"/>
      <c r="K117" s="47"/>
    </row>
    <row r="118" spans="1:11" ht="12.75" customHeight="1" x14ac:dyDescent="0.2">
      <c r="A118" s="52" t="s">
        <v>259</v>
      </c>
      <c r="B118" s="53">
        <f t="shared" ref="B118:D118" si="57">SUM(B119:B124)</f>
        <v>129573872</v>
      </c>
      <c r="C118" s="53">
        <f t="shared" si="57"/>
        <v>150911207</v>
      </c>
      <c r="D118" s="53">
        <f t="shared" si="57"/>
        <v>129195011</v>
      </c>
      <c r="E118" s="47"/>
      <c r="F118" s="47"/>
      <c r="G118" s="47"/>
      <c r="H118" s="47"/>
      <c r="I118" s="47"/>
      <c r="J118" s="47"/>
      <c r="K118" s="47"/>
    </row>
    <row r="119" spans="1:11" ht="12.75" customHeight="1" x14ac:dyDescent="0.2">
      <c r="A119" s="54" t="s">
        <v>260</v>
      </c>
      <c r="B119" s="55">
        <v>0</v>
      </c>
      <c r="C119" s="55">
        <v>0</v>
      </c>
      <c r="D119" s="55">
        <v>0</v>
      </c>
      <c r="E119" s="47"/>
      <c r="F119" s="47"/>
      <c r="G119" s="47"/>
      <c r="H119" s="47"/>
      <c r="I119" s="47"/>
      <c r="J119" s="47"/>
      <c r="K119" s="47"/>
    </row>
    <row r="120" spans="1:11" ht="12.75" customHeight="1" x14ac:dyDescent="0.2">
      <c r="A120" s="54" t="s">
        <v>261</v>
      </c>
      <c r="B120" s="55">
        <v>14244773</v>
      </c>
      <c r="C120" s="55">
        <v>12022151</v>
      </c>
      <c r="D120" s="55">
        <v>12601944</v>
      </c>
      <c r="E120" s="47"/>
      <c r="F120" s="47"/>
      <c r="G120" s="47"/>
      <c r="H120" s="47"/>
      <c r="I120" s="47"/>
      <c r="J120" s="47"/>
      <c r="K120" s="47"/>
    </row>
    <row r="121" spans="1:11" ht="12.75" customHeight="1" x14ac:dyDescent="0.2">
      <c r="A121" s="54" t="s">
        <v>262</v>
      </c>
      <c r="B121" s="55">
        <v>106765</v>
      </c>
      <c r="C121" s="55">
        <v>106767</v>
      </c>
      <c r="D121" s="55">
        <v>286767</v>
      </c>
      <c r="E121" s="47"/>
      <c r="F121" s="47"/>
      <c r="G121" s="47"/>
      <c r="H121" s="47"/>
      <c r="I121" s="47"/>
      <c r="J121" s="47"/>
      <c r="K121" s="47"/>
    </row>
    <row r="122" spans="1:11" ht="12.75" customHeight="1" x14ac:dyDescent="0.2">
      <c r="A122" s="54" t="s">
        <v>263</v>
      </c>
      <c r="B122" s="55">
        <v>113382025</v>
      </c>
      <c r="C122" s="55">
        <v>137938467</v>
      </c>
      <c r="D122" s="55">
        <v>115434711</v>
      </c>
      <c r="E122" s="47"/>
      <c r="F122" s="47"/>
      <c r="G122" s="47"/>
      <c r="H122" s="47"/>
      <c r="I122" s="47"/>
      <c r="J122" s="47"/>
      <c r="K122" s="47"/>
    </row>
    <row r="123" spans="1:11" ht="12.75" customHeight="1" x14ac:dyDescent="0.2">
      <c r="A123" s="54" t="s">
        <v>264</v>
      </c>
      <c r="B123" s="55">
        <v>0</v>
      </c>
      <c r="C123" s="55">
        <v>121881</v>
      </c>
      <c r="D123" s="55">
        <v>121881</v>
      </c>
      <c r="E123" s="47"/>
      <c r="F123" s="47"/>
      <c r="G123" s="47"/>
      <c r="H123" s="47"/>
      <c r="I123" s="47"/>
      <c r="J123" s="47"/>
      <c r="K123" s="47"/>
    </row>
    <row r="124" spans="1:11" ht="12.75" customHeight="1" x14ac:dyDescent="0.2">
      <c r="A124" s="54" t="s">
        <v>265</v>
      </c>
      <c r="B124" s="55">
        <v>1840309</v>
      </c>
      <c r="C124" s="55">
        <v>721941</v>
      </c>
      <c r="D124" s="55">
        <v>749708</v>
      </c>
      <c r="E124" s="47"/>
      <c r="F124" s="47"/>
      <c r="G124" s="47"/>
      <c r="H124" s="47"/>
      <c r="I124" s="47"/>
      <c r="J124" s="47"/>
      <c r="K124" s="47"/>
    </row>
    <row r="125" spans="1:11" ht="12.75" customHeight="1" x14ac:dyDescent="0.2">
      <c r="A125" s="52" t="s">
        <v>266</v>
      </c>
      <c r="B125" s="53">
        <f t="shared" ref="B125:D125" si="58">SUM(B126:B129)</f>
        <v>58040626</v>
      </c>
      <c r="C125" s="53">
        <f t="shared" si="58"/>
        <v>12699697</v>
      </c>
      <c r="D125" s="53">
        <f t="shared" si="58"/>
        <v>34576749</v>
      </c>
      <c r="E125" s="47"/>
      <c r="F125" s="47"/>
      <c r="G125" s="47"/>
      <c r="H125" s="47"/>
      <c r="I125" s="47"/>
      <c r="J125" s="47"/>
      <c r="K125" s="47"/>
    </row>
    <row r="126" spans="1:11" ht="12.75" customHeight="1" x14ac:dyDescent="0.2">
      <c r="A126" s="54" t="s">
        <v>267</v>
      </c>
      <c r="B126" s="55">
        <v>0</v>
      </c>
      <c r="C126" s="55">
        <v>0</v>
      </c>
      <c r="D126" s="55">
        <v>0</v>
      </c>
      <c r="E126" s="47"/>
      <c r="F126" s="47"/>
      <c r="G126" s="47"/>
      <c r="H126" s="47"/>
      <c r="I126" s="47"/>
      <c r="J126" s="47"/>
      <c r="K126" s="47"/>
    </row>
    <row r="127" spans="1:11" ht="12.75" customHeight="1" x14ac:dyDescent="0.2">
      <c r="A127" s="54" t="s">
        <v>268</v>
      </c>
      <c r="B127" s="55">
        <v>0</v>
      </c>
      <c r="C127" s="55">
        <v>0</v>
      </c>
      <c r="D127" s="55">
        <v>0</v>
      </c>
      <c r="E127" s="47"/>
      <c r="F127" s="47"/>
      <c r="G127" s="47"/>
      <c r="H127" s="47"/>
      <c r="I127" s="47"/>
      <c r="J127" s="47"/>
      <c r="K127" s="47"/>
    </row>
    <row r="128" spans="1:11" ht="12.75" customHeight="1" x14ac:dyDescent="0.2">
      <c r="A128" s="54" t="s">
        <v>269</v>
      </c>
      <c r="B128" s="55">
        <v>58040626</v>
      </c>
      <c r="C128" s="55">
        <v>12699697</v>
      </c>
      <c r="D128" s="55">
        <v>34576749</v>
      </c>
      <c r="E128" s="47"/>
      <c r="F128" s="47"/>
      <c r="G128" s="47"/>
      <c r="H128" s="47"/>
      <c r="I128" s="47"/>
      <c r="J128" s="47"/>
      <c r="K128" s="47"/>
    </row>
    <row r="129" spans="1:11" ht="12.75" customHeight="1" x14ac:dyDescent="0.2">
      <c r="A129" s="54" t="s">
        <v>270</v>
      </c>
      <c r="B129" s="55">
        <v>0</v>
      </c>
      <c r="C129" s="55">
        <v>0</v>
      </c>
      <c r="D129" s="55">
        <v>0</v>
      </c>
      <c r="E129" s="47"/>
      <c r="F129" s="47"/>
      <c r="G129" s="47"/>
      <c r="H129" s="47"/>
      <c r="I129" s="47"/>
      <c r="J129" s="47"/>
      <c r="K129" s="47"/>
    </row>
    <row r="130" spans="1:11" ht="12.75" customHeight="1" x14ac:dyDescent="0.2">
      <c r="A130" s="52" t="s">
        <v>271</v>
      </c>
      <c r="B130" s="53">
        <f t="shared" ref="B130:D130" si="59">B131</f>
        <v>0</v>
      </c>
      <c r="C130" s="53">
        <f t="shared" si="59"/>
        <v>0</v>
      </c>
      <c r="D130" s="53">
        <f t="shared" si="59"/>
        <v>0</v>
      </c>
      <c r="E130" s="47"/>
      <c r="F130" s="47"/>
      <c r="G130" s="47"/>
      <c r="H130" s="47"/>
      <c r="I130" s="47"/>
      <c r="J130" s="47"/>
      <c r="K130" s="47"/>
    </row>
    <row r="131" spans="1:11" ht="12.75" customHeight="1" x14ac:dyDescent="0.2">
      <c r="A131" s="54" t="s">
        <v>272</v>
      </c>
      <c r="B131" s="55">
        <v>0</v>
      </c>
      <c r="C131" s="55">
        <v>0</v>
      </c>
      <c r="D131" s="55">
        <v>0</v>
      </c>
      <c r="E131" s="47"/>
      <c r="F131" s="47"/>
      <c r="G131" s="47"/>
      <c r="H131" s="47"/>
      <c r="I131" s="47"/>
      <c r="J131" s="47"/>
      <c r="K131" s="47"/>
    </row>
    <row r="132" spans="1:11" ht="12.75" customHeight="1" x14ac:dyDescent="0.2">
      <c r="A132" s="56" t="s">
        <v>247</v>
      </c>
      <c r="B132" s="57">
        <f t="shared" ref="B132:D132" si="60">B130+B125+B118</f>
        <v>187614498</v>
      </c>
      <c r="C132" s="57">
        <f t="shared" si="60"/>
        <v>163610904</v>
      </c>
      <c r="D132" s="57">
        <f t="shared" si="60"/>
        <v>163771760</v>
      </c>
      <c r="E132" s="47"/>
      <c r="F132" s="47"/>
      <c r="G132" s="47"/>
      <c r="H132" s="47"/>
      <c r="I132" s="47"/>
      <c r="J132" s="47"/>
      <c r="K132" s="47"/>
    </row>
    <row r="133" spans="1:11" ht="12.75" customHeight="1" x14ac:dyDescent="0.2">
      <c r="A133" s="47"/>
      <c r="B133" s="47"/>
      <c r="C133" s="47"/>
      <c r="D133" s="47"/>
      <c r="E133" s="47"/>
      <c r="F133" s="47"/>
      <c r="G133" s="47"/>
      <c r="H133" s="47"/>
      <c r="I133" s="47"/>
      <c r="J133" s="47"/>
      <c r="K133" s="47"/>
    </row>
    <row r="134" spans="1:11" ht="12.75" customHeight="1" x14ac:dyDescent="0.2">
      <c r="A134" s="48" t="s">
        <v>276</v>
      </c>
      <c r="B134" s="47"/>
      <c r="C134" s="47"/>
      <c r="D134" s="47"/>
      <c r="E134" s="47"/>
      <c r="F134" s="47"/>
      <c r="G134" s="47"/>
      <c r="H134" s="47"/>
      <c r="I134" s="47"/>
      <c r="J134" s="47"/>
      <c r="K134" s="47"/>
    </row>
    <row r="135" spans="1:11" ht="12.75" customHeight="1" x14ac:dyDescent="0.2">
      <c r="A135" s="49" t="s">
        <v>273</v>
      </c>
      <c r="B135" s="50">
        <v>2019</v>
      </c>
      <c r="C135" s="50" t="s">
        <v>249</v>
      </c>
      <c r="D135" s="50" t="s">
        <v>250</v>
      </c>
      <c r="E135" s="47"/>
      <c r="F135" s="47"/>
      <c r="G135" s="47"/>
      <c r="H135" s="47"/>
      <c r="I135" s="47"/>
      <c r="J135" s="47"/>
      <c r="K135" s="47"/>
    </row>
    <row r="136" spans="1:11" ht="12.75" customHeight="1" x14ac:dyDescent="0.2">
      <c r="A136" s="52" t="s">
        <v>259</v>
      </c>
      <c r="B136" s="53">
        <f t="shared" ref="B136:D136" si="61">SUM(B137:B142)</f>
        <v>170438793</v>
      </c>
      <c r="C136" s="53">
        <f t="shared" si="61"/>
        <v>192072124</v>
      </c>
      <c r="D136" s="53">
        <f t="shared" si="61"/>
        <v>129195011</v>
      </c>
      <c r="E136" s="47"/>
      <c r="F136" s="47"/>
      <c r="G136" s="47"/>
      <c r="H136" s="47"/>
      <c r="I136" s="47"/>
      <c r="J136" s="47"/>
      <c r="K136" s="47"/>
    </row>
    <row r="137" spans="1:11" ht="12.75" customHeight="1" x14ac:dyDescent="0.2">
      <c r="A137" s="54" t="s">
        <v>260</v>
      </c>
      <c r="B137" s="55">
        <v>0</v>
      </c>
      <c r="C137" s="55">
        <v>0</v>
      </c>
      <c r="D137" s="55">
        <v>0</v>
      </c>
      <c r="E137" s="47"/>
      <c r="F137" s="47"/>
      <c r="G137" s="47"/>
      <c r="H137" s="47"/>
      <c r="I137" s="47"/>
      <c r="J137" s="47"/>
      <c r="K137" s="47"/>
    </row>
    <row r="138" spans="1:11" ht="12.75" customHeight="1" x14ac:dyDescent="0.2">
      <c r="A138" s="54" t="s">
        <v>261</v>
      </c>
      <c r="B138" s="55">
        <v>14044773</v>
      </c>
      <c r="C138" s="55">
        <v>12601941</v>
      </c>
      <c r="D138" s="55">
        <v>12601944</v>
      </c>
      <c r="E138" s="47"/>
      <c r="F138" s="47"/>
      <c r="G138" s="47"/>
      <c r="H138" s="47"/>
      <c r="I138" s="47"/>
      <c r="J138" s="47"/>
      <c r="K138" s="47"/>
    </row>
    <row r="139" spans="1:11" ht="12.75" customHeight="1" x14ac:dyDescent="0.2">
      <c r="A139" s="54" t="s">
        <v>262</v>
      </c>
      <c r="B139" s="55">
        <v>273927</v>
      </c>
      <c r="C139" s="55">
        <v>692864</v>
      </c>
      <c r="D139" s="55">
        <v>286767</v>
      </c>
      <c r="E139" s="47"/>
      <c r="F139" s="47"/>
      <c r="G139" s="47"/>
      <c r="H139" s="47"/>
      <c r="I139" s="47"/>
      <c r="J139" s="47"/>
      <c r="K139" s="47"/>
    </row>
    <row r="140" spans="1:11" ht="12.75" customHeight="1" x14ac:dyDescent="0.2">
      <c r="A140" s="54" t="s">
        <v>263</v>
      </c>
      <c r="B140" s="55">
        <v>143596105</v>
      </c>
      <c r="C140" s="55">
        <v>176265642</v>
      </c>
      <c r="D140" s="55">
        <v>115434711</v>
      </c>
      <c r="E140" s="47"/>
      <c r="F140" s="47"/>
      <c r="G140" s="47"/>
      <c r="H140" s="47"/>
      <c r="I140" s="47"/>
      <c r="J140" s="47"/>
      <c r="K140" s="47"/>
    </row>
    <row r="141" spans="1:11" ht="12.75" customHeight="1" x14ac:dyDescent="0.2">
      <c r="A141" s="54" t="s">
        <v>264</v>
      </c>
      <c r="B141" s="55">
        <v>5194130</v>
      </c>
      <c r="C141" s="55">
        <v>184674</v>
      </c>
      <c r="D141" s="55">
        <v>121881</v>
      </c>
      <c r="E141" s="47"/>
      <c r="F141" s="47"/>
      <c r="G141" s="47"/>
      <c r="H141" s="47"/>
      <c r="I141" s="47"/>
      <c r="J141" s="47"/>
      <c r="K141" s="47"/>
    </row>
    <row r="142" spans="1:11" ht="12.75" customHeight="1" x14ac:dyDescent="0.2">
      <c r="A142" s="54" t="s">
        <v>265</v>
      </c>
      <c r="B142" s="55">
        <v>7329858</v>
      </c>
      <c r="C142" s="55">
        <v>2327003</v>
      </c>
      <c r="D142" s="55">
        <v>749708</v>
      </c>
      <c r="E142" s="47"/>
      <c r="F142" s="47"/>
      <c r="G142" s="47"/>
      <c r="H142" s="47"/>
      <c r="I142" s="47"/>
      <c r="J142" s="47"/>
      <c r="K142" s="47"/>
    </row>
    <row r="143" spans="1:11" ht="12.75" customHeight="1" x14ac:dyDescent="0.2">
      <c r="A143" s="52" t="s">
        <v>266</v>
      </c>
      <c r="B143" s="53">
        <f t="shared" ref="B143:D143" si="62">SUM(B144:B147)</f>
        <v>80878431</v>
      </c>
      <c r="C143" s="53">
        <f t="shared" si="62"/>
        <v>39273331</v>
      </c>
      <c r="D143" s="53">
        <f t="shared" si="62"/>
        <v>34576749</v>
      </c>
      <c r="E143" s="47"/>
      <c r="F143" s="47"/>
      <c r="G143" s="47"/>
      <c r="H143" s="47"/>
      <c r="I143" s="47"/>
      <c r="J143" s="47"/>
      <c r="K143" s="47"/>
    </row>
    <row r="144" spans="1:11" ht="12.75" customHeight="1" x14ac:dyDescent="0.2">
      <c r="A144" s="54" t="s">
        <v>267</v>
      </c>
      <c r="B144" s="55">
        <v>0</v>
      </c>
      <c r="C144" s="55">
        <v>0</v>
      </c>
      <c r="D144" s="55">
        <v>0</v>
      </c>
      <c r="E144" s="47"/>
      <c r="F144" s="47"/>
      <c r="G144" s="47"/>
      <c r="H144" s="47"/>
      <c r="I144" s="47"/>
      <c r="J144" s="47"/>
      <c r="K144" s="47"/>
    </row>
    <row r="145" spans="1:11" ht="12.75" customHeight="1" x14ac:dyDescent="0.2">
      <c r="A145" s="54" t="s">
        <v>268</v>
      </c>
      <c r="B145" s="55">
        <v>0</v>
      </c>
      <c r="C145" s="55">
        <v>0</v>
      </c>
      <c r="D145" s="55">
        <v>0</v>
      </c>
      <c r="E145" s="47"/>
      <c r="F145" s="47"/>
      <c r="G145" s="47"/>
      <c r="H145" s="47"/>
      <c r="I145" s="47"/>
      <c r="J145" s="47"/>
      <c r="K145" s="47"/>
    </row>
    <row r="146" spans="1:11" ht="12.75" customHeight="1" x14ac:dyDescent="0.2">
      <c r="A146" s="54" t="s">
        <v>269</v>
      </c>
      <c r="B146" s="55">
        <v>80878431</v>
      </c>
      <c r="C146" s="55">
        <v>39273331</v>
      </c>
      <c r="D146" s="55">
        <v>34576749</v>
      </c>
      <c r="E146" s="47"/>
      <c r="F146" s="47"/>
      <c r="G146" s="47"/>
      <c r="H146" s="47"/>
      <c r="I146" s="47"/>
      <c r="J146" s="47"/>
      <c r="K146" s="47"/>
    </row>
    <row r="147" spans="1:11" ht="12.75" customHeight="1" x14ac:dyDescent="0.2">
      <c r="A147" s="54" t="s">
        <v>270</v>
      </c>
      <c r="B147" s="55">
        <v>0</v>
      </c>
      <c r="C147" s="55">
        <v>0</v>
      </c>
      <c r="D147" s="55">
        <v>0</v>
      </c>
      <c r="E147" s="47"/>
      <c r="F147" s="47"/>
      <c r="G147" s="47"/>
      <c r="H147" s="47"/>
      <c r="I147" s="47"/>
      <c r="J147" s="47"/>
      <c r="K147" s="47"/>
    </row>
    <row r="148" spans="1:11" ht="12.75" customHeight="1" x14ac:dyDescent="0.2">
      <c r="A148" s="52" t="s">
        <v>271</v>
      </c>
      <c r="B148" s="53">
        <f t="shared" ref="B148:D148" si="63">B149</f>
        <v>0</v>
      </c>
      <c r="C148" s="53">
        <f t="shared" si="63"/>
        <v>0</v>
      </c>
      <c r="D148" s="53">
        <f t="shared" si="63"/>
        <v>0</v>
      </c>
      <c r="E148" s="47"/>
      <c r="F148" s="47"/>
      <c r="G148" s="47"/>
      <c r="H148" s="47"/>
      <c r="I148" s="47"/>
      <c r="J148" s="47"/>
      <c r="K148" s="47"/>
    </row>
    <row r="149" spans="1:11" ht="12.75" customHeight="1" x14ac:dyDescent="0.2">
      <c r="A149" s="54" t="s">
        <v>272</v>
      </c>
      <c r="B149" s="55">
        <v>0</v>
      </c>
      <c r="C149" s="55">
        <v>0</v>
      </c>
      <c r="D149" s="55">
        <v>0</v>
      </c>
      <c r="E149" s="47"/>
      <c r="F149" s="47"/>
      <c r="G149" s="47"/>
      <c r="H149" s="47"/>
      <c r="I149" s="47"/>
      <c r="J149" s="47"/>
      <c r="K149" s="47"/>
    </row>
    <row r="150" spans="1:11" ht="12.75" customHeight="1" x14ac:dyDescent="0.2">
      <c r="A150" s="56" t="s">
        <v>251</v>
      </c>
      <c r="B150" s="57">
        <f t="shared" ref="B150:D150" si="64">B148+B143+B136</f>
        <v>251317224</v>
      </c>
      <c r="C150" s="57">
        <f t="shared" si="64"/>
        <v>231345455</v>
      </c>
      <c r="D150" s="57">
        <f t="shared" si="64"/>
        <v>163771760</v>
      </c>
      <c r="E150" s="47"/>
      <c r="F150" s="47"/>
      <c r="G150" s="47"/>
      <c r="H150" s="47"/>
      <c r="I150" s="47"/>
      <c r="J150" s="47"/>
      <c r="K150" s="47"/>
    </row>
    <row r="151" spans="1:11" ht="12.75" customHeight="1" x14ac:dyDescent="0.2">
      <c r="A151" s="47"/>
      <c r="B151" s="47"/>
      <c r="C151" s="47"/>
      <c r="D151" s="47"/>
      <c r="E151" s="47"/>
      <c r="F151" s="47"/>
      <c r="G151" s="47"/>
      <c r="H151" s="47"/>
      <c r="I151" s="47"/>
      <c r="J151" s="47"/>
      <c r="K151" s="47"/>
    </row>
    <row r="152" spans="1:11" ht="12.75" customHeight="1" x14ac:dyDescent="0.2">
      <c r="A152" s="48" t="s">
        <v>276</v>
      </c>
      <c r="B152" s="47"/>
      <c r="C152" s="47"/>
      <c r="D152" s="47"/>
      <c r="E152" s="47"/>
      <c r="F152" s="47"/>
      <c r="G152" s="47"/>
      <c r="H152" s="47"/>
      <c r="I152" s="47"/>
      <c r="J152" s="47"/>
      <c r="K152" s="47"/>
    </row>
    <row r="153" spans="1:11" ht="12.75" customHeight="1" x14ac:dyDescent="0.2">
      <c r="A153" s="49" t="s">
        <v>274</v>
      </c>
      <c r="B153" s="50">
        <v>2019</v>
      </c>
      <c r="C153" s="50" t="s">
        <v>249</v>
      </c>
      <c r="D153" s="50" t="s">
        <v>250</v>
      </c>
      <c r="E153" s="47"/>
      <c r="F153" s="47"/>
      <c r="G153" s="47"/>
      <c r="H153" s="47"/>
      <c r="I153" s="47"/>
      <c r="J153" s="47"/>
      <c r="K153" s="47"/>
    </row>
    <row r="154" spans="1:11" ht="12.75" customHeight="1" x14ac:dyDescent="0.2">
      <c r="A154" s="52" t="s">
        <v>259</v>
      </c>
      <c r="B154" s="53">
        <f t="shared" ref="B154:D154" si="65">SUM(B155:B160)</f>
        <v>136637008.13999963</v>
      </c>
      <c r="C154" s="53">
        <f t="shared" si="65"/>
        <v>175058177.94162878</v>
      </c>
      <c r="D154" s="53">
        <f t="shared" si="65"/>
        <v>129195011</v>
      </c>
      <c r="E154" s="47"/>
      <c r="F154" s="47"/>
      <c r="G154" s="47"/>
      <c r="H154" s="47"/>
      <c r="I154" s="47"/>
      <c r="J154" s="47"/>
      <c r="K154" s="47"/>
    </row>
    <row r="155" spans="1:11" ht="12.75" customHeight="1" x14ac:dyDescent="0.2">
      <c r="A155" s="54" t="s">
        <v>260</v>
      </c>
      <c r="B155" s="55">
        <v>0</v>
      </c>
      <c r="C155" s="55">
        <v>0</v>
      </c>
      <c r="D155" s="55">
        <v>0</v>
      </c>
      <c r="E155" s="47"/>
      <c r="F155" s="47"/>
      <c r="G155" s="47"/>
      <c r="H155" s="47"/>
      <c r="I155" s="47"/>
      <c r="J155" s="47"/>
      <c r="K155" s="47"/>
    </row>
    <row r="156" spans="1:11" ht="12.75" customHeight="1" x14ac:dyDescent="0.2">
      <c r="A156" s="54" t="s">
        <v>261</v>
      </c>
      <c r="B156" s="55">
        <v>9830254.25</v>
      </c>
      <c r="C156" s="55">
        <f>12601941-1100000</f>
        <v>11501941</v>
      </c>
      <c r="D156" s="55">
        <v>12601944</v>
      </c>
      <c r="E156" s="47"/>
      <c r="F156" s="47"/>
      <c r="G156" s="47"/>
      <c r="H156" s="47"/>
      <c r="I156" s="47"/>
      <c r="J156" s="47"/>
      <c r="K156" s="47"/>
    </row>
    <row r="157" spans="1:11" ht="12.75" customHeight="1" x14ac:dyDescent="0.2">
      <c r="A157" s="54" t="s">
        <v>262</v>
      </c>
      <c r="B157" s="55">
        <v>225492.00000000006</v>
      </c>
      <c r="C157" s="55">
        <v>692864</v>
      </c>
      <c r="D157" s="55">
        <v>286767</v>
      </c>
      <c r="E157" s="47"/>
      <c r="F157" s="47"/>
      <c r="G157" s="47"/>
      <c r="H157" s="47"/>
      <c r="I157" s="47"/>
      <c r="J157" s="47"/>
      <c r="K157" s="47"/>
    </row>
    <row r="158" spans="1:11" ht="12.75" customHeight="1" x14ac:dyDescent="0.2">
      <c r="A158" s="54" t="s">
        <v>263</v>
      </c>
      <c r="B158" s="55">
        <v>117305669.21999963</v>
      </c>
      <c r="C158" s="55">
        <v>161258917.81162879</v>
      </c>
      <c r="D158" s="55">
        <v>115434711</v>
      </c>
      <c r="E158" s="47"/>
      <c r="F158" s="47"/>
      <c r="G158" s="47"/>
      <c r="H158" s="47"/>
      <c r="I158" s="47"/>
      <c r="J158" s="47"/>
      <c r="K158" s="47"/>
    </row>
    <row r="159" spans="1:11" ht="12.75" customHeight="1" x14ac:dyDescent="0.2">
      <c r="A159" s="54" t="s">
        <v>264</v>
      </c>
      <c r="B159" s="55">
        <v>5182082.8599999994</v>
      </c>
      <c r="C159" s="55">
        <v>184674</v>
      </c>
      <c r="D159" s="55">
        <v>121881</v>
      </c>
      <c r="E159" s="47"/>
      <c r="F159" s="47"/>
      <c r="G159" s="47"/>
      <c r="H159" s="47"/>
      <c r="I159" s="47"/>
      <c r="J159" s="47"/>
      <c r="K159" s="47"/>
    </row>
    <row r="160" spans="1:11" ht="12.75" customHeight="1" x14ac:dyDescent="0.2">
      <c r="A160" s="54" t="s">
        <v>265</v>
      </c>
      <c r="B160" s="55">
        <v>4093509.8099999996</v>
      </c>
      <c r="C160" s="55">
        <v>1419781.1299999952</v>
      </c>
      <c r="D160" s="55">
        <v>749708</v>
      </c>
      <c r="E160" s="47"/>
      <c r="F160" s="47"/>
      <c r="G160" s="47"/>
      <c r="H160" s="47"/>
      <c r="I160" s="47"/>
      <c r="J160" s="47"/>
      <c r="K160" s="47"/>
    </row>
    <row r="161" spans="1:11" ht="12.75" customHeight="1" x14ac:dyDescent="0.2">
      <c r="A161" s="52" t="s">
        <v>266</v>
      </c>
      <c r="B161" s="53">
        <f t="shared" ref="B161:D161" si="66">SUM(B162:B165)</f>
        <v>20887242.289999995</v>
      </c>
      <c r="C161" s="53">
        <f t="shared" si="66"/>
        <v>27930722.4362</v>
      </c>
      <c r="D161" s="53">
        <f t="shared" si="66"/>
        <v>34576749</v>
      </c>
      <c r="E161" s="47"/>
      <c r="F161" s="47"/>
      <c r="G161" s="47"/>
      <c r="H161" s="47"/>
      <c r="I161" s="47"/>
      <c r="J161" s="47"/>
      <c r="K161" s="47"/>
    </row>
    <row r="162" spans="1:11" ht="12.75" customHeight="1" x14ac:dyDescent="0.2">
      <c r="A162" s="54" t="s">
        <v>267</v>
      </c>
      <c r="B162" s="55">
        <v>0</v>
      </c>
      <c r="C162" s="55">
        <v>0</v>
      </c>
      <c r="D162" s="55">
        <v>0</v>
      </c>
      <c r="E162" s="47"/>
      <c r="F162" s="47"/>
      <c r="G162" s="47"/>
      <c r="H162" s="47"/>
      <c r="I162" s="47"/>
      <c r="J162" s="47"/>
      <c r="K162" s="47"/>
    </row>
    <row r="163" spans="1:11" ht="12.75" customHeight="1" x14ac:dyDescent="0.2">
      <c r="A163" s="54" t="s">
        <v>268</v>
      </c>
      <c r="B163" s="55">
        <v>0</v>
      </c>
      <c r="C163" s="55">
        <v>0</v>
      </c>
      <c r="D163" s="55">
        <v>0</v>
      </c>
      <c r="E163" s="47"/>
      <c r="F163" s="47"/>
      <c r="G163" s="47"/>
      <c r="H163" s="47"/>
      <c r="I163" s="47"/>
      <c r="J163" s="47"/>
      <c r="K163" s="47"/>
    </row>
    <row r="164" spans="1:11" ht="12.75" customHeight="1" x14ac:dyDescent="0.2">
      <c r="A164" s="54" t="s">
        <v>269</v>
      </c>
      <c r="B164" s="55">
        <v>20887242.289999995</v>
      </c>
      <c r="C164" s="55">
        <v>27930722.4362</v>
      </c>
      <c r="D164" s="55">
        <v>34576749</v>
      </c>
      <c r="E164" s="47"/>
      <c r="F164" s="59"/>
      <c r="G164" s="47"/>
      <c r="H164" s="47"/>
      <c r="I164" s="47"/>
      <c r="J164" s="47"/>
      <c r="K164" s="47"/>
    </row>
    <row r="165" spans="1:11" ht="12.75" customHeight="1" x14ac:dyDescent="0.2">
      <c r="A165" s="54" t="s">
        <v>270</v>
      </c>
      <c r="B165" s="55">
        <v>0</v>
      </c>
      <c r="C165" s="55">
        <v>0</v>
      </c>
      <c r="D165" s="55">
        <v>0</v>
      </c>
      <c r="E165" s="47"/>
      <c r="F165" s="47"/>
      <c r="G165" s="47"/>
      <c r="H165" s="47"/>
      <c r="I165" s="47"/>
      <c r="J165" s="47"/>
      <c r="K165" s="47"/>
    </row>
    <row r="166" spans="1:11" ht="12.75" customHeight="1" x14ac:dyDescent="0.2">
      <c r="A166" s="52" t="s">
        <v>271</v>
      </c>
      <c r="B166" s="53">
        <f t="shared" ref="B166:D166" si="67">B167</f>
        <v>0</v>
      </c>
      <c r="C166" s="53">
        <f t="shared" si="67"/>
        <v>0</v>
      </c>
      <c r="D166" s="53">
        <f t="shared" si="67"/>
        <v>0</v>
      </c>
      <c r="E166" s="47"/>
      <c r="F166" s="47"/>
      <c r="G166" s="47"/>
      <c r="H166" s="47"/>
      <c r="I166" s="47"/>
      <c r="J166" s="47"/>
      <c r="K166" s="47"/>
    </row>
    <row r="167" spans="1:11" ht="12.75" customHeight="1" x14ac:dyDescent="0.2">
      <c r="A167" s="54" t="s">
        <v>272</v>
      </c>
      <c r="B167" s="55">
        <v>0</v>
      </c>
      <c r="C167" s="55">
        <v>0</v>
      </c>
      <c r="D167" s="55">
        <v>0</v>
      </c>
      <c r="E167" s="47"/>
      <c r="F167" s="47"/>
      <c r="G167" s="47"/>
      <c r="H167" s="47"/>
      <c r="I167" s="47"/>
      <c r="J167" s="47"/>
      <c r="K167" s="47"/>
    </row>
    <row r="168" spans="1:11" ht="12.75" customHeight="1" x14ac:dyDescent="0.2">
      <c r="A168" s="60" t="s">
        <v>253</v>
      </c>
      <c r="B168" s="57">
        <f t="shared" ref="B168:D168" si="68">B166+B161+B154</f>
        <v>157524250.42999962</v>
      </c>
      <c r="C168" s="57">
        <f t="shared" si="68"/>
        <v>202988900.37782878</v>
      </c>
      <c r="D168" s="57">
        <f t="shared" si="68"/>
        <v>163771760</v>
      </c>
      <c r="E168" s="47"/>
      <c r="F168" s="47"/>
      <c r="G168" s="47"/>
      <c r="H168" s="47"/>
      <c r="I168" s="47"/>
      <c r="J168" s="47"/>
      <c r="K168" s="47"/>
    </row>
    <row r="169" spans="1:11" ht="12.75" customHeight="1" x14ac:dyDescent="0.2">
      <c r="A169" s="61" t="s">
        <v>254</v>
      </c>
      <c r="B169" s="47"/>
      <c r="C169" s="47"/>
      <c r="D169" s="47"/>
      <c r="E169" s="47"/>
      <c r="F169" s="47"/>
      <c r="G169" s="47"/>
      <c r="H169" s="47"/>
      <c r="I169" s="47"/>
      <c r="J169" s="47"/>
      <c r="K169" s="47"/>
    </row>
    <row r="170" spans="1:11" ht="12.75" customHeight="1" x14ac:dyDescent="0.2">
      <c r="A170" s="62" t="s">
        <v>255</v>
      </c>
      <c r="B170" s="47"/>
      <c r="C170" s="47"/>
      <c r="D170" s="47"/>
      <c r="E170" s="47"/>
      <c r="F170" s="47"/>
      <c r="G170" s="47"/>
      <c r="H170" s="47"/>
      <c r="I170" s="47"/>
      <c r="J170" s="47"/>
      <c r="K170" s="47"/>
    </row>
    <row r="171" spans="1:11" ht="12.75" customHeight="1" x14ac:dyDescent="0.2">
      <c r="A171" s="47"/>
      <c r="B171" s="47"/>
      <c r="C171" s="47"/>
      <c r="D171" s="47"/>
      <c r="E171" s="47"/>
      <c r="F171" s="47"/>
      <c r="G171" s="47"/>
      <c r="H171" s="47"/>
      <c r="I171" s="47"/>
      <c r="J171" s="47"/>
      <c r="K171" s="47"/>
    </row>
    <row r="172" spans="1:11" ht="12.75" customHeight="1" x14ac:dyDescent="0.2">
      <c r="A172" s="48" t="s">
        <v>277</v>
      </c>
      <c r="B172" s="47"/>
      <c r="C172" s="47"/>
      <c r="D172" s="47"/>
      <c r="E172" s="47"/>
      <c r="F172" s="47"/>
      <c r="G172" s="47"/>
      <c r="H172" s="47"/>
      <c r="I172" s="47"/>
      <c r="J172" s="47"/>
      <c r="K172" s="47"/>
    </row>
    <row r="173" spans="1:11" ht="12.75" customHeight="1" x14ac:dyDescent="0.2">
      <c r="A173" s="49" t="s">
        <v>258</v>
      </c>
      <c r="B173" s="50">
        <v>2019</v>
      </c>
      <c r="C173" s="50">
        <v>2020</v>
      </c>
      <c r="D173" s="50">
        <v>2021</v>
      </c>
      <c r="E173" s="47"/>
      <c r="F173" s="47"/>
      <c r="G173" s="47"/>
      <c r="H173" s="47"/>
      <c r="I173" s="47"/>
      <c r="J173" s="47"/>
      <c r="K173" s="47"/>
    </row>
    <row r="174" spans="1:11" ht="12.75" customHeight="1" x14ac:dyDescent="0.2">
      <c r="A174" s="52" t="s">
        <v>259</v>
      </c>
      <c r="B174" s="53">
        <f t="shared" ref="B174:D174" si="69">SUM(B175:B180)</f>
        <v>0</v>
      </c>
      <c r="C174" s="53">
        <f t="shared" si="69"/>
        <v>0</v>
      </c>
      <c r="D174" s="53">
        <f t="shared" si="69"/>
        <v>0</v>
      </c>
      <c r="E174" s="47"/>
      <c r="F174" s="47"/>
      <c r="G174" s="47"/>
      <c r="H174" s="47"/>
      <c r="I174" s="47"/>
      <c r="J174" s="47"/>
      <c r="K174" s="47"/>
    </row>
    <row r="175" spans="1:11" ht="12.75" customHeight="1" x14ac:dyDescent="0.2">
      <c r="A175" s="54" t="s">
        <v>260</v>
      </c>
      <c r="B175" s="55">
        <v>0</v>
      </c>
      <c r="C175" s="55">
        <v>0</v>
      </c>
      <c r="D175" s="55">
        <v>0</v>
      </c>
      <c r="E175" s="47"/>
      <c r="F175" s="47"/>
      <c r="G175" s="47"/>
      <c r="H175" s="47"/>
      <c r="I175" s="47"/>
      <c r="J175" s="47"/>
      <c r="K175" s="47"/>
    </row>
    <row r="176" spans="1:11" ht="12.75" customHeight="1" x14ac:dyDescent="0.2">
      <c r="A176" s="54" t="s">
        <v>261</v>
      </c>
      <c r="B176" s="55">
        <v>0</v>
      </c>
      <c r="C176" s="55">
        <v>0</v>
      </c>
      <c r="D176" s="55">
        <v>0</v>
      </c>
      <c r="E176" s="47"/>
      <c r="F176" s="47"/>
      <c r="G176" s="47"/>
      <c r="H176" s="47"/>
      <c r="I176" s="47"/>
      <c r="J176" s="47"/>
      <c r="K176" s="47"/>
    </row>
    <row r="177" spans="1:11" ht="12.75" customHeight="1" x14ac:dyDescent="0.2">
      <c r="A177" s="54" t="s">
        <v>262</v>
      </c>
      <c r="B177" s="55">
        <v>0</v>
      </c>
      <c r="C177" s="55">
        <v>0</v>
      </c>
      <c r="D177" s="55">
        <v>0</v>
      </c>
      <c r="E177" s="47"/>
      <c r="F177" s="47"/>
      <c r="G177" s="47"/>
      <c r="H177" s="47"/>
      <c r="I177" s="47"/>
      <c r="J177" s="47"/>
      <c r="K177" s="47"/>
    </row>
    <row r="178" spans="1:11" ht="12.75" customHeight="1" x14ac:dyDescent="0.2">
      <c r="A178" s="54" t="s">
        <v>263</v>
      </c>
      <c r="B178" s="55">
        <v>0</v>
      </c>
      <c r="C178" s="55">
        <v>0</v>
      </c>
      <c r="D178" s="55">
        <v>0</v>
      </c>
      <c r="E178" s="47"/>
      <c r="F178" s="47"/>
      <c r="G178" s="47"/>
      <c r="H178" s="47"/>
      <c r="I178" s="47"/>
      <c r="J178" s="47"/>
      <c r="K178" s="47"/>
    </row>
    <row r="179" spans="1:11" ht="12.75" customHeight="1" x14ac:dyDescent="0.2">
      <c r="A179" s="54" t="s">
        <v>264</v>
      </c>
      <c r="B179" s="55">
        <v>0</v>
      </c>
      <c r="C179" s="55">
        <v>0</v>
      </c>
      <c r="D179" s="55">
        <v>0</v>
      </c>
      <c r="E179" s="47"/>
      <c r="F179" s="47"/>
      <c r="G179" s="47"/>
      <c r="H179" s="47"/>
      <c r="I179" s="47"/>
      <c r="J179" s="47"/>
      <c r="K179" s="47"/>
    </row>
    <row r="180" spans="1:11" ht="12.75" customHeight="1" x14ac:dyDescent="0.2">
      <c r="A180" s="54" t="s">
        <v>265</v>
      </c>
      <c r="B180" s="55">
        <v>0</v>
      </c>
      <c r="C180" s="55">
        <v>0</v>
      </c>
      <c r="D180" s="55">
        <v>0</v>
      </c>
      <c r="E180" s="47"/>
      <c r="F180" s="47"/>
      <c r="G180" s="47"/>
      <c r="H180" s="47"/>
      <c r="I180" s="47"/>
      <c r="J180" s="47"/>
      <c r="K180" s="47"/>
    </row>
    <row r="181" spans="1:11" ht="12.75" customHeight="1" x14ac:dyDescent="0.2">
      <c r="A181" s="52" t="s">
        <v>266</v>
      </c>
      <c r="B181" s="53">
        <f t="shared" ref="B181:D181" si="70">SUM(B182:B185)</f>
        <v>1143472696</v>
      </c>
      <c r="C181" s="53">
        <f t="shared" si="70"/>
        <v>420118033</v>
      </c>
      <c r="D181" s="53">
        <f t="shared" si="70"/>
        <v>1484404957</v>
      </c>
      <c r="E181" s="47"/>
      <c r="F181" s="47"/>
      <c r="G181" s="47"/>
      <c r="H181" s="47"/>
      <c r="I181" s="47"/>
      <c r="J181" s="47"/>
      <c r="K181" s="47"/>
    </row>
    <row r="182" spans="1:11" ht="12.75" customHeight="1" x14ac:dyDescent="0.2">
      <c r="A182" s="54" t="s">
        <v>267</v>
      </c>
      <c r="B182" s="55">
        <v>0</v>
      </c>
      <c r="C182" s="55">
        <v>0</v>
      </c>
      <c r="D182" s="55">
        <v>200000000</v>
      </c>
      <c r="E182" s="47"/>
      <c r="F182" s="47"/>
      <c r="G182" s="47"/>
      <c r="H182" s="47"/>
      <c r="I182" s="47"/>
      <c r="J182" s="47"/>
      <c r="K182" s="47"/>
    </row>
    <row r="183" spans="1:11" ht="12.75" customHeight="1" x14ac:dyDescent="0.2">
      <c r="A183" s="54" t="s">
        <v>268</v>
      </c>
      <c r="B183" s="55">
        <v>0</v>
      </c>
      <c r="C183" s="55">
        <v>0</v>
      </c>
      <c r="D183" s="55"/>
      <c r="E183" s="47"/>
      <c r="F183" s="47"/>
      <c r="G183" s="47"/>
      <c r="H183" s="47"/>
      <c r="I183" s="47"/>
      <c r="J183" s="47"/>
      <c r="K183" s="47"/>
    </row>
    <row r="184" spans="1:11" ht="12.75" customHeight="1" x14ac:dyDescent="0.2">
      <c r="A184" s="54" t="s">
        <v>269</v>
      </c>
      <c r="B184" s="55">
        <v>1143472696</v>
      </c>
      <c r="C184" s="55">
        <v>420118033</v>
      </c>
      <c r="D184" s="55">
        <v>1284404957</v>
      </c>
      <c r="E184" s="47"/>
      <c r="F184" s="47"/>
      <c r="G184" s="47"/>
      <c r="H184" s="47"/>
      <c r="I184" s="47"/>
      <c r="J184" s="47"/>
      <c r="K184" s="47"/>
    </row>
    <row r="185" spans="1:11" ht="12.75" customHeight="1" x14ac:dyDescent="0.2">
      <c r="A185" s="54" t="s">
        <v>270</v>
      </c>
      <c r="B185" s="55">
        <v>0</v>
      </c>
      <c r="C185" s="55">
        <v>0</v>
      </c>
      <c r="D185" s="55">
        <v>0</v>
      </c>
      <c r="E185" s="47"/>
      <c r="F185" s="47"/>
      <c r="G185" s="47"/>
      <c r="H185" s="47"/>
      <c r="I185" s="47"/>
      <c r="J185" s="47"/>
      <c r="K185" s="47"/>
    </row>
    <row r="186" spans="1:11" ht="12.75" customHeight="1" x14ac:dyDescent="0.2">
      <c r="A186" s="52" t="s">
        <v>271</v>
      </c>
      <c r="B186" s="53">
        <f t="shared" ref="B186:D186" si="71">B187</f>
        <v>0</v>
      </c>
      <c r="C186" s="53">
        <f t="shared" si="71"/>
        <v>0</v>
      </c>
      <c r="D186" s="53">
        <f t="shared" si="71"/>
        <v>0</v>
      </c>
      <c r="E186" s="47"/>
      <c r="F186" s="47"/>
      <c r="G186" s="47"/>
      <c r="H186" s="47"/>
      <c r="I186" s="47"/>
      <c r="J186" s="47"/>
      <c r="K186" s="47"/>
    </row>
    <row r="187" spans="1:11" ht="12.75" customHeight="1" x14ac:dyDescent="0.2">
      <c r="A187" s="54" t="s">
        <v>272</v>
      </c>
      <c r="B187" s="55">
        <v>0</v>
      </c>
      <c r="C187" s="55">
        <v>0</v>
      </c>
      <c r="D187" s="55">
        <v>0</v>
      </c>
      <c r="E187" s="47"/>
      <c r="F187" s="47"/>
      <c r="G187" s="47"/>
      <c r="H187" s="47"/>
      <c r="I187" s="47"/>
      <c r="J187" s="47"/>
      <c r="K187" s="47"/>
    </row>
    <row r="188" spans="1:11" ht="12.75" customHeight="1" x14ac:dyDescent="0.2">
      <c r="A188" s="56" t="s">
        <v>247</v>
      </c>
      <c r="B188" s="57">
        <f t="shared" ref="B188:D188" si="72">B186+B181+B174</f>
        <v>1143472696</v>
      </c>
      <c r="C188" s="57">
        <f t="shared" si="72"/>
        <v>420118033</v>
      </c>
      <c r="D188" s="57">
        <f t="shared" si="72"/>
        <v>1484404957</v>
      </c>
      <c r="E188" s="47"/>
      <c r="F188" s="47"/>
      <c r="G188" s="47"/>
      <c r="H188" s="47"/>
      <c r="I188" s="47"/>
      <c r="J188" s="47"/>
      <c r="K188" s="47"/>
    </row>
    <row r="189" spans="1:11" ht="12.75" customHeight="1" x14ac:dyDescent="0.2">
      <c r="A189" s="47"/>
      <c r="B189" s="47"/>
      <c r="C189" s="47"/>
      <c r="D189" s="47"/>
      <c r="E189" s="47"/>
      <c r="F189" s="47"/>
      <c r="G189" s="47"/>
      <c r="H189" s="47"/>
      <c r="I189" s="47"/>
      <c r="J189" s="47"/>
      <c r="K189" s="47"/>
    </row>
    <row r="190" spans="1:11" ht="12.75" customHeight="1" x14ac:dyDescent="0.2">
      <c r="A190" s="48" t="s">
        <v>277</v>
      </c>
      <c r="B190" s="47"/>
      <c r="C190" s="47"/>
      <c r="D190" s="47"/>
      <c r="E190" s="47"/>
      <c r="F190" s="47"/>
      <c r="G190" s="47"/>
      <c r="H190" s="47"/>
      <c r="I190" s="47"/>
      <c r="J190" s="47"/>
      <c r="K190" s="47"/>
    </row>
    <row r="191" spans="1:11" ht="12.75" customHeight="1" x14ac:dyDescent="0.2">
      <c r="A191" s="49" t="s">
        <v>273</v>
      </c>
      <c r="B191" s="50">
        <v>2019</v>
      </c>
      <c r="C191" s="50" t="s">
        <v>249</v>
      </c>
      <c r="D191" s="50" t="s">
        <v>250</v>
      </c>
      <c r="E191" s="47"/>
      <c r="F191" s="47"/>
      <c r="G191" s="47"/>
      <c r="H191" s="47"/>
      <c r="I191" s="47"/>
      <c r="J191" s="47"/>
      <c r="K191" s="47"/>
    </row>
    <row r="192" spans="1:11" ht="12.75" customHeight="1" x14ac:dyDescent="0.2">
      <c r="A192" s="52" t="s">
        <v>259</v>
      </c>
      <c r="B192" s="53">
        <f t="shared" ref="B192:D192" si="73">SUM(B193:B198)</f>
        <v>0</v>
      </c>
      <c r="C192" s="53">
        <f t="shared" si="73"/>
        <v>0</v>
      </c>
      <c r="D192" s="53">
        <f t="shared" si="73"/>
        <v>0</v>
      </c>
      <c r="E192" s="47"/>
      <c r="F192" s="47"/>
      <c r="G192" s="47"/>
      <c r="H192" s="47"/>
      <c r="I192" s="47"/>
      <c r="J192" s="47"/>
      <c r="K192" s="47"/>
    </row>
    <row r="193" spans="1:11" ht="12.75" customHeight="1" x14ac:dyDescent="0.2">
      <c r="A193" s="54" t="s">
        <v>260</v>
      </c>
      <c r="B193" s="55">
        <v>0</v>
      </c>
      <c r="C193" s="55">
        <v>0</v>
      </c>
      <c r="D193" s="55">
        <v>0</v>
      </c>
      <c r="E193" s="47"/>
      <c r="F193" s="47"/>
      <c r="G193" s="47"/>
      <c r="H193" s="47"/>
      <c r="I193" s="47"/>
      <c r="J193" s="47"/>
      <c r="K193" s="47"/>
    </row>
    <row r="194" spans="1:11" ht="12.75" customHeight="1" x14ac:dyDescent="0.2">
      <c r="A194" s="54" t="s">
        <v>261</v>
      </c>
      <c r="B194" s="55">
        <v>0</v>
      </c>
      <c r="C194" s="55">
        <v>0</v>
      </c>
      <c r="D194" s="55">
        <v>0</v>
      </c>
      <c r="E194" s="47"/>
      <c r="F194" s="47"/>
      <c r="G194" s="47"/>
      <c r="H194" s="47"/>
      <c r="I194" s="47"/>
      <c r="J194" s="47"/>
      <c r="K194" s="47"/>
    </row>
    <row r="195" spans="1:11" ht="12.75" customHeight="1" x14ac:dyDescent="0.2">
      <c r="A195" s="54" t="s">
        <v>262</v>
      </c>
      <c r="B195" s="55">
        <v>0</v>
      </c>
      <c r="C195" s="55">
        <v>0</v>
      </c>
      <c r="D195" s="55">
        <v>0</v>
      </c>
      <c r="E195" s="47"/>
      <c r="F195" s="47"/>
      <c r="G195" s="47"/>
      <c r="H195" s="47"/>
      <c r="I195" s="47"/>
      <c r="J195" s="47"/>
      <c r="K195" s="47"/>
    </row>
    <row r="196" spans="1:11" ht="12.75" customHeight="1" x14ac:dyDescent="0.2">
      <c r="A196" s="54" t="s">
        <v>263</v>
      </c>
      <c r="B196" s="55">
        <v>0</v>
      </c>
      <c r="C196" s="55">
        <v>0</v>
      </c>
      <c r="D196" s="55">
        <v>0</v>
      </c>
      <c r="E196" s="47"/>
      <c r="F196" s="47"/>
      <c r="G196" s="47"/>
      <c r="H196" s="47"/>
      <c r="I196" s="47"/>
      <c r="J196" s="47"/>
      <c r="K196" s="47"/>
    </row>
    <row r="197" spans="1:11" ht="12.75" customHeight="1" x14ac:dyDescent="0.2">
      <c r="A197" s="54" t="s">
        <v>264</v>
      </c>
      <c r="B197" s="55">
        <v>0</v>
      </c>
      <c r="C197" s="55">
        <v>0</v>
      </c>
      <c r="D197" s="55">
        <v>0</v>
      </c>
      <c r="E197" s="47"/>
      <c r="F197" s="47"/>
      <c r="G197" s="47"/>
      <c r="H197" s="47"/>
      <c r="I197" s="47"/>
      <c r="J197" s="47"/>
      <c r="K197" s="47"/>
    </row>
    <row r="198" spans="1:11" ht="12.75" customHeight="1" x14ac:dyDescent="0.2">
      <c r="A198" s="54" t="s">
        <v>265</v>
      </c>
      <c r="B198" s="55">
        <v>0</v>
      </c>
      <c r="C198" s="55">
        <v>0</v>
      </c>
      <c r="D198" s="55">
        <v>0</v>
      </c>
      <c r="E198" s="47"/>
      <c r="F198" s="47"/>
      <c r="G198" s="47"/>
      <c r="H198" s="47"/>
      <c r="I198" s="47"/>
      <c r="J198" s="47"/>
      <c r="K198" s="47"/>
    </row>
    <row r="199" spans="1:11" ht="12.75" customHeight="1" x14ac:dyDescent="0.2">
      <c r="A199" s="52" t="s">
        <v>266</v>
      </c>
      <c r="B199" s="53">
        <f t="shared" ref="B199:D199" si="74">SUM(B200:B203)</f>
        <v>995426634</v>
      </c>
      <c r="C199" s="53">
        <f t="shared" si="74"/>
        <v>1160733933</v>
      </c>
      <c r="D199" s="53">
        <f t="shared" si="74"/>
        <v>1484404957</v>
      </c>
      <c r="E199" s="47"/>
      <c r="F199" s="47"/>
      <c r="G199" s="47"/>
      <c r="H199" s="47"/>
      <c r="I199" s="47"/>
      <c r="J199" s="47"/>
      <c r="K199" s="47"/>
    </row>
    <row r="200" spans="1:11" ht="12.75" customHeight="1" x14ac:dyDescent="0.2">
      <c r="A200" s="54" t="s">
        <v>267</v>
      </c>
      <c r="B200" s="55">
        <v>5794285</v>
      </c>
      <c r="C200" s="55">
        <v>535350000</v>
      </c>
      <c r="D200" s="55">
        <v>200000000</v>
      </c>
      <c r="E200" s="47"/>
      <c r="F200" s="47"/>
      <c r="G200" s="47"/>
      <c r="H200" s="47"/>
      <c r="I200" s="47"/>
      <c r="J200" s="47"/>
      <c r="K200" s="47"/>
    </row>
    <row r="201" spans="1:11" ht="12.75" customHeight="1" x14ac:dyDescent="0.2">
      <c r="A201" s="54" t="s">
        <v>268</v>
      </c>
      <c r="B201" s="55">
        <v>102029344</v>
      </c>
      <c r="C201" s="55">
        <v>15083770</v>
      </c>
      <c r="D201" s="55"/>
      <c r="E201" s="47"/>
      <c r="F201" s="47"/>
      <c r="G201" s="47"/>
      <c r="H201" s="47"/>
      <c r="I201" s="47"/>
      <c r="J201" s="47"/>
      <c r="K201" s="47"/>
    </row>
    <row r="202" spans="1:11" ht="12.75" customHeight="1" x14ac:dyDescent="0.2">
      <c r="A202" s="54" t="s">
        <v>269</v>
      </c>
      <c r="B202" s="55">
        <v>887603005</v>
      </c>
      <c r="C202" s="55">
        <v>610300163</v>
      </c>
      <c r="D202" s="55">
        <v>1284404957</v>
      </c>
      <c r="E202" s="47"/>
      <c r="F202" s="47"/>
      <c r="G202" s="47"/>
      <c r="H202" s="47"/>
      <c r="I202" s="47"/>
      <c r="J202" s="47"/>
      <c r="K202" s="47"/>
    </row>
    <row r="203" spans="1:11" ht="12.75" customHeight="1" x14ac:dyDescent="0.2">
      <c r="A203" s="54" t="s">
        <v>270</v>
      </c>
      <c r="B203" s="55">
        <v>0</v>
      </c>
      <c r="C203" s="55">
        <v>0</v>
      </c>
      <c r="D203" s="55">
        <v>0</v>
      </c>
      <c r="E203" s="47"/>
      <c r="F203" s="47"/>
      <c r="G203" s="47"/>
      <c r="H203" s="47"/>
      <c r="I203" s="47"/>
      <c r="J203" s="47"/>
      <c r="K203" s="47"/>
    </row>
    <row r="204" spans="1:11" ht="12.75" customHeight="1" x14ac:dyDescent="0.2">
      <c r="A204" s="52" t="s">
        <v>271</v>
      </c>
      <c r="B204" s="53">
        <f t="shared" ref="B204:D204" si="75">B205</f>
        <v>0</v>
      </c>
      <c r="C204" s="53">
        <f t="shared" si="75"/>
        <v>0</v>
      </c>
      <c r="D204" s="53">
        <f t="shared" si="75"/>
        <v>0</v>
      </c>
      <c r="E204" s="47"/>
      <c r="F204" s="47"/>
      <c r="G204" s="47"/>
      <c r="H204" s="47"/>
      <c r="I204" s="47"/>
      <c r="J204" s="47"/>
      <c r="K204" s="47"/>
    </row>
    <row r="205" spans="1:11" ht="12.75" customHeight="1" x14ac:dyDescent="0.2">
      <c r="A205" s="54" t="s">
        <v>272</v>
      </c>
      <c r="B205" s="55">
        <v>0</v>
      </c>
      <c r="C205" s="55">
        <v>0</v>
      </c>
      <c r="D205" s="55">
        <v>0</v>
      </c>
      <c r="E205" s="47"/>
      <c r="F205" s="47"/>
      <c r="G205" s="47"/>
      <c r="H205" s="47"/>
      <c r="I205" s="47"/>
      <c r="J205" s="47"/>
      <c r="K205" s="47"/>
    </row>
    <row r="206" spans="1:11" ht="12.75" customHeight="1" x14ac:dyDescent="0.2">
      <c r="A206" s="56" t="s">
        <v>251</v>
      </c>
      <c r="B206" s="57">
        <f t="shared" ref="B206:D206" si="76">B204+B199+B192</f>
        <v>995426634</v>
      </c>
      <c r="C206" s="57">
        <f t="shared" si="76"/>
        <v>1160733933</v>
      </c>
      <c r="D206" s="57">
        <f t="shared" si="76"/>
        <v>1484404957</v>
      </c>
      <c r="E206" s="47"/>
      <c r="F206" s="47"/>
      <c r="G206" s="47"/>
      <c r="H206" s="47"/>
      <c r="I206" s="47"/>
      <c r="J206" s="47"/>
      <c r="K206" s="47"/>
    </row>
    <row r="207" spans="1:11" ht="12.75" customHeight="1" x14ac:dyDescent="0.2">
      <c r="A207" s="47"/>
      <c r="B207" s="47"/>
      <c r="C207" s="47"/>
      <c r="D207" s="47"/>
      <c r="E207" s="47"/>
      <c r="F207" s="47"/>
      <c r="G207" s="47"/>
      <c r="H207" s="47"/>
      <c r="I207" s="47"/>
      <c r="J207" s="47"/>
      <c r="K207" s="47"/>
    </row>
    <row r="208" spans="1:11" ht="12.75" customHeight="1" x14ac:dyDescent="0.2">
      <c r="A208" s="48" t="s">
        <v>277</v>
      </c>
      <c r="B208" s="47"/>
      <c r="C208" s="47"/>
      <c r="D208" s="47"/>
      <c r="E208" s="47"/>
      <c r="F208" s="47"/>
      <c r="G208" s="47"/>
      <c r="H208" s="47"/>
      <c r="I208" s="47"/>
      <c r="J208" s="47"/>
      <c r="K208" s="47"/>
    </row>
    <row r="209" spans="1:11" ht="12.75" customHeight="1" x14ac:dyDescent="0.2">
      <c r="A209" s="49" t="s">
        <v>274</v>
      </c>
      <c r="B209" s="50">
        <v>2019</v>
      </c>
      <c r="C209" s="50" t="s">
        <v>249</v>
      </c>
      <c r="D209" s="50" t="s">
        <v>250</v>
      </c>
      <c r="E209" s="47"/>
      <c r="F209" s="47"/>
      <c r="G209" s="47"/>
      <c r="H209" s="47"/>
      <c r="I209" s="47"/>
      <c r="J209" s="47"/>
      <c r="K209" s="47"/>
    </row>
    <row r="210" spans="1:11" ht="12.75" customHeight="1" x14ac:dyDescent="0.2">
      <c r="A210" s="52" t="s">
        <v>259</v>
      </c>
      <c r="B210" s="53">
        <f t="shared" ref="B210:D210" si="77">SUM(B211:B216)</f>
        <v>0</v>
      </c>
      <c r="C210" s="53">
        <f t="shared" si="77"/>
        <v>0</v>
      </c>
      <c r="D210" s="53">
        <f t="shared" si="77"/>
        <v>0</v>
      </c>
      <c r="E210" s="47"/>
      <c r="F210" s="47"/>
      <c r="G210" s="47"/>
      <c r="H210" s="47"/>
      <c r="I210" s="47"/>
      <c r="J210" s="47"/>
      <c r="K210" s="47"/>
    </row>
    <row r="211" spans="1:11" ht="12.75" customHeight="1" x14ac:dyDescent="0.2">
      <c r="A211" s="54" t="s">
        <v>260</v>
      </c>
      <c r="B211" s="55">
        <v>0</v>
      </c>
      <c r="C211" s="55">
        <v>0</v>
      </c>
      <c r="D211" s="55">
        <v>0</v>
      </c>
      <c r="E211" s="47"/>
      <c r="F211" s="47"/>
      <c r="G211" s="47"/>
      <c r="H211" s="47"/>
      <c r="I211" s="47"/>
      <c r="J211" s="47"/>
      <c r="K211" s="47"/>
    </row>
    <row r="212" spans="1:11" ht="12.75" customHeight="1" x14ac:dyDescent="0.2">
      <c r="A212" s="54" t="s">
        <v>261</v>
      </c>
      <c r="B212" s="55">
        <v>0</v>
      </c>
      <c r="C212" s="55">
        <v>0</v>
      </c>
      <c r="D212" s="55">
        <v>0</v>
      </c>
      <c r="E212" s="47"/>
      <c r="F212" s="47"/>
      <c r="G212" s="47"/>
      <c r="H212" s="47"/>
      <c r="I212" s="47"/>
      <c r="J212" s="47"/>
      <c r="K212" s="47"/>
    </row>
    <row r="213" spans="1:11" ht="12.75" customHeight="1" x14ac:dyDescent="0.2">
      <c r="A213" s="54" t="s">
        <v>262</v>
      </c>
      <c r="B213" s="55">
        <v>0</v>
      </c>
      <c r="C213" s="55">
        <v>0</v>
      </c>
      <c r="D213" s="55">
        <v>0</v>
      </c>
      <c r="E213" s="47"/>
      <c r="F213" s="47"/>
      <c r="G213" s="47"/>
      <c r="H213" s="47"/>
      <c r="I213" s="47"/>
      <c r="J213" s="47"/>
      <c r="K213" s="47"/>
    </row>
    <row r="214" spans="1:11" ht="12.75" customHeight="1" x14ac:dyDescent="0.2">
      <c r="A214" s="54" t="s">
        <v>263</v>
      </c>
      <c r="B214" s="55">
        <v>0</v>
      </c>
      <c r="C214" s="55">
        <v>0</v>
      </c>
      <c r="D214" s="55">
        <v>0</v>
      </c>
      <c r="E214" s="47"/>
      <c r="F214" s="47"/>
      <c r="G214" s="47"/>
      <c r="H214" s="47"/>
      <c r="I214" s="47"/>
      <c r="J214" s="47"/>
      <c r="K214" s="47"/>
    </row>
    <row r="215" spans="1:11" ht="12.75" customHeight="1" x14ac:dyDescent="0.2">
      <c r="A215" s="54" t="s">
        <v>264</v>
      </c>
      <c r="B215" s="55">
        <v>0</v>
      </c>
      <c r="C215" s="55">
        <v>0</v>
      </c>
      <c r="D215" s="55">
        <v>0</v>
      </c>
      <c r="E215" s="47"/>
      <c r="F215" s="47"/>
      <c r="G215" s="47"/>
      <c r="H215" s="47"/>
      <c r="I215" s="47"/>
      <c r="J215" s="47"/>
      <c r="K215" s="47"/>
    </row>
    <row r="216" spans="1:11" ht="12.75" customHeight="1" x14ac:dyDescent="0.2">
      <c r="A216" s="54" t="s">
        <v>265</v>
      </c>
      <c r="B216" s="55">
        <v>0</v>
      </c>
      <c r="C216" s="55">
        <v>0</v>
      </c>
      <c r="D216" s="55">
        <v>0</v>
      </c>
      <c r="E216" s="47"/>
      <c r="F216" s="47"/>
      <c r="G216" s="47"/>
      <c r="H216" s="47"/>
      <c r="I216" s="47"/>
      <c r="J216" s="47"/>
      <c r="K216" s="47"/>
    </row>
    <row r="217" spans="1:11" ht="12.75" customHeight="1" x14ac:dyDescent="0.2">
      <c r="A217" s="52" t="s">
        <v>266</v>
      </c>
      <c r="B217" s="53">
        <f t="shared" ref="B217:D217" si="78">SUM(B218:B221)</f>
        <v>662139488.20999992</v>
      </c>
      <c r="C217" s="53">
        <f t="shared" si="78"/>
        <v>767121293.59380031</v>
      </c>
      <c r="D217" s="53">
        <f t="shared" si="78"/>
        <v>1484404957</v>
      </c>
      <c r="E217" s="47"/>
      <c r="F217" s="47"/>
      <c r="G217" s="47"/>
      <c r="H217" s="47"/>
      <c r="I217" s="47"/>
      <c r="J217" s="47"/>
      <c r="K217" s="47"/>
    </row>
    <row r="218" spans="1:11" ht="12.75" customHeight="1" x14ac:dyDescent="0.2">
      <c r="A218" s="54" t="s">
        <v>267</v>
      </c>
      <c r="B218" s="55">
        <v>0</v>
      </c>
      <c r="C218" s="55">
        <v>535350000</v>
      </c>
      <c r="D218" s="55">
        <v>200000000</v>
      </c>
      <c r="E218" s="47"/>
      <c r="F218" s="47"/>
      <c r="G218" s="47"/>
      <c r="H218" s="47"/>
      <c r="I218" s="47"/>
      <c r="J218" s="47"/>
      <c r="K218" s="47"/>
    </row>
    <row r="219" spans="1:11" ht="12.75" customHeight="1" x14ac:dyDescent="0.2">
      <c r="A219" s="54" t="s">
        <v>268</v>
      </c>
      <c r="B219" s="55">
        <v>99127930.089999944</v>
      </c>
      <c r="C219" s="55">
        <v>15083770</v>
      </c>
      <c r="D219" s="55"/>
      <c r="E219" s="47"/>
      <c r="F219" s="47"/>
      <c r="G219" s="47"/>
      <c r="H219" s="47"/>
      <c r="I219" s="47"/>
      <c r="J219" s="47"/>
      <c r="K219" s="47"/>
    </row>
    <row r="220" spans="1:11" ht="12.75" customHeight="1" x14ac:dyDescent="0.2">
      <c r="A220" s="54" t="s">
        <v>269</v>
      </c>
      <c r="B220" s="55">
        <v>563011558.12</v>
      </c>
      <c r="C220" s="55">
        <v>216687523.59380034</v>
      </c>
      <c r="D220" s="55">
        <v>1284404957</v>
      </c>
      <c r="E220" s="59"/>
      <c r="F220" s="59"/>
      <c r="G220" s="59"/>
      <c r="H220" s="59"/>
      <c r="I220" s="47"/>
      <c r="J220" s="47"/>
      <c r="K220" s="47"/>
    </row>
    <row r="221" spans="1:11" ht="12.75" customHeight="1" x14ac:dyDescent="0.2">
      <c r="A221" s="54" t="s">
        <v>270</v>
      </c>
      <c r="B221" s="55">
        <v>0</v>
      </c>
      <c r="C221" s="55"/>
      <c r="D221" s="55">
        <v>0</v>
      </c>
      <c r="E221" s="47"/>
      <c r="F221" s="47"/>
      <c r="G221" s="47"/>
      <c r="H221" s="47"/>
      <c r="I221" s="47"/>
      <c r="J221" s="47"/>
      <c r="K221" s="47"/>
    </row>
    <row r="222" spans="1:11" ht="12.75" customHeight="1" x14ac:dyDescent="0.2">
      <c r="A222" s="52" t="s">
        <v>271</v>
      </c>
      <c r="B222" s="53">
        <f t="shared" ref="B222:D222" si="79">B223</f>
        <v>0</v>
      </c>
      <c r="C222" s="53">
        <f t="shared" si="79"/>
        <v>0</v>
      </c>
      <c r="D222" s="53">
        <f t="shared" si="79"/>
        <v>0</v>
      </c>
      <c r="E222" s="47"/>
      <c r="F222" s="47"/>
      <c r="G222" s="47"/>
      <c r="H222" s="47"/>
      <c r="I222" s="47"/>
      <c r="J222" s="47"/>
      <c r="K222" s="47"/>
    </row>
    <row r="223" spans="1:11" ht="12.75" customHeight="1" x14ac:dyDescent="0.2">
      <c r="A223" s="54" t="s">
        <v>272</v>
      </c>
      <c r="B223" s="55">
        <v>0</v>
      </c>
      <c r="C223" s="55"/>
      <c r="D223" s="55">
        <v>0</v>
      </c>
      <c r="E223" s="47"/>
      <c r="F223" s="47"/>
      <c r="G223" s="47"/>
      <c r="H223" s="47"/>
      <c r="I223" s="47"/>
      <c r="J223" s="47"/>
      <c r="K223" s="47"/>
    </row>
    <row r="224" spans="1:11" ht="12.75" customHeight="1" x14ac:dyDescent="0.2">
      <c r="A224" s="60" t="s">
        <v>253</v>
      </c>
      <c r="B224" s="57">
        <f t="shared" ref="B224:D224" si="80">B222+B217+B210</f>
        <v>662139488.20999992</v>
      </c>
      <c r="C224" s="57">
        <f t="shared" si="80"/>
        <v>767121293.59380031</v>
      </c>
      <c r="D224" s="57">
        <f t="shared" si="80"/>
        <v>1484404957</v>
      </c>
      <c r="E224" s="47"/>
      <c r="F224" s="47"/>
      <c r="G224" s="47"/>
      <c r="H224" s="47"/>
      <c r="I224" s="47"/>
      <c r="J224" s="47"/>
      <c r="K224" s="47"/>
    </row>
    <row r="225" spans="1:11" ht="12.75" customHeight="1" x14ac:dyDescent="0.2">
      <c r="A225" s="61" t="s">
        <v>254</v>
      </c>
      <c r="B225" s="47"/>
      <c r="C225" s="47"/>
      <c r="D225" s="47"/>
      <c r="E225" s="47"/>
      <c r="F225" s="47"/>
      <c r="G225" s="47"/>
      <c r="H225" s="47"/>
      <c r="I225" s="47"/>
      <c r="J225" s="47"/>
      <c r="K225" s="47"/>
    </row>
    <row r="226" spans="1:11" ht="12.75" customHeight="1" x14ac:dyDescent="0.2">
      <c r="A226" s="62" t="s">
        <v>255</v>
      </c>
      <c r="B226" s="47"/>
      <c r="C226" s="47"/>
      <c r="D226" s="47"/>
      <c r="E226" s="47"/>
      <c r="F226" s="47"/>
      <c r="G226" s="47"/>
      <c r="H226" s="47"/>
      <c r="I226" s="47"/>
      <c r="J226" s="47"/>
      <c r="K226" s="47"/>
    </row>
    <row r="227" spans="1:11" ht="12.75" customHeight="1" x14ac:dyDescent="0.2">
      <c r="A227" s="47"/>
      <c r="B227" s="47"/>
      <c r="C227" s="47"/>
      <c r="D227" s="47"/>
      <c r="E227" s="47"/>
      <c r="F227" s="47"/>
      <c r="G227" s="47"/>
      <c r="H227" s="47"/>
      <c r="I227" s="47"/>
      <c r="J227" s="47"/>
      <c r="K227" s="47"/>
    </row>
    <row r="228" spans="1:11" ht="12.75" customHeight="1" x14ac:dyDescent="0.2">
      <c r="A228" s="48" t="s">
        <v>278</v>
      </c>
      <c r="B228" s="47"/>
      <c r="C228" s="47"/>
      <c r="D228" s="47"/>
      <c r="E228" s="47"/>
      <c r="F228" s="47"/>
      <c r="G228" s="47"/>
      <c r="H228" s="47"/>
      <c r="I228" s="47"/>
      <c r="J228" s="47"/>
      <c r="K228" s="47"/>
    </row>
    <row r="229" spans="1:11" ht="12.75" customHeight="1" x14ac:dyDescent="0.2">
      <c r="A229" s="49" t="s">
        <v>258</v>
      </c>
      <c r="B229" s="50">
        <v>2019</v>
      </c>
      <c r="C229" s="50">
        <v>2020</v>
      </c>
      <c r="D229" s="50">
        <v>2021</v>
      </c>
      <c r="E229" s="47"/>
      <c r="F229" s="47"/>
      <c r="G229" s="47"/>
      <c r="H229" s="47"/>
      <c r="I229" s="47"/>
      <c r="J229" s="47"/>
      <c r="K229" s="47"/>
    </row>
    <row r="230" spans="1:11" ht="12.75" customHeight="1" x14ac:dyDescent="0.2">
      <c r="A230" s="52" t="s">
        <v>259</v>
      </c>
      <c r="B230" s="53">
        <f t="shared" ref="B230:D230" si="81">SUM(B231:B236)</f>
        <v>822000</v>
      </c>
      <c r="C230" s="53">
        <f t="shared" si="81"/>
        <v>16039719</v>
      </c>
      <c r="D230" s="53">
        <f t="shared" si="81"/>
        <v>5653562</v>
      </c>
      <c r="E230" s="47"/>
      <c r="F230" s="47"/>
      <c r="G230" s="47"/>
      <c r="H230" s="47"/>
      <c r="I230" s="47"/>
      <c r="J230" s="47"/>
      <c r="K230" s="47"/>
    </row>
    <row r="231" spans="1:11" ht="12.75" customHeight="1" x14ac:dyDescent="0.2">
      <c r="A231" s="54" t="s">
        <v>260</v>
      </c>
      <c r="B231" s="55">
        <v>0</v>
      </c>
      <c r="C231" s="55">
        <v>0</v>
      </c>
      <c r="D231" s="55">
        <v>0</v>
      </c>
      <c r="E231" s="47"/>
      <c r="F231" s="47"/>
      <c r="G231" s="47"/>
      <c r="H231" s="47"/>
      <c r="I231" s="47"/>
      <c r="J231" s="47"/>
      <c r="K231" s="47"/>
    </row>
    <row r="232" spans="1:11" ht="12.75" customHeight="1" x14ac:dyDescent="0.2">
      <c r="A232" s="54" t="s">
        <v>261</v>
      </c>
      <c r="B232" s="55">
        <v>0</v>
      </c>
      <c r="C232" s="55">
        <v>0</v>
      </c>
      <c r="D232" s="55">
        <v>0</v>
      </c>
      <c r="E232" s="47"/>
      <c r="F232" s="47"/>
      <c r="G232" s="47"/>
      <c r="H232" s="47"/>
      <c r="I232" s="47"/>
      <c r="J232" s="47"/>
      <c r="K232" s="47"/>
    </row>
    <row r="233" spans="1:11" ht="12.75" customHeight="1" x14ac:dyDescent="0.2">
      <c r="A233" s="54" t="s">
        <v>262</v>
      </c>
      <c r="B233" s="55">
        <v>0</v>
      </c>
      <c r="C233" s="55">
        <v>0</v>
      </c>
      <c r="D233" s="55">
        <v>0</v>
      </c>
      <c r="E233" s="47"/>
      <c r="F233" s="47"/>
      <c r="G233" s="47"/>
      <c r="H233" s="47"/>
      <c r="I233" s="47"/>
      <c r="J233" s="47"/>
      <c r="K233" s="47"/>
    </row>
    <row r="234" spans="1:11" ht="12.75" customHeight="1" x14ac:dyDescent="0.2">
      <c r="A234" s="54" t="s">
        <v>263</v>
      </c>
      <c r="B234" s="55">
        <v>822000</v>
      </c>
      <c r="C234" s="55">
        <v>16039719</v>
      </c>
      <c r="D234" s="55">
        <v>5653562</v>
      </c>
      <c r="E234" s="47"/>
      <c r="F234" s="47"/>
      <c r="G234" s="47"/>
      <c r="H234" s="47"/>
      <c r="I234" s="47"/>
      <c r="J234" s="47"/>
      <c r="K234" s="47"/>
    </row>
    <row r="235" spans="1:11" ht="12.75" customHeight="1" x14ac:dyDescent="0.2">
      <c r="A235" s="54" t="s">
        <v>264</v>
      </c>
      <c r="B235" s="55">
        <v>0</v>
      </c>
      <c r="C235" s="55">
        <v>0</v>
      </c>
      <c r="D235" s="55">
        <v>0</v>
      </c>
      <c r="E235" s="47"/>
      <c r="F235" s="47"/>
      <c r="G235" s="47"/>
      <c r="H235" s="47"/>
      <c r="I235" s="47"/>
      <c r="J235" s="47"/>
      <c r="K235" s="47"/>
    </row>
    <row r="236" spans="1:11" ht="12.75" customHeight="1" x14ac:dyDescent="0.2">
      <c r="A236" s="54" t="s">
        <v>265</v>
      </c>
      <c r="B236" s="55">
        <v>0</v>
      </c>
      <c r="C236" s="55">
        <v>0</v>
      </c>
      <c r="D236" s="55">
        <v>0</v>
      </c>
      <c r="E236" s="47"/>
      <c r="F236" s="47"/>
      <c r="G236" s="47"/>
      <c r="H236" s="47"/>
      <c r="I236" s="47"/>
      <c r="J236" s="47"/>
      <c r="K236" s="47"/>
    </row>
    <row r="237" spans="1:11" ht="12.75" customHeight="1" x14ac:dyDescent="0.2">
      <c r="A237" s="52" t="s">
        <v>266</v>
      </c>
      <c r="B237" s="53">
        <f t="shared" ref="B237:D237" si="82">SUM(B238:B241)</f>
        <v>0</v>
      </c>
      <c r="C237" s="53">
        <f t="shared" si="82"/>
        <v>2483380</v>
      </c>
      <c r="D237" s="53">
        <f t="shared" si="82"/>
        <v>0</v>
      </c>
      <c r="E237" s="47"/>
      <c r="F237" s="47"/>
      <c r="G237" s="47"/>
      <c r="H237" s="47"/>
      <c r="I237" s="47"/>
      <c r="J237" s="47"/>
      <c r="K237" s="47"/>
    </row>
    <row r="238" spans="1:11" ht="12.75" customHeight="1" x14ac:dyDescent="0.2">
      <c r="A238" s="54" t="s">
        <v>267</v>
      </c>
      <c r="B238" s="55">
        <v>0</v>
      </c>
      <c r="C238" s="55">
        <v>0</v>
      </c>
      <c r="D238" s="55">
        <v>0</v>
      </c>
      <c r="E238" s="47"/>
      <c r="F238" s="47"/>
      <c r="G238" s="47"/>
      <c r="H238" s="47"/>
      <c r="I238" s="47"/>
      <c r="J238" s="47"/>
      <c r="K238" s="47"/>
    </row>
    <row r="239" spans="1:11" ht="12.75" customHeight="1" x14ac:dyDescent="0.2">
      <c r="A239" s="54" t="s">
        <v>268</v>
      </c>
      <c r="B239" s="55">
        <v>0</v>
      </c>
      <c r="C239" s="55">
        <v>0</v>
      </c>
      <c r="D239" s="55">
        <v>0</v>
      </c>
      <c r="E239" s="47"/>
      <c r="F239" s="47"/>
      <c r="G239" s="47"/>
      <c r="H239" s="47"/>
      <c r="I239" s="47"/>
      <c r="J239" s="47"/>
      <c r="K239" s="47"/>
    </row>
    <row r="240" spans="1:11" ht="12.75" customHeight="1" x14ac:dyDescent="0.2">
      <c r="A240" s="54" t="s">
        <v>269</v>
      </c>
      <c r="B240" s="55">
        <v>0</v>
      </c>
      <c r="C240" s="55">
        <v>2483380</v>
      </c>
      <c r="D240" s="55">
        <v>0</v>
      </c>
      <c r="E240" s="47"/>
      <c r="F240" s="47"/>
      <c r="G240" s="47"/>
      <c r="H240" s="47"/>
      <c r="I240" s="47"/>
      <c r="J240" s="47"/>
      <c r="K240" s="47"/>
    </row>
    <row r="241" spans="1:11" ht="12.75" customHeight="1" x14ac:dyDescent="0.2">
      <c r="A241" s="54" t="s">
        <v>270</v>
      </c>
      <c r="B241" s="55">
        <v>0</v>
      </c>
      <c r="C241" s="55">
        <v>0</v>
      </c>
      <c r="D241" s="55">
        <v>0</v>
      </c>
      <c r="E241" s="47"/>
      <c r="F241" s="47"/>
      <c r="G241" s="47"/>
      <c r="H241" s="47"/>
      <c r="I241" s="47"/>
      <c r="J241" s="47"/>
      <c r="K241" s="47"/>
    </row>
    <row r="242" spans="1:11" ht="12.75" customHeight="1" x14ac:dyDescent="0.2">
      <c r="A242" s="52" t="s">
        <v>271</v>
      </c>
      <c r="B242" s="53">
        <f t="shared" ref="B242:D242" si="83">B243</f>
        <v>0</v>
      </c>
      <c r="C242" s="53">
        <f t="shared" si="83"/>
        <v>0</v>
      </c>
      <c r="D242" s="53">
        <f t="shared" si="83"/>
        <v>0</v>
      </c>
      <c r="E242" s="47"/>
      <c r="F242" s="47"/>
      <c r="G242" s="47"/>
      <c r="H242" s="47"/>
      <c r="I242" s="47"/>
      <c r="J242" s="47"/>
      <c r="K242" s="47"/>
    </row>
    <row r="243" spans="1:11" ht="12.75" customHeight="1" x14ac:dyDescent="0.2">
      <c r="A243" s="54" t="s">
        <v>272</v>
      </c>
      <c r="B243" s="55">
        <v>0</v>
      </c>
      <c r="C243" s="55">
        <v>0</v>
      </c>
      <c r="D243" s="55">
        <v>0</v>
      </c>
      <c r="E243" s="47"/>
      <c r="F243" s="47"/>
      <c r="G243" s="47"/>
      <c r="H243" s="47"/>
      <c r="I243" s="47"/>
      <c r="J243" s="47"/>
      <c r="K243" s="47"/>
    </row>
    <row r="244" spans="1:11" ht="12.75" customHeight="1" x14ac:dyDescent="0.2">
      <c r="A244" s="56" t="s">
        <v>247</v>
      </c>
      <c r="B244" s="57">
        <f t="shared" ref="B244:D244" si="84">B242+B237+B230</f>
        <v>822000</v>
      </c>
      <c r="C244" s="57">
        <f t="shared" si="84"/>
        <v>18523099</v>
      </c>
      <c r="D244" s="57">
        <f t="shared" si="84"/>
        <v>5653562</v>
      </c>
      <c r="E244" s="47"/>
      <c r="F244" s="47"/>
      <c r="G244" s="47"/>
      <c r="H244" s="47"/>
      <c r="I244" s="47"/>
      <c r="J244" s="47"/>
      <c r="K244" s="47"/>
    </row>
    <row r="245" spans="1:11" ht="12.75" customHeight="1" x14ac:dyDescent="0.2">
      <c r="A245" s="47"/>
      <c r="B245" s="47"/>
      <c r="C245" s="47"/>
      <c r="D245" s="47"/>
      <c r="E245" s="47"/>
      <c r="F245" s="47"/>
      <c r="G245" s="47"/>
      <c r="H245" s="47"/>
      <c r="I245" s="47"/>
      <c r="J245" s="47"/>
      <c r="K245" s="47"/>
    </row>
    <row r="246" spans="1:11" ht="12.75" customHeight="1" x14ac:dyDescent="0.2">
      <c r="A246" s="48" t="s">
        <v>278</v>
      </c>
      <c r="B246" s="47"/>
      <c r="C246" s="47"/>
      <c r="D246" s="47"/>
      <c r="E246" s="47"/>
      <c r="F246" s="47"/>
      <c r="G246" s="47"/>
      <c r="H246" s="47"/>
      <c r="I246" s="47"/>
      <c r="J246" s="47"/>
      <c r="K246" s="47"/>
    </row>
    <row r="247" spans="1:11" ht="12.75" customHeight="1" x14ac:dyDescent="0.2">
      <c r="A247" s="49" t="s">
        <v>273</v>
      </c>
      <c r="B247" s="50">
        <v>2019</v>
      </c>
      <c r="C247" s="50" t="s">
        <v>249</v>
      </c>
      <c r="D247" s="50" t="s">
        <v>250</v>
      </c>
      <c r="E247" s="47"/>
      <c r="F247" s="47"/>
      <c r="G247" s="47"/>
      <c r="H247" s="47"/>
      <c r="I247" s="47"/>
      <c r="J247" s="47"/>
      <c r="K247" s="47"/>
    </row>
    <row r="248" spans="1:11" ht="12.75" customHeight="1" x14ac:dyDescent="0.2">
      <c r="A248" s="52" t="s">
        <v>259</v>
      </c>
      <c r="B248" s="53">
        <f t="shared" ref="B248:D248" si="85">SUM(B249:B254)</f>
        <v>21954840</v>
      </c>
      <c r="C248" s="53">
        <f t="shared" si="85"/>
        <v>13667135</v>
      </c>
      <c r="D248" s="53">
        <f t="shared" si="85"/>
        <v>5653562</v>
      </c>
      <c r="E248" s="47"/>
      <c r="F248" s="47"/>
      <c r="G248" s="47"/>
      <c r="H248" s="47"/>
      <c r="I248" s="47"/>
      <c r="J248" s="47"/>
      <c r="K248" s="47"/>
    </row>
    <row r="249" spans="1:11" ht="12.75" customHeight="1" x14ac:dyDescent="0.2">
      <c r="A249" s="54" t="s">
        <v>260</v>
      </c>
      <c r="B249" s="55">
        <v>0</v>
      </c>
      <c r="C249" s="55">
        <v>0</v>
      </c>
      <c r="D249" s="55">
        <v>0</v>
      </c>
      <c r="E249" s="47"/>
      <c r="F249" s="47"/>
      <c r="G249" s="47"/>
      <c r="H249" s="47"/>
      <c r="I249" s="47"/>
      <c r="J249" s="47"/>
      <c r="K249" s="47"/>
    </row>
    <row r="250" spans="1:11" ht="12.75" customHeight="1" x14ac:dyDescent="0.2">
      <c r="A250" s="54" t="s">
        <v>261</v>
      </c>
      <c r="B250" s="55">
        <v>0</v>
      </c>
      <c r="C250" s="55">
        <v>0</v>
      </c>
      <c r="D250" s="55">
        <v>0</v>
      </c>
      <c r="E250" s="47"/>
      <c r="F250" s="47"/>
      <c r="G250" s="47"/>
      <c r="H250" s="47"/>
      <c r="I250" s="47"/>
      <c r="J250" s="47"/>
      <c r="K250" s="47"/>
    </row>
    <row r="251" spans="1:11" ht="12.75" customHeight="1" x14ac:dyDescent="0.2">
      <c r="A251" s="54" t="s">
        <v>262</v>
      </c>
      <c r="B251" s="55">
        <v>0</v>
      </c>
      <c r="C251" s="55">
        <v>0</v>
      </c>
      <c r="D251" s="55">
        <v>0</v>
      </c>
      <c r="E251" s="47"/>
      <c r="F251" s="47"/>
      <c r="G251" s="47"/>
      <c r="H251" s="47"/>
      <c r="I251" s="47"/>
      <c r="J251" s="47"/>
      <c r="K251" s="47"/>
    </row>
    <row r="252" spans="1:11" ht="12.75" customHeight="1" x14ac:dyDescent="0.2">
      <c r="A252" s="54" t="s">
        <v>263</v>
      </c>
      <c r="B252" s="55">
        <v>21841702</v>
      </c>
      <c r="C252" s="55">
        <v>13652493</v>
      </c>
      <c r="D252" s="55">
        <v>5653562</v>
      </c>
      <c r="E252" s="47"/>
      <c r="F252" s="47"/>
      <c r="G252" s="47"/>
      <c r="H252" s="47"/>
      <c r="I252" s="47"/>
      <c r="J252" s="47"/>
      <c r="K252" s="47"/>
    </row>
    <row r="253" spans="1:11" ht="12.75" customHeight="1" x14ac:dyDescent="0.2">
      <c r="A253" s="54" t="s">
        <v>264</v>
      </c>
      <c r="B253" s="55">
        <v>0</v>
      </c>
      <c r="C253" s="55">
        <v>0</v>
      </c>
      <c r="D253" s="55">
        <v>0</v>
      </c>
      <c r="E253" s="47"/>
      <c r="F253" s="47"/>
      <c r="G253" s="47"/>
      <c r="H253" s="47"/>
      <c r="I253" s="47"/>
      <c r="J253" s="47"/>
      <c r="K253" s="47"/>
    </row>
    <row r="254" spans="1:11" ht="12.75" customHeight="1" x14ac:dyDescent="0.2">
      <c r="A254" s="54" t="s">
        <v>265</v>
      </c>
      <c r="B254" s="55">
        <v>113138</v>
      </c>
      <c r="C254" s="55">
        <v>14642</v>
      </c>
      <c r="D254" s="55">
        <v>0</v>
      </c>
      <c r="E254" s="47"/>
      <c r="F254" s="47"/>
      <c r="G254" s="47"/>
      <c r="H254" s="47"/>
      <c r="I254" s="47"/>
      <c r="J254" s="47"/>
      <c r="K254" s="47"/>
    </row>
    <row r="255" spans="1:11" ht="12.75" customHeight="1" x14ac:dyDescent="0.2">
      <c r="A255" s="52" t="s">
        <v>266</v>
      </c>
      <c r="B255" s="53">
        <f t="shared" ref="B255:D255" si="86">SUM(B256:B259)</f>
        <v>13959116</v>
      </c>
      <c r="C255" s="53">
        <f t="shared" si="86"/>
        <v>6407395</v>
      </c>
      <c r="D255" s="53">
        <f t="shared" si="86"/>
        <v>0</v>
      </c>
      <c r="E255" s="47"/>
      <c r="F255" s="47"/>
      <c r="G255" s="47"/>
      <c r="H255" s="47"/>
      <c r="I255" s="47"/>
      <c r="J255" s="47"/>
      <c r="K255" s="47"/>
    </row>
    <row r="256" spans="1:11" ht="12.75" customHeight="1" x14ac:dyDescent="0.2">
      <c r="A256" s="54" t="s">
        <v>267</v>
      </c>
      <c r="B256" s="55">
        <v>3570000</v>
      </c>
      <c r="C256" s="55"/>
      <c r="D256" s="55">
        <v>0</v>
      </c>
      <c r="E256" s="47"/>
      <c r="F256" s="47"/>
      <c r="G256" s="47"/>
      <c r="H256" s="47"/>
      <c r="I256" s="47"/>
      <c r="J256" s="47"/>
      <c r="K256" s="47"/>
    </row>
    <row r="257" spans="1:11" ht="12.75" customHeight="1" x14ac:dyDescent="0.2">
      <c r="A257" s="54" t="s">
        <v>268</v>
      </c>
      <c r="B257" s="55">
        <v>2004277</v>
      </c>
      <c r="C257" s="55">
        <v>2582714</v>
      </c>
      <c r="D257" s="55">
        <v>0</v>
      </c>
      <c r="E257" s="47"/>
      <c r="F257" s="47"/>
      <c r="G257" s="47"/>
      <c r="H257" s="47"/>
      <c r="I257" s="47"/>
      <c r="J257" s="47"/>
      <c r="K257" s="47"/>
    </row>
    <row r="258" spans="1:11" ht="12.75" customHeight="1" x14ac:dyDescent="0.2">
      <c r="A258" s="54" t="s">
        <v>269</v>
      </c>
      <c r="B258" s="55">
        <v>8384839</v>
      </c>
      <c r="C258" s="55">
        <v>3824681</v>
      </c>
      <c r="D258" s="55">
        <v>0</v>
      </c>
      <c r="E258" s="47"/>
      <c r="F258" s="47"/>
      <c r="G258" s="47"/>
      <c r="H258" s="47"/>
      <c r="I258" s="47"/>
      <c r="J258" s="47"/>
      <c r="K258" s="47"/>
    </row>
    <row r="259" spans="1:11" ht="12.75" customHeight="1" x14ac:dyDescent="0.2">
      <c r="A259" s="54" t="s">
        <v>270</v>
      </c>
      <c r="B259" s="55">
        <v>0</v>
      </c>
      <c r="C259" s="55">
        <v>0</v>
      </c>
      <c r="D259" s="55">
        <v>0</v>
      </c>
      <c r="E259" s="47"/>
      <c r="F259" s="47"/>
      <c r="G259" s="47"/>
      <c r="H259" s="47"/>
      <c r="I259" s="47"/>
      <c r="J259" s="47"/>
      <c r="K259" s="47"/>
    </row>
    <row r="260" spans="1:11" ht="12.75" customHeight="1" x14ac:dyDescent="0.2">
      <c r="A260" s="52" t="s">
        <v>271</v>
      </c>
      <c r="B260" s="53">
        <f t="shared" ref="B260:D260" si="87">B261</f>
        <v>0</v>
      </c>
      <c r="C260" s="53">
        <f t="shared" si="87"/>
        <v>0</v>
      </c>
      <c r="D260" s="53">
        <f t="shared" si="87"/>
        <v>0</v>
      </c>
      <c r="E260" s="47"/>
      <c r="F260" s="47"/>
      <c r="G260" s="47"/>
      <c r="H260" s="47"/>
      <c r="I260" s="47"/>
      <c r="J260" s="47"/>
      <c r="K260" s="47"/>
    </row>
    <row r="261" spans="1:11" ht="12.75" customHeight="1" x14ac:dyDescent="0.2">
      <c r="A261" s="54" t="s">
        <v>272</v>
      </c>
      <c r="B261" s="55">
        <v>0</v>
      </c>
      <c r="C261" s="55">
        <v>0</v>
      </c>
      <c r="D261" s="55">
        <v>0</v>
      </c>
      <c r="E261" s="47"/>
      <c r="F261" s="47"/>
      <c r="G261" s="47"/>
      <c r="H261" s="47"/>
      <c r="I261" s="47"/>
      <c r="J261" s="47"/>
      <c r="K261" s="47"/>
    </row>
    <row r="262" spans="1:11" ht="12.75" customHeight="1" x14ac:dyDescent="0.2">
      <c r="A262" s="56" t="s">
        <v>251</v>
      </c>
      <c r="B262" s="57">
        <f t="shared" ref="B262:D262" si="88">B260+B255+B248</f>
        <v>35913956</v>
      </c>
      <c r="C262" s="57">
        <f t="shared" si="88"/>
        <v>20074530</v>
      </c>
      <c r="D262" s="57">
        <f t="shared" si="88"/>
        <v>5653562</v>
      </c>
      <c r="E262" s="47"/>
      <c r="F262" s="47"/>
      <c r="G262" s="47"/>
      <c r="H262" s="47"/>
      <c r="I262" s="47"/>
      <c r="J262" s="47"/>
      <c r="K262" s="47"/>
    </row>
    <row r="263" spans="1:11" ht="12.75" customHeight="1" x14ac:dyDescent="0.2">
      <c r="A263" s="47"/>
      <c r="B263" s="47"/>
      <c r="C263" s="47"/>
      <c r="D263" s="47"/>
      <c r="E263" s="47"/>
      <c r="F263" s="47"/>
      <c r="G263" s="47"/>
      <c r="H263" s="47"/>
      <c r="I263" s="47"/>
      <c r="J263" s="47"/>
      <c r="K263" s="47"/>
    </row>
    <row r="264" spans="1:11" ht="12.75" customHeight="1" x14ac:dyDescent="0.2">
      <c r="A264" s="48" t="s">
        <v>278</v>
      </c>
      <c r="B264" s="47"/>
      <c r="C264" s="47"/>
      <c r="D264" s="47"/>
      <c r="E264" s="47"/>
      <c r="F264" s="47"/>
      <c r="G264" s="47"/>
      <c r="H264" s="47"/>
      <c r="I264" s="47"/>
      <c r="J264" s="47"/>
      <c r="K264" s="47"/>
    </row>
    <row r="265" spans="1:11" ht="12.75" customHeight="1" x14ac:dyDescent="0.2">
      <c r="A265" s="49" t="s">
        <v>274</v>
      </c>
      <c r="B265" s="50">
        <v>2019</v>
      </c>
      <c r="C265" s="50" t="s">
        <v>249</v>
      </c>
      <c r="D265" s="50" t="s">
        <v>250</v>
      </c>
      <c r="E265" s="47"/>
      <c r="F265" s="47"/>
      <c r="G265" s="47"/>
      <c r="H265" s="47"/>
      <c r="I265" s="47"/>
      <c r="J265" s="47"/>
      <c r="K265" s="47"/>
    </row>
    <row r="266" spans="1:11" ht="12.75" customHeight="1" x14ac:dyDescent="0.2">
      <c r="A266" s="52" t="s">
        <v>259</v>
      </c>
      <c r="B266" s="53">
        <f t="shared" ref="B266:D266" si="89">SUM(B267:B272)</f>
        <v>12133950.439999998</v>
      </c>
      <c r="C266" s="53">
        <f t="shared" si="89"/>
        <v>12535178.661300659</v>
      </c>
      <c r="D266" s="53">
        <f t="shared" si="89"/>
        <v>5653562</v>
      </c>
      <c r="E266" s="47"/>
      <c r="F266" s="47"/>
      <c r="G266" s="47"/>
      <c r="H266" s="47"/>
      <c r="I266" s="47"/>
      <c r="J266" s="47"/>
      <c r="K266" s="47"/>
    </row>
    <row r="267" spans="1:11" ht="12.75" customHeight="1" x14ac:dyDescent="0.2">
      <c r="A267" s="54" t="s">
        <v>260</v>
      </c>
      <c r="B267" s="55">
        <v>0</v>
      </c>
      <c r="C267" s="55"/>
      <c r="D267" s="55">
        <v>0</v>
      </c>
      <c r="E267" s="47"/>
      <c r="F267" s="47"/>
      <c r="G267" s="47"/>
      <c r="H267" s="47"/>
      <c r="I267" s="47"/>
      <c r="J267" s="47"/>
      <c r="K267" s="47"/>
    </row>
    <row r="268" spans="1:11" ht="12.75" customHeight="1" x14ac:dyDescent="0.2">
      <c r="A268" s="54" t="s">
        <v>261</v>
      </c>
      <c r="B268" s="55">
        <v>0</v>
      </c>
      <c r="C268" s="55"/>
      <c r="D268" s="55">
        <v>0</v>
      </c>
      <c r="E268" s="47"/>
      <c r="F268" s="47"/>
      <c r="G268" s="47"/>
      <c r="H268" s="47"/>
      <c r="I268" s="47"/>
      <c r="J268" s="47"/>
      <c r="K268" s="47"/>
    </row>
    <row r="269" spans="1:11" ht="12.75" customHeight="1" x14ac:dyDescent="0.2">
      <c r="A269" s="54" t="s">
        <v>262</v>
      </c>
      <c r="B269" s="55">
        <v>0</v>
      </c>
      <c r="C269" s="55"/>
      <c r="D269" s="55">
        <v>0</v>
      </c>
      <c r="E269" s="47"/>
      <c r="F269" s="47"/>
      <c r="G269" s="47"/>
      <c r="H269" s="47"/>
      <c r="I269" s="47"/>
      <c r="J269" s="47"/>
      <c r="K269" s="47"/>
    </row>
    <row r="270" spans="1:11" ht="12.75" customHeight="1" x14ac:dyDescent="0.2">
      <c r="A270" s="54" t="s">
        <v>263</v>
      </c>
      <c r="B270" s="55">
        <v>12081218.369999997</v>
      </c>
      <c r="C270" s="55">
        <v>12520536.661300659</v>
      </c>
      <c r="D270" s="55">
        <v>5653562</v>
      </c>
      <c r="E270" s="47"/>
      <c r="F270" s="47"/>
      <c r="G270" s="47"/>
      <c r="H270" s="47"/>
      <c r="I270" s="47"/>
      <c r="J270" s="47"/>
      <c r="K270" s="47"/>
    </row>
    <row r="271" spans="1:11" ht="12.75" customHeight="1" x14ac:dyDescent="0.2">
      <c r="A271" s="54" t="s">
        <v>264</v>
      </c>
      <c r="B271" s="55">
        <v>0</v>
      </c>
      <c r="C271" s="55"/>
      <c r="D271" s="55">
        <v>0</v>
      </c>
      <c r="E271" s="47"/>
      <c r="F271" s="47"/>
      <c r="G271" s="47"/>
      <c r="H271" s="47"/>
      <c r="I271" s="47"/>
      <c r="J271" s="47"/>
      <c r="K271" s="47"/>
    </row>
    <row r="272" spans="1:11" ht="12.75" customHeight="1" x14ac:dyDescent="0.2">
      <c r="A272" s="54" t="s">
        <v>265</v>
      </c>
      <c r="B272" s="55">
        <v>52732.07</v>
      </c>
      <c r="C272" s="55">
        <v>14642</v>
      </c>
      <c r="D272" s="55">
        <v>0</v>
      </c>
      <c r="E272" s="47"/>
      <c r="F272" s="47"/>
      <c r="G272" s="47"/>
      <c r="H272" s="47"/>
      <c r="I272" s="47"/>
      <c r="J272" s="47"/>
      <c r="K272" s="47"/>
    </row>
    <row r="273" spans="1:11" ht="12.75" customHeight="1" x14ac:dyDescent="0.2">
      <c r="A273" s="52" t="s">
        <v>266</v>
      </c>
      <c r="B273" s="53">
        <f t="shared" ref="B273:D273" si="90">SUM(B274:B277)</f>
        <v>8828838.6999999993</v>
      </c>
      <c r="C273" s="53">
        <f t="shared" si="90"/>
        <v>6407395</v>
      </c>
      <c r="D273" s="53">
        <f t="shared" si="90"/>
        <v>0</v>
      </c>
      <c r="E273" s="47"/>
      <c r="F273" s="47"/>
      <c r="G273" s="47"/>
      <c r="H273" s="47"/>
      <c r="I273" s="47"/>
      <c r="J273" s="47"/>
      <c r="K273" s="47"/>
    </row>
    <row r="274" spans="1:11" ht="12.75" customHeight="1" x14ac:dyDescent="0.2">
      <c r="A274" s="54" t="s">
        <v>267</v>
      </c>
      <c r="B274" s="55">
        <v>3570000</v>
      </c>
      <c r="C274" s="55"/>
      <c r="D274" s="55">
        <v>0</v>
      </c>
      <c r="E274" s="47"/>
      <c r="F274" s="47"/>
      <c r="G274" s="47"/>
      <c r="H274" s="47"/>
      <c r="I274" s="47"/>
      <c r="J274" s="47"/>
      <c r="K274" s="47"/>
    </row>
    <row r="275" spans="1:11" ht="12.75" customHeight="1" x14ac:dyDescent="0.2">
      <c r="A275" s="54" t="s">
        <v>268</v>
      </c>
      <c r="B275" s="55">
        <v>2004276.85</v>
      </c>
      <c r="C275" s="55">
        <v>2582714</v>
      </c>
      <c r="D275" s="55">
        <v>0</v>
      </c>
      <c r="E275" s="47"/>
      <c r="F275" s="47"/>
      <c r="G275" s="47"/>
      <c r="H275" s="47"/>
      <c r="I275" s="47"/>
      <c r="J275" s="47"/>
      <c r="K275" s="47"/>
    </row>
    <row r="276" spans="1:11" ht="12.75" customHeight="1" x14ac:dyDescent="0.2">
      <c r="A276" s="54" t="s">
        <v>269</v>
      </c>
      <c r="B276" s="55">
        <v>3254561.85</v>
      </c>
      <c r="C276" s="55">
        <v>3824681</v>
      </c>
      <c r="D276" s="55">
        <v>0</v>
      </c>
      <c r="E276" s="47"/>
      <c r="F276" s="47"/>
      <c r="G276" s="47"/>
      <c r="H276" s="47"/>
      <c r="I276" s="47"/>
      <c r="J276" s="47"/>
      <c r="K276" s="47"/>
    </row>
    <row r="277" spans="1:11" ht="12.75" customHeight="1" x14ac:dyDescent="0.2">
      <c r="A277" s="54" t="s">
        <v>270</v>
      </c>
      <c r="B277" s="55">
        <v>0</v>
      </c>
      <c r="C277" s="55"/>
      <c r="D277" s="55">
        <v>0</v>
      </c>
      <c r="E277" s="47"/>
      <c r="F277" s="47"/>
      <c r="G277" s="47"/>
      <c r="H277" s="47"/>
      <c r="I277" s="47"/>
      <c r="J277" s="47"/>
      <c r="K277" s="47"/>
    </row>
    <row r="278" spans="1:11" ht="12.75" customHeight="1" x14ac:dyDescent="0.2">
      <c r="A278" s="52" t="s">
        <v>271</v>
      </c>
      <c r="B278" s="53">
        <f t="shared" ref="B278:D278" si="91">B279</f>
        <v>0</v>
      </c>
      <c r="C278" s="53">
        <f t="shared" si="91"/>
        <v>0</v>
      </c>
      <c r="D278" s="53">
        <f t="shared" si="91"/>
        <v>0</v>
      </c>
      <c r="E278" s="47"/>
      <c r="F278" s="47"/>
      <c r="G278" s="47"/>
      <c r="H278" s="47"/>
      <c r="I278" s="47"/>
      <c r="J278" s="47"/>
      <c r="K278" s="47"/>
    </row>
    <row r="279" spans="1:11" ht="12.75" customHeight="1" x14ac:dyDescent="0.2">
      <c r="A279" s="54" t="s">
        <v>272</v>
      </c>
      <c r="B279" s="55">
        <v>0</v>
      </c>
      <c r="C279" s="55"/>
      <c r="D279" s="55">
        <v>0</v>
      </c>
      <c r="E279" s="47"/>
      <c r="F279" s="47"/>
      <c r="G279" s="47"/>
      <c r="H279" s="47"/>
      <c r="I279" s="47"/>
      <c r="J279" s="47"/>
      <c r="K279" s="47"/>
    </row>
    <row r="280" spans="1:11" ht="12.75" customHeight="1" x14ac:dyDescent="0.2">
      <c r="A280" s="60" t="s">
        <v>253</v>
      </c>
      <c r="B280" s="57">
        <f t="shared" ref="B280:D280" si="92">B278+B273+B266</f>
        <v>20962789.139999997</v>
      </c>
      <c r="C280" s="57">
        <f t="shared" si="92"/>
        <v>18942573.661300659</v>
      </c>
      <c r="D280" s="57">
        <f t="shared" si="92"/>
        <v>5653562</v>
      </c>
      <c r="E280" s="47"/>
      <c r="F280" s="47"/>
      <c r="G280" s="47"/>
      <c r="H280" s="47"/>
      <c r="I280" s="47"/>
      <c r="J280" s="47"/>
      <c r="K280" s="47"/>
    </row>
    <row r="281" spans="1:11" ht="12.75" customHeight="1" x14ac:dyDescent="0.2">
      <c r="A281" s="61" t="s">
        <v>254</v>
      </c>
      <c r="B281" s="47"/>
      <c r="C281" s="47"/>
      <c r="D281" s="47"/>
      <c r="E281" s="47"/>
      <c r="F281" s="47"/>
      <c r="G281" s="47"/>
      <c r="H281" s="47"/>
      <c r="I281" s="47"/>
      <c r="J281" s="47"/>
      <c r="K281" s="47"/>
    </row>
    <row r="282" spans="1:11" ht="12.75" customHeight="1" x14ac:dyDescent="0.2">
      <c r="A282" s="62" t="s">
        <v>255</v>
      </c>
      <c r="B282" s="47"/>
      <c r="C282" s="47"/>
      <c r="D282" s="47"/>
      <c r="E282" s="47"/>
      <c r="F282" s="47"/>
      <c r="G282" s="47"/>
      <c r="H282" s="47"/>
      <c r="I282" s="47"/>
      <c r="J282" s="47"/>
      <c r="K282" s="47"/>
    </row>
    <row r="283" spans="1:11" ht="12.75" customHeight="1" x14ac:dyDescent="0.2">
      <c r="A283" s="47"/>
      <c r="B283" s="47"/>
      <c r="C283" s="47"/>
      <c r="D283" s="47"/>
      <c r="E283" s="47"/>
      <c r="F283" s="47"/>
      <c r="G283" s="47"/>
      <c r="H283" s="47"/>
      <c r="I283" s="47"/>
      <c r="J283" s="47"/>
      <c r="K283" s="47"/>
    </row>
    <row r="284" spans="1:11" ht="12.75" customHeight="1" x14ac:dyDescent="0.2">
      <c r="A284" s="48" t="s">
        <v>279</v>
      </c>
      <c r="B284" s="47"/>
      <c r="C284" s="47"/>
      <c r="D284" s="47"/>
      <c r="E284" s="47"/>
      <c r="F284" s="47"/>
      <c r="G284" s="47"/>
      <c r="H284" s="47"/>
      <c r="I284" s="47"/>
      <c r="J284" s="47"/>
      <c r="K284" s="47"/>
    </row>
    <row r="285" spans="1:11" ht="12.75" customHeight="1" x14ac:dyDescent="0.2">
      <c r="A285" s="49" t="s">
        <v>258</v>
      </c>
      <c r="B285" s="50">
        <v>2019</v>
      </c>
      <c r="C285" s="50">
        <v>2020</v>
      </c>
      <c r="D285" s="50">
        <v>2021</v>
      </c>
      <c r="E285" s="47"/>
      <c r="F285" s="47"/>
      <c r="G285" s="47"/>
      <c r="H285" s="47"/>
      <c r="I285" s="47"/>
      <c r="J285" s="47"/>
      <c r="K285" s="47"/>
    </row>
    <row r="286" spans="1:11" ht="12.75" customHeight="1" x14ac:dyDescent="0.2">
      <c r="A286" s="52" t="s">
        <v>259</v>
      </c>
      <c r="B286" s="53">
        <f t="shared" ref="B286:D286" si="93">SUM(B287:B292)</f>
        <v>0</v>
      </c>
      <c r="C286" s="53">
        <f t="shared" si="93"/>
        <v>0</v>
      </c>
      <c r="D286" s="53">
        <f t="shared" si="93"/>
        <v>0</v>
      </c>
      <c r="E286" s="47"/>
      <c r="F286" s="47"/>
      <c r="G286" s="47"/>
      <c r="H286" s="47"/>
      <c r="I286" s="47"/>
      <c r="J286" s="47"/>
      <c r="K286" s="47"/>
    </row>
    <row r="287" spans="1:11" ht="12.75" customHeight="1" x14ac:dyDescent="0.2">
      <c r="A287" s="54" t="s">
        <v>260</v>
      </c>
      <c r="B287" s="55">
        <v>0</v>
      </c>
      <c r="C287" s="55">
        <v>0</v>
      </c>
      <c r="D287" s="55">
        <v>0</v>
      </c>
      <c r="E287" s="47"/>
      <c r="F287" s="47"/>
      <c r="G287" s="47"/>
      <c r="H287" s="47"/>
      <c r="I287" s="47"/>
      <c r="J287" s="47"/>
      <c r="K287" s="47"/>
    </row>
    <row r="288" spans="1:11" ht="12.75" customHeight="1" x14ac:dyDescent="0.2">
      <c r="A288" s="54" t="s">
        <v>261</v>
      </c>
      <c r="B288" s="55">
        <v>0</v>
      </c>
      <c r="C288" s="55">
        <v>0</v>
      </c>
      <c r="D288" s="55">
        <v>0</v>
      </c>
      <c r="E288" s="47"/>
      <c r="F288" s="47"/>
      <c r="G288" s="47"/>
      <c r="H288" s="47"/>
      <c r="I288" s="47"/>
      <c r="J288" s="47"/>
      <c r="K288" s="47"/>
    </row>
    <row r="289" spans="1:11" ht="12.75" customHeight="1" x14ac:dyDescent="0.2">
      <c r="A289" s="54" t="s">
        <v>262</v>
      </c>
      <c r="B289" s="55">
        <v>0</v>
      </c>
      <c r="C289" s="55">
        <v>0</v>
      </c>
      <c r="D289" s="55">
        <v>0</v>
      </c>
      <c r="E289" s="47"/>
      <c r="F289" s="47"/>
      <c r="G289" s="47"/>
      <c r="H289" s="47"/>
      <c r="I289" s="47"/>
      <c r="J289" s="47"/>
      <c r="K289" s="47"/>
    </row>
    <row r="290" spans="1:11" ht="12.75" customHeight="1" x14ac:dyDescent="0.2">
      <c r="A290" s="54" t="s">
        <v>263</v>
      </c>
      <c r="B290" s="55">
        <v>0</v>
      </c>
      <c r="C290" s="55">
        <v>0</v>
      </c>
      <c r="D290" s="55">
        <v>0</v>
      </c>
      <c r="E290" s="47"/>
      <c r="F290" s="47"/>
      <c r="G290" s="47"/>
      <c r="H290" s="47"/>
      <c r="I290" s="47"/>
      <c r="J290" s="47"/>
      <c r="K290" s="47"/>
    </row>
    <row r="291" spans="1:11" ht="12.75" customHeight="1" x14ac:dyDescent="0.2">
      <c r="A291" s="54" t="s">
        <v>264</v>
      </c>
      <c r="B291" s="55">
        <v>0</v>
      </c>
      <c r="C291" s="55">
        <v>0</v>
      </c>
      <c r="D291" s="55">
        <v>0</v>
      </c>
      <c r="E291" s="47"/>
      <c r="F291" s="47"/>
      <c r="G291" s="47"/>
      <c r="H291" s="47"/>
      <c r="I291" s="47"/>
      <c r="J291" s="47"/>
      <c r="K291" s="47"/>
    </row>
    <row r="292" spans="1:11" ht="12.75" customHeight="1" x14ac:dyDescent="0.2">
      <c r="A292" s="54" t="s">
        <v>265</v>
      </c>
      <c r="B292" s="55">
        <v>0</v>
      </c>
      <c r="C292" s="55">
        <v>0</v>
      </c>
      <c r="D292" s="55">
        <v>0</v>
      </c>
      <c r="E292" s="47"/>
      <c r="F292" s="47"/>
      <c r="G292" s="47"/>
      <c r="H292" s="47"/>
      <c r="I292" s="47"/>
      <c r="J292" s="47"/>
      <c r="K292" s="47"/>
    </row>
    <row r="293" spans="1:11" ht="12.75" customHeight="1" x14ac:dyDescent="0.2">
      <c r="A293" s="52" t="s">
        <v>266</v>
      </c>
      <c r="B293" s="53">
        <f t="shared" ref="B293:D293" si="94">SUM(B294:B297)</f>
        <v>10500000</v>
      </c>
      <c r="C293" s="53">
        <f t="shared" si="94"/>
        <v>0</v>
      </c>
      <c r="D293" s="53">
        <f t="shared" si="94"/>
        <v>0</v>
      </c>
      <c r="E293" s="47"/>
      <c r="F293" s="47"/>
      <c r="G293" s="47"/>
      <c r="H293" s="47"/>
      <c r="I293" s="47"/>
      <c r="J293" s="47"/>
      <c r="K293" s="47"/>
    </row>
    <row r="294" spans="1:11" ht="12.75" customHeight="1" x14ac:dyDescent="0.2">
      <c r="A294" s="54" t="s">
        <v>267</v>
      </c>
      <c r="B294" s="55">
        <v>0</v>
      </c>
      <c r="C294" s="55">
        <v>0</v>
      </c>
      <c r="D294" s="55">
        <v>0</v>
      </c>
      <c r="E294" s="47"/>
      <c r="F294" s="47"/>
      <c r="G294" s="47"/>
      <c r="H294" s="47"/>
      <c r="I294" s="47"/>
      <c r="J294" s="47"/>
      <c r="K294" s="47"/>
    </row>
    <row r="295" spans="1:11" ht="12.75" customHeight="1" x14ac:dyDescent="0.2">
      <c r="A295" s="54" t="s">
        <v>268</v>
      </c>
      <c r="B295" s="55">
        <v>0</v>
      </c>
      <c r="C295" s="55">
        <v>0</v>
      </c>
      <c r="D295" s="55">
        <v>0</v>
      </c>
      <c r="E295" s="47"/>
      <c r="F295" s="47"/>
      <c r="G295" s="47"/>
      <c r="H295" s="47"/>
      <c r="I295" s="47"/>
      <c r="J295" s="47"/>
      <c r="K295" s="47"/>
    </row>
    <row r="296" spans="1:11" ht="12.75" customHeight="1" x14ac:dyDescent="0.2">
      <c r="A296" s="54" t="s">
        <v>269</v>
      </c>
      <c r="B296" s="55">
        <v>10500000</v>
      </c>
      <c r="C296" s="55">
        <v>0</v>
      </c>
      <c r="D296" s="55">
        <v>0</v>
      </c>
      <c r="E296" s="47"/>
      <c r="F296" s="47"/>
      <c r="G296" s="47"/>
      <c r="H296" s="47"/>
      <c r="I296" s="47"/>
      <c r="J296" s="47"/>
      <c r="K296" s="47"/>
    </row>
    <row r="297" spans="1:11" ht="12.75" customHeight="1" x14ac:dyDescent="0.2">
      <c r="A297" s="54" t="s">
        <v>270</v>
      </c>
      <c r="B297" s="55">
        <v>0</v>
      </c>
      <c r="C297" s="55">
        <v>0</v>
      </c>
      <c r="D297" s="55">
        <v>0</v>
      </c>
      <c r="E297" s="47"/>
      <c r="F297" s="47"/>
      <c r="G297" s="47"/>
      <c r="H297" s="47"/>
      <c r="I297" s="47"/>
      <c r="J297" s="47"/>
      <c r="K297" s="47"/>
    </row>
    <row r="298" spans="1:11" ht="12.75" customHeight="1" x14ac:dyDescent="0.2">
      <c r="A298" s="52" t="s">
        <v>271</v>
      </c>
      <c r="B298" s="53">
        <f t="shared" ref="B298:D298" si="95">B299</f>
        <v>0</v>
      </c>
      <c r="C298" s="53">
        <f t="shared" si="95"/>
        <v>0</v>
      </c>
      <c r="D298" s="53">
        <f t="shared" si="95"/>
        <v>0</v>
      </c>
      <c r="E298" s="47"/>
      <c r="F298" s="47"/>
      <c r="G298" s="47"/>
      <c r="H298" s="47"/>
      <c r="I298" s="47"/>
      <c r="J298" s="47"/>
      <c r="K298" s="47"/>
    </row>
    <row r="299" spans="1:11" ht="12.75" customHeight="1" x14ac:dyDescent="0.2">
      <c r="A299" s="54" t="s">
        <v>272</v>
      </c>
      <c r="B299" s="55">
        <v>0</v>
      </c>
      <c r="C299" s="55">
        <v>0</v>
      </c>
      <c r="D299" s="55">
        <v>0</v>
      </c>
      <c r="E299" s="47"/>
      <c r="F299" s="47"/>
      <c r="G299" s="47"/>
      <c r="H299" s="47"/>
      <c r="I299" s="47"/>
      <c r="J299" s="47"/>
      <c r="K299" s="47"/>
    </row>
    <row r="300" spans="1:11" ht="12.75" customHeight="1" x14ac:dyDescent="0.2">
      <c r="A300" s="56" t="s">
        <v>247</v>
      </c>
      <c r="B300" s="57">
        <f t="shared" ref="B300:D300" si="96">B298+B293+B286</f>
        <v>10500000</v>
      </c>
      <c r="C300" s="57">
        <f t="shared" si="96"/>
        <v>0</v>
      </c>
      <c r="D300" s="57">
        <f t="shared" si="96"/>
        <v>0</v>
      </c>
      <c r="E300" s="47"/>
      <c r="F300" s="47"/>
      <c r="G300" s="47"/>
      <c r="H300" s="47"/>
      <c r="I300" s="47"/>
      <c r="J300" s="47"/>
      <c r="K300" s="47"/>
    </row>
    <row r="301" spans="1:11" ht="12.75" customHeight="1" x14ac:dyDescent="0.2">
      <c r="A301" s="47"/>
      <c r="B301" s="47"/>
      <c r="C301" s="47"/>
      <c r="D301" s="47"/>
      <c r="E301" s="47"/>
      <c r="F301" s="47"/>
      <c r="G301" s="47"/>
      <c r="H301" s="47"/>
      <c r="I301" s="47"/>
      <c r="J301" s="47"/>
      <c r="K301" s="47"/>
    </row>
    <row r="302" spans="1:11" ht="12.75" customHeight="1" x14ac:dyDescent="0.2">
      <c r="A302" s="48" t="s">
        <v>279</v>
      </c>
      <c r="B302" s="47"/>
      <c r="C302" s="47"/>
      <c r="D302" s="47"/>
      <c r="E302" s="47"/>
      <c r="F302" s="47"/>
      <c r="G302" s="47"/>
      <c r="H302" s="47"/>
      <c r="I302" s="47"/>
      <c r="J302" s="47"/>
      <c r="K302" s="47"/>
    </row>
    <row r="303" spans="1:11" ht="12.75" customHeight="1" x14ac:dyDescent="0.2">
      <c r="A303" s="49" t="s">
        <v>273</v>
      </c>
      <c r="B303" s="50">
        <v>2019</v>
      </c>
      <c r="C303" s="50" t="s">
        <v>249</v>
      </c>
      <c r="D303" s="50" t="s">
        <v>250</v>
      </c>
      <c r="E303" s="47"/>
      <c r="F303" s="47"/>
      <c r="G303" s="47"/>
      <c r="H303" s="47"/>
      <c r="I303" s="47"/>
      <c r="J303" s="47"/>
      <c r="K303" s="47"/>
    </row>
    <row r="304" spans="1:11" ht="12.75" customHeight="1" x14ac:dyDescent="0.2">
      <c r="A304" s="52" t="s">
        <v>259</v>
      </c>
      <c r="B304" s="53">
        <f t="shared" ref="B304:D304" si="97">SUM(B305:B310)</f>
        <v>2711747</v>
      </c>
      <c r="C304" s="53">
        <f t="shared" si="97"/>
        <v>0</v>
      </c>
      <c r="D304" s="53">
        <f t="shared" si="97"/>
        <v>0</v>
      </c>
      <c r="E304" s="47"/>
      <c r="F304" s="47"/>
      <c r="G304" s="47"/>
      <c r="H304" s="47"/>
      <c r="I304" s="47"/>
      <c r="J304" s="47"/>
      <c r="K304" s="47"/>
    </row>
    <row r="305" spans="1:11" ht="12.75" customHeight="1" x14ac:dyDescent="0.2">
      <c r="A305" s="54" t="s">
        <v>260</v>
      </c>
      <c r="B305" s="55">
        <v>0</v>
      </c>
      <c r="C305" s="55">
        <v>0</v>
      </c>
      <c r="D305" s="55">
        <v>0</v>
      </c>
      <c r="E305" s="47"/>
      <c r="F305" s="47"/>
      <c r="G305" s="47"/>
      <c r="H305" s="47"/>
      <c r="I305" s="47"/>
      <c r="J305" s="47"/>
      <c r="K305" s="47"/>
    </row>
    <row r="306" spans="1:11" ht="12.75" customHeight="1" x14ac:dyDescent="0.2">
      <c r="A306" s="54" t="s">
        <v>261</v>
      </c>
      <c r="B306" s="55">
        <v>0</v>
      </c>
      <c r="C306" s="55">
        <v>0</v>
      </c>
      <c r="D306" s="55">
        <v>0</v>
      </c>
      <c r="E306" s="47"/>
      <c r="F306" s="47"/>
      <c r="G306" s="47"/>
      <c r="H306" s="47"/>
      <c r="I306" s="47"/>
      <c r="J306" s="47"/>
      <c r="K306" s="47"/>
    </row>
    <row r="307" spans="1:11" ht="12.75" customHeight="1" x14ac:dyDescent="0.2">
      <c r="A307" s="54" t="s">
        <v>262</v>
      </c>
      <c r="B307" s="55">
        <v>0</v>
      </c>
      <c r="C307" s="55">
        <v>0</v>
      </c>
      <c r="D307" s="55">
        <v>0</v>
      </c>
      <c r="E307" s="47"/>
      <c r="F307" s="47"/>
      <c r="G307" s="47"/>
      <c r="H307" s="47"/>
      <c r="I307" s="47"/>
      <c r="J307" s="47"/>
      <c r="K307" s="47"/>
    </row>
    <row r="308" spans="1:11" ht="12.75" customHeight="1" x14ac:dyDescent="0.2">
      <c r="A308" s="54" t="s">
        <v>263</v>
      </c>
      <c r="B308" s="55">
        <v>2711747</v>
      </c>
      <c r="C308" s="55">
        <v>0</v>
      </c>
      <c r="D308" s="55">
        <v>0</v>
      </c>
      <c r="E308" s="47"/>
      <c r="F308" s="47"/>
      <c r="G308" s="47"/>
      <c r="H308" s="47"/>
      <c r="I308" s="47"/>
      <c r="J308" s="47"/>
      <c r="K308" s="47"/>
    </row>
    <row r="309" spans="1:11" ht="12.75" customHeight="1" x14ac:dyDescent="0.2">
      <c r="A309" s="54" t="s">
        <v>264</v>
      </c>
      <c r="B309" s="55">
        <v>0</v>
      </c>
      <c r="C309" s="55">
        <v>0</v>
      </c>
      <c r="D309" s="55">
        <v>0</v>
      </c>
      <c r="E309" s="47"/>
      <c r="F309" s="47"/>
      <c r="G309" s="47"/>
      <c r="H309" s="47"/>
      <c r="I309" s="47"/>
      <c r="J309" s="47"/>
      <c r="K309" s="47"/>
    </row>
    <row r="310" spans="1:11" ht="12.75" customHeight="1" x14ac:dyDescent="0.2">
      <c r="A310" s="54" t="s">
        <v>265</v>
      </c>
      <c r="B310" s="55">
        <v>0</v>
      </c>
      <c r="C310" s="55">
        <v>0</v>
      </c>
      <c r="D310" s="55">
        <v>0</v>
      </c>
      <c r="E310" s="47"/>
      <c r="F310" s="47"/>
      <c r="G310" s="47"/>
      <c r="H310" s="47"/>
      <c r="I310" s="47"/>
      <c r="J310" s="47"/>
      <c r="K310" s="47"/>
    </row>
    <row r="311" spans="1:11" ht="12.75" customHeight="1" x14ac:dyDescent="0.2">
      <c r="A311" s="52" t="s">
        <v>266</v>
      </c>
      <c r="B311" s="53">
        <f t="shared" ref="B311:D311" si="98">SUM(B312:B315)</f>
        <v>31154027</v>
      </c>
      <c r="C311" s="53">
        <f t="shared" si="98"/>
        <v>2661340</v>
      </c>
      <c r="D311" s="53">
        <f t="shared" si="98"/>
        <v>0</v>
      </c>
      <c r="E311" s="47"/>
      <c r="F311" s="47"/>
      <c r="G311" s="47"/>
      <c r="H311" s="47"/>
      <c r="I311" s="47"/>
      <c r="J311" s="47"/>
      <c r="K311" s="47"/>
    </row>
    <row r="312" spans="1:11" ht="12.75" customHeight="1" x14ac:dyDescent="0.2">
      <c r="A312" s="54" t="s">
        <v>267</v>
      </c>
      <c r="B312" s="55">
        <v>0</v>
      </c>
      <c r="C312" s="55">
        <v>0</v>
      </c>
      <c r="D312" s="55">
        <v>0</v>
      </c>
      <c r="E312" s="47"/>
      <c r="F312" s="47"/>
      <c r="G312" s="47"/>
      <c r="H312" s="47"/>
      <c r="I312" s="47"/>
      <c r="J312" s="47"/>
      <c r="K312" s="47"/>
    </row>
    <row r="313" spans="1:11" ht="12.75" customHeight="1" x14ac:dyDescent="0.2">
      <c r="A313" s="54" t="s">
        <v>268</v>
      </c>
      <c r="B313" s="55">
        <v>0</v>
      </c>
      <c r="C313" s="55">
        <v>0</v>
      </c>
      <c r="D313" s="55">
        <v>0</v>
      </c>
      <c r="E313" s="47"/>
      <c r="F313" s="47"/>
      <c r="G313" s="47"/>
      <c r="H313" s="47"/>
      <c r="I313" s="47"/>
      <c r="J313" s="47"/>
      <c r="K313" s="47"/>
    </row>
    <row r="314" spans="1:11" ht="12.75" customHeight="1" x14ac:dyDescent="0.2">
      <c r="A314" s="54" t="s">
        <v>269</v>
      </c>
      <c r="B314" s="55">
        <v>31154027</v>
      </c>
      <c r="C314" s="55">
        <v>2661340</v>
      </c>
      <c r="D314" s="55">
        <v>0</v>
      </c>
      <c r="E314" s="47"/>
      <c r="F314" s="47"/>
      <c r="G314" s="47"/>
      <c r="H314" s="47"/>
      <c r="I314" s="47"/>
      <c r="J314" s="47"/>
      <c r="K314" s="47"/>
    </row>
    <row r="315" spans="1:11" ht="12.75" customHeight="1" x14ac:dyDescent="0.2">
      <c r="A315" s="54" t="s">
        <v>270</v>
      </c>
      <c r="B315" s="55">
        <v>0</v>
      </c>
      <c r="C315" s="55">
        <v>0</v>
      </c>
      <c r="D315" s="55">
        <v>0</v>
      </c>
      <c r="E315" s="47"/>
      <c r="F315" s="47"/>
      <c r="G315" s="47"/>
      <c r="H315" s="47"/>
      <c r="I315" s="47"/>
      <c r="J315" s="47"/>
      <c r="K315" s="47"/>
    </row>
    <row r="316" spans="1:11" ht="12.75" customHeight="1" x14ac:dyDescent="0.2">
      <c r="A316" s="52" t="s">
        <v>271</v>
      </c>
      <c r="B316" s="53">
        <f t="shared" ref="B316:D316" si="99">B317</f>
        <v>0</v>
      </c>
      <c r="C316" s="53">
        <f t="shared" si="99"/>
        <v>0</v>
      </c>
      <c r="D316" s="53">
        <f t="shared" si="99"/>
        <v>0</v>
      </c>
      <c r="E316" s="47"/>
      <c r="F316" s="47"/>
      <c r="G316" s="47"/>
      <c r="H316" s="47"/>
      <c r="I316" s="47"/>
      <c r="J316" s="47"/>
      <c r="K316" s="47"/>
    </row>
    <row r="317" spans="1:11" ht="12.75" customHeight="1" x14ac:dyDescent="0.2">
      <c r="A317" s="54" t="s">
        <v>272</v>
      </c>
      <c r="B317" s="55">
        <v>0</v>
      </c>
      <c r="C317" s="55">
        <v>0</v>
      </c>
      <c r="D317" s="55">
        <v>0</v>
      </c>
      <c r="E317" s="47"/>
      <c r="F317" s="47"/>
      <c r="G317" s="47"/>
      <c r="H317" s="47"/>
      <c r="I317" s="47"/>
      <c r="J317" s="47"/>
      <c r="K317" s="47"/>
    </row>
    <row r="318" spans="1:11" ht="12.75" customHeight="1" x14ac:dyDescent="0.2">
      <c r="A318" s="56" t="s">
        <v>251</v>
      </c>
      <c r="B318" s="57">
        <f t="shared" ref="B318:D318" si="100">B316+B311+B304</f>
        <v>33865774</v>
      </c>
      <c r="C318" s="57">
        <f t="shared" si="100"/>
        <v>2661340</v>
      </c>
      <c r="D318" s="57">
        <f t="shared" si="100"/>
        <v>0</v>
      </c>
      <c r="E318" s="47"/>
      <c r="F318" s="47"/>
      <c r="G318" s="47"/>
      <c r="H318" s="47"/>
      <c r="I318" s="47"/>
      <c r="J318" s="47"/>
      <c r="K318" s="47"/>
    </row>
    <row r="319" spans="1:11" ht="12.75" customHeight="1" x14ac:dyDescent="0.2">
      <c r="A319" s="47"/>
      <c r="B319" s="47"/>
      <c r="C319" s="47"/>
      <c r="D319" s="47"/>
      <c r="E319" s="47"/>
      <c r="F319" s="47"/>
      <c r="G319" s="47"/>
      <c r="H319" s="47"/>
      <c r="I319" s="47"/>
      <c r="J319" s="47"/>
      <c r="K319" s="47"/>
    </row>
    <row r="320" spans="1:11" ht="12.75" customHeight="1" x14ac:dyDescent="0.2">
      <c r="A320" s="48" t="s">
        <v>279</v>
      </c>
      <c r="B320" s="47"/>
      <c r="C320" s="47"/>
      <c r="D320" s="47"/>
      <c r="E320" s="47"/>
      <c r="F320" s="47"/>
      <c r="G320" s="47"/>
      <c r="H320" s="47"/>
      <c r="I320" s="47"/>
      <c r="J320" s="47"/>
      <c r="K320" s="47"/>
    </row>
    <row r="321" spans="1:11" ht="12.75" customHeight="1" x14ac:dyDescent="0.2">
      <c r="A321" s="49" t="s">
        <v>274</v>
      </c>
      <c r="B321" s="50">
        <v>2019</v>
      </c>
      <c r="C321" s="50" t="s">
        <v>249</v>
      </c>
      <c r="D321" s="50" t="s">
        <v>250</v>
      </c>
      <c r="E321" s="47"/>
      <c r="F321" s="47"/>
      <c r="G321" s="47"/>
      <c r="H321" s="47"/>
      <c r="I321" s="47"/>
      <c r="J321" s="47"/>
      <c r="K321" s="47"/>
    </row>
    <row r="322" spans="1:11" ht="12.75" customHeight="1" x14ac:dyDescent="0.2">
      <c r="A322" s="52" t="s">
        <v>259</v>
      </c>
      <c r="B322" s="53">
        <f t="shared" ref="B322:D322" si="101">SUM(B323:B328)</f>
        <v>1255812.02</v>
      </c>
      <c r="C322" s="53">
        <f t="shared" si="101"/>
        <v>0</v>
      </c>
      <c r="D322" s="53">
        <f t="shared" si="101"/>
        <v>0</v>
      </c>
      <c r="E322" s="47"/>
      <c r="F322" s="47"/>
      <c r="G322" s="47"/>
      <c r="H322" s="47"/>
      <c r="I322" s="47"/>
      <c r="J322" s="47"/>
      <c r="K322" s="47"/>
    </row>
    <row r="323" spans="1:11" ht="12.75" customHeight="1" x14ac:dyDescent="0.2">
      <c r="A323" s="54" t="s">
        <v>260</v>
      </c>
      <c r="B323" s="55">
        <v>0</v>
      </c>
      <c r="C323" s="55"/>
      <c r="D323" s="55">
        <v>0</v>
      </c>
      <c r="E323" s="47"/>
      <c r="F323" s="47"/>
      <c r="G323" s="47"/>
      <c r="H323" s="47"/>
      <c r="I323" s="47"/>
      <c r="J323" s="47"/>
      <c r="K323" s="47"/>
    </row>
    <row r="324" spans="1:11" ht="12.75" customHeight="1" x14ac:dyDescent="0.2">
      <c r="A324" s="54" t="s">
        <v>261</v>
      </c>
      <c r="B324" s="55">
        <v>0</v>
      </c>
      <c r="C324" s="55"/>
      <c r="D324" s="55">
        <v>0</v>
      </c>
      <c r="E324" s="47"/>
      <c r="F324" s="47"/>
      <c r="G324" s="47"/>
      <c r="H324" s="47"/>
      <c r="I324" s="47"/>
      <c r="J324" s="47"/>
      <c r="K324" s="47"/>
    </row>
    <row r="325" spans="1:11" ht="12.75" customHeight="1" x14ac:dyDescent="0.2">
      <c r="A325" s="54" t="s">
        <v>262</v>
      </c>
      <c r="B325" s="55">
        <v>0</v>
      </c>
      <c r="C325" s="55"/>
      <c r="D325" s="55">
        <v>0</v>
      </c>
      <c r="E325" s="47"/>
      <c r="F325" s="47"/>
      <c r="G325" s="47"/>
      <c r="H325" s="47"/>
      <c r="I325" s="47"/>
      <c r="J325" s="47"/>
      <c r="K325" s="47"/>
    </row>
    <row r="326" spans="1:11" ht="12.75" customHeight="1" x14ac:dyDescent="0.2">
      <c r="A326" s="54" t="s">
        <v>263</v>
      </c>
      <c r="B326" s="55">
        <v>1255812.02</v>
      </c>
      <c r="C326" s="55"/>
      <c r="D326" s="55">
        <v>0</v>
      </c>
      <c r="E326" s="47"/>
      <c r="F326" s="47"/>
      <c r="G326" s="47"/>
      <c r="H326" s="47"/>
      <c r="I326" s="47"/>
      <c r="J326" s="47"/>
      <c r="K326" s="47"/>
    </row>
    <row r="327" spans="1:11" ht="12.75" customHeight="1" x14ac:dyDescent="0.2">
      <c r="A327" s="54" t="s">
        <v>264</v>
      </c>
      <c r="B327" s="55">
        <v>0</v>
      </c>
      <c r="C327" s="55"/>
      <c r="D327" s="55">
        <v>0</v>
      </c>
      <c r="E327" s="47"/>
      <c r="F327" s="47"/>
      <c r="G327" s="47"/>
      <c r="H327" s="47"/>
      <c r="I327" s="47"/>
      <c r="J327" s="47"/>
      <c r="K327" s="47"/>
    </row>
    <row r="328" spans="1:11" ht="12.75" customHeight="1" x14ac:dyDescent="0.2">
      <c r="A328" s="54" t="s">
        <v>265</v>
      </c>
      <c r="B328" s="55">
        <v>0</v>
      </c>
      <c r="C328" s="55"/>
      <c r="D328" s="55">
        <v>0</v>
      </c>
      <c r="E328" s="47"/>
      <c r="F328" s="47"/>
      <c r="G328" s="47"/>
      <c r="H328" s="47"/>
      <c r="I328" s="47"/>
      <c r="J328" s="47"/>
      <c r="K328" s="47"/>
    </row>
    <row r="329" spans="1:11" ht="12.75" customHeight="1" x14ac:dyDescent="0.2">
      <c r="A329" s="52" t="s">
        <v>266</v>
      </c>
      <c r="B329" s="53">
        <f t="shared" ref="B329:D329" si="102">SUM(B330:B333)</f>
        <v>18234504.640000004</v>
      </c>
      <c r="C329" s="53">
        <f t="shared" si="102"/>
        <v>2160851</v>
      </c>
      <c r="D329" s="53">
        <f t="shared" si="102"/>
        <v>0</v>
      </c>
      <c r="E329" s="47"/>
      <c r="F329" s="47"/>
      <c r="G329" s="47"/>
      <c r="H329" s="47"/>
      <c r="I329" s="47"/>
      <c r="J329" s="47"/>
      <c r="K329" s="47"/>
    </row>
    <row r="330" spans="1:11" ht="12.75" customHeight="1" x14ac:dyDescent="0.2">
      <c r="A330" s="54" t="s">
        <v>267</v>
      </c>
      <c r="B330" s="55">
        <v>0</v>
      </c>
      <c r="C330" s="55"/>
      <c r="D330" s="55">
        <v>0</v>
      </c>
      <c r="E330" s="47"/>
      <c r="F330" s="47"/>
      <c r="G330" s="47"/>
      <c r="H330" s="47"/>
      <c r="I330" s="47"/>
      <c r="J330" s="47"/>
      <c r="K330" s="47"/>
    </row>
    <row r="331" spans="1:11" ht="12.75" customHeight="1" x14ac:dyDescent="0.2">
      <c r="A331" s="54" t="s">
        <v>268</v>
      </c>
      <c r="B331" s="55">
        <v>0</v>
      </c>
      <c r="C331" s="55"/>
      <c r="D331" s="55">
        <v>0</v>
      </c>
      <c r="E331" s="47"/>
      <c r="F331" s="47"/>
      <c r="G331" s="47"/>
      <c r="H331" s="47"/>
      <c r="I331" s="47"/>
      <c r="J331" s="47"/>
      <c r="K331" s="47"/>
    </row>
    <row r="332" spans="1:11" ht="12.75" customHeight="1" x14ac:dyDescent="0.2">
      <c r="A332" s="54" t="s">
        <v>269</v>
      </c>
      <c r="B332" s="55">
        <v>18234504.640000004</v>
      </c>
      <c r="C332" s="55">
        <v>2160851</v>
      </c>
      <c r="D332" s="55">
        <v>0</v>
      </c>
      <c r="E332" s="47"/>
      <c r="F332" s="47"/>
      <c r="G332" s="47"/>
      <c r="H332" s="47"/>
      <c r="I332" s="47"/>
      <c r="J332" s="47"/>
      <c r="K332" s="47"/>
    </row>
    <row r="333" spans="1:11" ht="12.75" customHeight="1" x14ac:dyDescent="0.2">
      <c r="A333" s="54" t="s">
        <v>270</v>
      </c>
      <c r="B333" s="55">
        <v>0</v>
      </c>
      <c r="C333" s="55"/>
      <c r="D333" s="55">
        <v>0</v>
      </c>
      <c r="E333" s="47"/>
      <c r="F333" s="47"/>
      <c r="G333" s="47"/>
      <c r="H333" s="47"/>
      <c r="I333" s="47"/>
      <c r="J333" s="47"/>
      <c r="K333" s="47"/>
    </row>
    <row r="334" spans="1:11" ht="12.75" customHeight="1" x14ac:dyDescent="0.2">
      <c r="A334" s="52" t="s">
        <v>271</v>
      </c>
      <c r="B334" s="53">
        <f t="shared" ref="B334:D334" si="103">B335</f>
        <v>0</v>
      </c>
      <c r="C334" s="53">
        <f t="shared" si="103"/>
        <v>0</v>
      </c>
      <c r="D334" s="53">
        <f t="shared" si="103"/>
        <v>0</v>
      </c>
      <c r="E334" s="47"/>
      <c r="F334" s="47"/>
      <c r="G334" s="47"/>
      <c r="H334" s="47"/>
      <c r="I334" s="47"/>
      <c r="J334" s="47"/>
      <c r="K334" s="47"/>
    </row>
    <row r="335" spans="1:11" ht="12.75" customHeight="1" x14ac:dyDescent="0.2">
      <c r="A335" s="54" t="s">
        <v>272</v>
      </c>
      <c r="B335" s="55">
        <v>0</v>
      </c>
      <c r="C335" s="55"/>
      <c r="D335" s="55">
        <v>0</v>
      </c>
      <c r="E335" s="47"/>
      <c r="F335" s="47"/>
      <c r="G335" s="47"/>
      <c r="H335" s="47"/>
      <c r="I335" s="47"/>
      <c r="J335" s="47"/>
      <c r="K335" s="47"/>
    </row>
    <row r="336" spans="1:11" ht="12.75" customHeight="1" x14ac:dyDescent="0.2">
      <c r="A336" s="60" t="s">
        <v>253</v>
      </c>
      <c r="B336" s="57">
        <f t="shared" ref="B336:D336" si="104">B334+B329+B322</f>
        <v>19490316.660000004</v>
      </c>
      <c r="C336" s="57">
        <f t="shared" si="104"/>
        <v>2160851</v>
      </c>
      <c r="D336" s="57">
        <f t="shared" si="104"/>
        <v>0</v>
      </c>
      <c r="E336" s="47"/>
      <c r="F336" s="47"/>
      <c r="G336" s="47"/>
      <c r="H336" s="47"/>
      <c r="I336" s="47"/>
      <c r="J336" s="47"/>
      <c r="K336" s="47"/>
    </row>
    <row r="337" spans="1:11" ht="12.75" customHeight="1" x14ac:dyDescent="0.2">
      <c r="A337" s="61" t="s">
        <v>254</v>
      </c>
      <c r="B337" s="47"/>
      <c r="C337" s="47"/>
      <c r="D337" s="47"/>
      <c r="E337" s="47"/>
      <c r="F337" s="47"/>
      <c r="G337" s="47"/>
      <c r="H337" s="47"/>
      <c r="I337" s="47"/>
      <c r="J337" s="47"/>
      <c r="K337" s="47"/>
    </row>
    <row r="338" spans="1:11" ht="12.75" customHeight="1" x14ac:dyDescent="0.2">
      <c r="A338" s="62" t="s">
        <v>255</v>
      </c>
      <c r="B338" s="47"/>
      <c r="C338" s="47"/>
      <c r="D338" s="47"/>
      <c r="E338" s="47"/>
      <c r="F338" s="47"/>
      <c r="G338" s="47"/>
      <c r="H338" s="47"/>
      <c r="I338" s="47"/>
      <c r="J338" s="47"/>
      <c r="K338" s="47"/>
    </row>
  </sheetData>
  <printOptions horizontalCentered="1"/>
  <pageMargins left="0.51181102362204722" right="0.51181102362204722" top="0.74803149606299213" bottom="0.74803149606299213" header="0" footer="0"/>
  <pageSetup paperSize="9" orientation="portrait"/>
  <headerFooter>
    <oddHeader>&amp;CPROYECTO DE PRESUPUESTO 2021</oddHeader>
    <oddFooter>&amp;LPROYECTO DE PRESUPUESTO PARA EL AÑO FISCAL 2021 INFORMACIÓN PARA LA COMISIÓN DE PRESUPUESTO Y CUENTA GENERAL DE LA REPÚBLICA DEL CONGRESO DE LA REPÚBLICA</oddFooter>
  </headerFooter>
  <rowBreaks count="5" manualBreakCount="5">
    <brk id="114" man="1"/>
    <brk id="226" man="1"/>
    <brk id="58" man="1"/>
    <brk id="170" man="1"/>
    <brk id="28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W127"/>
  <sheetViews>
    <sheetView showGridLines="0" workbookViewId="0"/>
  </sheetViews>
  <sheetFormatPr baseColWidth="10" defaultColWidth="14.42578125" defaultRowHeight="15" customHeight="1" x14ac:dyDescent="0.2"/>
  <cols>
    <col min="1" max="1" width="27.5703125" customWidth="1"/>
    <col min="2" max="2" width="46" customWidth="1"/>
    <col min="3" max="3" width="5" customWidth="1"/>
    <col min="4" max="4" width="9.85546875" customWidth="1"/>
    <col min="5" max="5" width="10" customWidth="1"/>
    <col min="6" max="6" width="10.5703125" customWidth="1"/>
    <col min="7" max="7" width="9.85546875" customWidth="1"/>
    <col min="8" max="8" width="10.42578125" customWidth="1"/>
    <col min="9" max="9" width="10.7109375" customWidth="1"/>
    <col min="10" max="10" width="11.28515625" customWidth="1"/>
    <col min="11" max="11" width="5" customWidth="1"/>
    <col min="12" max="12" width="11.85546875" customWidth="1"/>
    <col min="13" max="13" width="5" customWidth="1"/>
    <col min="14" max="14" width="12" customWidth="1"/>
    <col min="15" max="16" width="5" customWidth="1"/>
    <col min="17" max="17" width="12" customWidth="1"/>
    <col min="18" max="18" width="7" customWidth="1"/>
    <col min="19" max="23" width="11.28515625" customWidth="1"/>
  </cols>
  <sheetData>
    <row r="1" spans="1:23" ht="11.25" customHeight="1" x14ac:dyDescent="0.25">
      <c r="A1" s="63" t="s">
        <v>280</v>
      </c>
      <c r="B1" s="36"/>
      <c r="C1" s="64"/>
      <c r="D1" s="64"/>
      <c r="E1" s="64"/>
      <c r="F1" s="64"/>
      <c r="G1" s="64"/>
      <c r="H1" s="37"/>
      <c r="I1" s="37"/>
      <c r="J1" s="37"/>
      <c r="K1" s="37"/>
      <c r="L1" s="37"/>
      <c r="M1" s="37"/>
      <c r="N1" s="37"/>
      <c r="O1" s="37"/>
      <c r="P1" s="37"/>
      <c r="Q1" s="37"/>
      <c r="R1" s="37"/>
      <c r="S1" s="65"/>
      <c r="T1" s="65"/>
      <c r="U1" s="65"/>
      <c r="V1" s="65"/>
      <c r="W1" s="65"/>
    </row>
    <row r="2" spans="1:23" ht="11.25" customHeight="1" x14ac:dyDescent="0.25">
      <c r="A2" s="63" t="s">
        <v>242</v>
      </c>
      <c r="B2" s="17"/>
      <c r="C2" s="17"/>
      <c r="D2" s="17"/>
      <c r="E2" s="17"/>
      <c r="F2" s="17"/>
      <c r="G2" s="17"/>
      <c r="H2" s="17"/>
      <c r="I2" s="17"/>
      <c r="J2" s="17"/>
      <c r="K2" s="17"/>
      <c r="L2" s="17"/>
      <c r="M2" s="17"/>
      <c r="N2" s="17"/>
      <c r="O2" s="17"/>
      <c r="P2" s="17"/>
      <c r="Q2" s="17"/>
      <c r="R2" s="17"/>
      <c r="S2" s="66"/>
      <c r="T2" s="66"/>
      <c r="U2" s="66"/>
      <c r="V2" s="66"/>
      <c r="W2" s="66"/>
    </row>
    <row r="3" spans="1:23" ht="7.5" customHeight="1" x14ac:dyDescent="0.25">
      <c r="A3" s="63"/>
      <c r="B3" s="17"/>
      <c r="C3" s="17"/>
      <c r="D3" s="17"/>
      <c r="E3" s="17"/>
      <c r="F3" s="17"/>
      <c r="G3" s="17"/>
      <c r="H3" s="17"/>
      <c r="I3" s="17"/>
      <c r="J3" s="17"/>
      <c r="K3" s="17"/>
      <c r="L3" s="17"/>
      <c r="M3" s="17"/>
      <c r="N3" s="17"/>
      <c r="O3" s="17"/>
      <c r="P3" s="17"/>
      <c r="Q3" s="17"/>
      <c r="R3" s="17"/>
      <c r="S3" s="66"/>
      <c r="T3" s="66"/>
      <c r="U3" s="66"/>
      <c r="V3" s="66"/>
      <c r="W3" s="66"/>
    </row>
    <row r="4" spans="1:23" ht="16.5" customHeight="1" x14ac:dyDescent="0.2">
      <c r="A4" s="67" t="s">
        <v>281</v>
      </c>
      <c r="B4" s="17"/>
      <c r="C4" s="17"/>
      <c r="D4" s="17"/>
      <c r="E4" s="17"/>
      <c r="F4" s="17"/>
      <c r="G4" s="17"/>
      <c r="H4" s="17"/>
      <c r="I4" s="17"/>
      <c r="J4" s="17"/>
      <c r="K4" s="17"/>
      <c r="L4" s="17"/>
      <c r="M4" s="17"/>
      <c r="N4" s="17"/>
      <c r="O4" s="17"/>
      <c r="P4" s="17"/>
      <c r="Q4" s="17"/>
      <c r="R4" s="17"/>
      <c r="S4" s="66"/>
      <c r="T4" s="66"/>
      <c r="U4" s="66"/>
      <c r="V4" s="66"/>
      <c r="W4" s="66"/>
    </row>
    <row r="5" spans="1:23" ht="27.75" customHeight="1" x14ac:dyDescent="0.2">
      <c r="A5" s="809" t="s">
        <v>282</v>
      </c>
      <c r="B5" s="811" t="s">
        <v>283</v>
      </c>
      <c r="C5" s="815" t="s">
        <v>259</v>
      </c>
      <c r="D5" s="818"/>
      <c r="E5" s="818"/>
      <c r="F5" s="818"/>
      <c r="G5" s="818"/>
      <c r="H5" s="818"/>
      <c r="I5" s="816"/>
      <c r="J5" s="817" t="s">
        <v>266</v>
      </c>
      <c r="K5" s="818"/>
      <c r="L5" s="818"/>
      <c r="M5" s="818"/>
      <c r="N5" s="816"/>
      <c r="O5" s="817" t="s">
        <v>271</v>
      </c>
      <c r="P5" s="816"/>
      <c r="Q5" s="815" t="s">
        <v>284</v>
      </c>
      <c r="R5" s="816"/>
      <c r="S5" s="68"/>
      <c r="T5" s="68"/>
      <c r="U5" s="68"/>
      <c r="V5" s="68"/>
      <c r="W5" s="68"/>
    </row>
    <row r="6" spans="1:23" ht="109.5" customHeight="1" x14ac:dyDescent="0.2">
      <c r="A6" s="810"/>
      <c r="B6" s="812"/>
      <c r="C6" s="69" t="s">
        <v>260</v>
      </c>
      <c r="D6" s="70" t="s">
        <v>261</v>
      </c>
      <c r="E6" s="70" t="s">
        <v>262</v>
      </c>
      <c r="F6" s="70" t="s">
        <v>263</v>
      </c>
      <c r="G6" s="70" t="s">
        <v>285</v>
      </c>
      <c r="H6" s="70" t="s">
        <v>286</v>
      </c>
      <c r="I6" s="71" t="s">
        <v>287</v>
      </c>
      <c r="J6" s="72" t="s">
        <v>288</v>
      </c>
      <c r="K6" s="73" t="s">
        <v>289</v>
      </c>
      <c r="L6" s="73" t="s">
        <v>269</v>
      </c>
      <c r="M6" s="73" t="s">
        <v>270</v>
      </c>
      <c r="N6" s="74" t="s">
        <v>290</v>
      </c>
      <c r="O6" s="72" t="s">
        <v>272</v>
      </c>
      <c r="P6" s="75" t="s">
        <v>291</v>
      </c>
      <c r="Q6" s="76" t="s">
        <v>292</v>
      </c>
      <c r="R6" s="77" t="s">
        <v>293</v>
      </c>
      <c r="S6" s="78"/>
      <c r="T6" s="78"/>
      <c r="U6" s="78"/>
      <c r="V6" s="78"/>
      <c r="W6" s="78"/>
    </row>
    <row r="7" spans="1:23" ht="20.25" customHeight="1" x14ac:dyDescent="0.2">
      <c r="A7" s="79" t="s">
        <v>294</v>
      </c>
      <c r="B7" s="80"/>
      <c r="C7" s="81">
        <f t="shared" ref="C7:Q7" si="0">SUM(C8:C11)</f>
        <v>0</v>
      </c>
      <c r="D7" s="82">
        <f t="shared" si="0"/>
        <v>10243653</v>
      </c>
      <c r="E7" s="82">
        <f t="shared" si="0"/>
        <v>2248131</v>
      </c>
      <c r="F7" s="82">
        <f t="shared" si="0"/>
        <v>350537181</v>
      </c>
      <c r="G7" s="82">
        <f t="shared" si="0"/>
        <v>5265231</v>
      </c>
      <c r="H7" s="82">
        <f t="shared" si="0"/>
        <v>229400786</v>
      </c>
      <c r="I7" s="83">
        <f t="shared" si="0"/>
        <v>597694982</v>
      </c>
      <c r="J7" s="84">
        <f t="shared" si="0"/>
        <v>1043420800</v>
      </c>
      <c r="K7" s="85">
        <f t="shared" si="0"/>
        <v>0</v>
      </c>
      <c r="L7" s="85">
        <f t="shared" si="0"/>
        <v>1331574624</v>
      </c>
      <c r="M7" s="85">
        <f t="shared" si="0"/>
        <v>0</v>
      </c>
      <c r="N7" s="86">
        <f t="shared" si="0"/>
        <v>2374995424</v>
      </c>
      <c r="O7" s="87">
        <f t="shared" si="0"/>
        <v>0</v>
      </c>
      <c r="P7" s="88">
        <f t="shared" si="0"/>
        <v>0</v>
      </c>
      <c r="Q7" s="89">
        <f t="shared" si="0"/>
        <v>2972690406</v>
      </c>
      <c r="R7" s="90">
        <f t="shared" ref="R7:R21" si="1">Q7/$Q$22</f>
        <v>0.88598049393990097</v>
      </c>
      <c r="S7" s="65"/>
      <c r="T7" s="65"/>
      <c r="U7" s="65"/>
      <c r="V7" s="65"/>
      <c r="W7" s="65"/>
    </row>
    <row r="8" spans="1:23" ht="11.25" customHeight="1" x14ac:dyDescent="0.2">
      <c r="A8" s="91"/>
      <c r="B8" s="92" t="s">
        <v>295</v>
      </c>
      <c r="C8" s="93">
        <f t="shared" ref="C8:H8" si="2">C29+C50+C71+C92+C113</f>
        <v>0</v>
      </c>
      <c r="D8" s="94">
        <f t="shared" si="2"/>
        <v>9223867</v>
      </c>
      <c r="E8" s="94">
        <f t="shared" si="2"/>
        <v>2189884</v>
      </c>
      <c r="F8" s="94">
        <f t="shared" si="2"/>
        <v>152599865</v>
      </c>
      <c r="G8" s="94">
        <f t="shared" si="2"/>
        <v>1881</v>
      </c>
      <c r="H8" s="94">
        <f t="shared" si="2"/>
        <v>229400786</v>
      </c>
      <c r="I8" s="95">
        <f t="shared" ref="I8:I11" si="3">+SUM(C8:H8)</f>
        <v>393416283</v>
      </c>
      <c r="J8" s="93">
        <f t="shared" ref="J8:M8" si="4">J29+J50+J71+J92+J113</f>
        <v>1043420800</v>
      </c>
      <c r="K8" s="94">
        <f t="shared" si="4"/>
        <v>0</v>
      </c>
      <c r="L8" s="94">
        <f t="shared" si="4"/>
        <v>473894773</v>
      </c>
      <c r="M8" s="94">
        <f t="shared" si="4"/>
        <v>0</v>
      </c>
      <c r="N8" s="96">
        <f t="shared" ref="N8:N11" si="5">+SUM(J8:M8)</f>
        <v>1517315573</v>
      </c>
      <c r="O8" s="97">
        <f t="shared" ref="O8:P8" si="6">O29+O50+O71+O92+O113</f>
        <v>0</v>
      </c>
      <c r="P8" s="98">
        <f t="shared" si="6"/>
        <v>0</v>
      </c>
      <c r="Q8" s="99">
        <f t="shared" ref="Q8:Q11" si="7">+I8+N8</f>
        <v>1910731856</v>
      </c>
      <c r="R8" s="100">
        <f t="shared" si="1"/>
        <v>0.56947442294991002</v>
      </c>
      <c r="S8" s="65"/>
      <c r="T8" s="65"/>
      <c r="U8" s="65"/>
      <c r="V8" s="65"/>
      <c r="W8" s="65"/>
    </row>
    <row r="9" spans="1:23" ht="16.5" customHeight="1" x14ac:dyDescent="0.2">
      <c r="A9" s="91"/>
      <c r="B9" s="92" t="s">
        <v>296</v>
      </c>
      <c r="C9" s="101">
        <f t="shared" ref="C9:H9" si="8">C30+C51+C72+C93+C114</f>
        <v>0</v>
      </c>
      <c r="D9" s="41">
        <f t="shared" si="8"/>
        <v>1019786</v>
      </c>
      <c r="E9" s="41">
        <f t="shared" si="8"/>
        <v>58247</v>
      </c>
      <c r="F9" s="41">
        <f t="shared" si="8"/>
        <v>40591579</v>
      </c>
      <c r="G9" s="41">
        <f t="shared" si="8"/>
        <v>0</v>
      </c>
      <c r="H9" s="41">
        <f t="shared" si="8"/>
        <v>0</v>
      </c>
      <c r="I9" s="95">
        <f t="shared" si="3"/>
        <v>41669612</v>
      </c>
      <c r="J9" s="101">
        <f t="shared" ref="J9:M9" si="9">J30+J51+J72+J93+J114</f>
        <v>0</v>
      </c>
      <c r="K9" s="41">
        <f t="shared" si="9"/>
        <v>0</v>
      </c>
      <c r="L9" s="41">
        <f t="shared" si="9"/>
        <v>362550572</v>
      </c>
      <c r="M9" s="41">
        <f t="shared" si="9"/>
        <v>0</v>
      </c>
      <c r="N9" s="96">
        <f t="shared" si="5"/>
        <v>362550572</v>
      </c>
      <c r="O9" s="102">
        <f t="shared" ref="O9:P9" si="10">O30+O51+O72+O93+O114</f>
        <v>0</v>
      </c>
      <c r="P9" s="103">
        <f t="shared" si="10"/>
        <v>0</v>
      </c>
      <c r="Q9" s="99">
        <f t="shared" si="7"/>
        <v>404220184</v>
      </c>
      <c r="R9" s="104">
        <f t="shared" si="1"/>
        <v>0.12047376260842875</v>
      </c>
      <c r="S9" s="65"/>
      <c r="T9" s="65"/>
      <c r="U9" s="65"/>
      <c r="V9" s="65"/>
      <c r="W9" s="65"/>
    </row>
    <row r="10" spans="1:23" ht="16.5" customHeight="1" x14ac:dyDescent="0.2">
      <c r="A10" s="91"/>
      <c r="B10" s="92" t="s">
        <v>297</v>
      </c>
      <c r="C10" s="101">
        <f t="shared" ref="C10:H10" si="11">C31+C52+C73+C94+C115</f>
        <v>0</v>
      </c>
      <c r="D10" s="41">
        <f t="shared" si="11"/>
        <v>0</v>
      </c>
      <c r="E10" s="105">
        <f t="shared" si="11"/>
        <v>0</v>
      </c>
      <c r="F10" s="105">
        <f t="shared" si="11"/>
        <v>150269509</v>
      </c>
      <c r="G10" s="105">
        <f t="shared" si="11"/>
        <v>5263350</v>
      </c>
      <c r="H10" s="105">
        <f t="shared" si="11"/>
        <v>0</v>
      </c>
      <c r="I10" s="95">
        <f t="shared" si="3"/>
        <v>155532859</v>
      </c>
      <c r="J10" s="101">
        <f t="shared" ref="J10:M10" si="12">J31+J52+J73+J94+J115</f>
        <v>0</v>
      </c>
      <c r="K10" s="41">
        <f t="shared" si="12"/>
        <v>0</v>
      </c>
      <c r="L10" s="105">
        <f t="shared" si="12"/>
        <v>286022922</v>
      </c>
      <c r="M10" s="41">
        <f t="shared" si="12"/>
        <v>0</v>
      </c>
      <c r="N10" s="96">
        <f t="shared" si="5"/>
        <v>286022922</v>
      </c>
      <c r="O10" s="102">
        <f t="shared" ref="O10:P10" si="13">O31+O52+O73+O94+O115</f>
        <v>0</v>
      </c>
      <c r="P10" s="106">
        <f t="shared" si="13"/>
        <v>0</v>
      </c>
      <c r="Q10" s="99">
        <f t="shared" si="7"/>
        <v>441555781</v>
      </c>
      <c r="R10" s="107">
        <f t="shared" si="1"/>
        <v>0.13160126199579719</v>
      </c>
      <c r="S10" s="65"/>
      <c r="T10" s="65"/>
      <c r="U10" s="65"/>
      <c r="V10" s="65"/>
      <c r="W10" s="65"/>
    </row>
    <row r="11" spans="1:23" ht="16.5" customHeight="1" x14ac:dyDescent="0.2">
      <c r="A11" s="91"/>
      <c r="B11" s="92" t="s">
        <v>298</v>
      </c>
      <c r="C11" s="101">
        <f t="shared" ref="C11:H11" si="14">C32+C53+C74+C95+C116</f>
        <v>0</v>
      </c>
      <c r="D11" s="41">
        <f t="shared" si="14"/>
        <v>0</v>
      </c>
      <c r="E11" s="105">
        <f t="shared" si="14"/>
        <v>0</v>
      </c>
      <c r="F11" s="105">
        <f t="shared" si="14"/>
        <v>7076228</v>
      </c>
      <c r="G11" s="105">
        <f t="shared" si="14"/>
        <v>0</v>
      </c>
      <c r="H11" s="105">
        <f t="shared" si="14"/>
        <v>0</v>
      </c>
      <c r="I11" s="95">
        <f t="shared" si="3"/>
        <v>7076228</v>
      </c>
      <c r="J11" s="101">
        <f t="shared" ref="J11:M11" si="15">J32+J53+J74+J95+J116</f>
        <v>0</v>
      </c>
      <c r="K11" s="41">
        <f t="shared" si="15"/>
        <v>0</v>
      </c>
      <c r="L11" s="105">
        <f t="shared" si="15"/>
        <v>209106357</v>
      </c>
      <c r="M11" s="41">
        <f t="shared" si="15"/>
        <v>0</v>
      </c>
      <c r="N11" s="96">
        <f t="shared" si="5"/>
        <v>209106357</v>
      </c>
      <c r="O11" s="102">
        <f t="shared" ref="O11:P11" si="16">O32+O53+O74+O95+O116</f>
        <v>0</v>
      </c>
      <c r="P11" s="106">
        <f t="shared" si="16"/>
        <v>0</v>
      </c>
      <c r="Q11" s="99">
        <f t="shared" si="7"/>
        <v>216182585</v>
      </c>
      <c r="R11" s="107">
        <f t="shared" si="1"/>
        <v>6.4431046385765009E-2</v>
      </c>
      <c r="S11" s="65"/>
      <c r="T11" s="65"/>
      <c r="U11" s="65"/>
      <c r="V11" s="65"/>
      <c r="W11" s="65"/>
    </row>
    <row r="12" spans="1:23" ht="20.25" customHeight="1" x14ac:dyDescent="0.2">
      <c r="A12" s="79" t="s">
        <v>299</v>
      </c>
      <c r="B12" s="108"/>
      <c r="C12" s="109">
        <f t="shared" ref="C12:Q12" si="17">C13</f>
        <v>0</v>
      </c>
      <c r="D12" s="110">
        <f t="shared" si="17"/>
        <v>7588986</v>
      </c>
      <c r="E12" s="110">
        <f t="shared" si="17"/>
        <v>209801</v>
      </c>
      <c r="F12" s="110">
        <f t="shared" si="17"/>
        <v>27190391</v>
      </c>
      <c r="G12" s="110">
        <f t="shared" si="17"/>
        <v>0</v>
      </c>
      <c r="H12" s="110">
        <f t="shared" si="17"/>
        <v>318000</v>
      </c>
      <c r="I12" s="88">
        <f t="shared" si="17"/>
        <v>35307178</v>
      </c>
      <c r="J12" s="109">
        <f t="shared" si="17"/>
        <v>0</v>
      </c>
      <c r="K12" s="110">
        <f t="shared" si="17"/>
        <v>0</v>
      </c>
      <c r="L12" s="110">
        <f t="shared" si="17"/>
        <v>0</v>
      </c>
      <c r="M12" s="110">
        <f t="shared" si="17"/>
        <v>0</v>
      </c>
      <c r="N12" s="86">
        <f t="shared" si="17"/>
        <v>0</v>
      </c>
      <c r="O12" s="111">
        <f t="shared" si="17"/>
        <v>0</v>
      </c>
      <c r="P12" s="112">
        <f t="shared" si="17"/>
        <v>0</v>
      </c>
      <c r="Q12" s="89">
        <f t="shared" si="17"/>
        <v>35307178</v>
      </c>
      <c r="R12" s="113">
        <f t="shared" si="1"/>
        <v>1.052294949414386E-2</v>
      </c>
      <c r="S12" s="65"/>
      <c r="T12" s="65"/>
      <c r="U12" s="65"/>
      <c r="V12" s="65"/>
      <c r="W12" s="65"/>
    </row>
    <row r="13" spans="1:23" ht="21.75" customHeight="1" x14ac:dyDescent="0.2">
      <c r="A13" s="114"/>
      <c r="B13" s="92" t="s">
        <v>300</v>
      </c>
      <c r="C13" s="101">
        <f t="shared" ref="C13:H13" si="18">C34+C55+C76+C97+C118</f>
        <v>0</v>
      </c>
      <c r="D13" s="41">
        <f t="shared" si="18"/>
        <v>7588986</v>
      </c>
      <c r="E13" s="41">
        <f t="shared" si="18"/>
        <v>209801</v>
      </c>
      <c r="F13" s="41">
        <f t="shared" si="18"/>
        <v>27190391</v>
      </c>
      <c r="G13" s="41">
        <f t="shared" si="18"/>
        <v>0</v>
      </c>
      <c r="H13" s="41">
        <f t="shared" si="18"/>
        <v>318000</v>
      </c>
      <c r="I13" s="95">
        <f>+SUM(C13:H13)</f>
        <v>35307178</v>
      </c>
      <c r="J13" s="101">
        <f t="shared" ref="J13:M13" si="19">J34+J55+J76+J97+J118</f>
        <v>0</v>
      </c>
      <c r="K13" s="41">
        <f t="shared" si="19"/>
        <v>0</v>
      </c>
      <c r="L13" s="41">
        <f t="shared" si="19"/>
        <v>0</v>
      </c>
      <c r="M13" s="41">
        <f t="shared" si="19"/>
        <v>0</v>
      </c>
      <c r="N13" s="96">
        <f>+SUM(J13:M13)</f>
        <v>0</v>
      </c>
      <c r="O13" s="102">
        <f t="shared" ref="O13:P13" si="20">O34+O55+O76+O97+O118</f>
        <v>0</v>
      </c>
      <c r="P13" s="103">
        <f t="shared" si="20"/>
        <v>0</v>
      </c>
      <c r="Q13" s="99">
        <f>+I13+N13</f>
        <v>35307178</v>
      </c>
      <c r="R13" s="104">
        <f t="shared" si="1"/>
        <v>1.052294949414386E-2</v>
      </c>
      <c r="S13" s="65"/>
      <c r="T13" s="65"/>
      <c r="U13" s="65"/>
      <c r="V13" s="65"/>
      <c r="W13" s="65"/>
    </row>
    <row r="14" spans="1:23" ht="20.25" customHeight="1" x14ac:dyDescent="0.2">
      <c r="A14" s="79" t="s">
        <v>301</v>
      </c>
      <c r="B14" s="108"/>
      <c r="C14" s="84">
        <f t="shared" ref="C14:Q14" si="21">C15</f>
        <v>0</v>
      </c>
      <c r="D14" s="85">
        <f t="shared" si="21"/>
        <v>12353291</v>
      </c>
      <c r="E14" s="85">
        <f t="shared" si="21"/>
        <v>106767</v>
      </c>
      <c r="F14" s="85">
        <f t="shared" si="21"/>
        <v>66012062</v>
      </c>
      <c r="G14" s="85">
        <f t="shared" si="21"/>
        <v>120000</v>
      </c>
      <c r="H14" s="85">
        <f t="shared" si="21"/>
        <v>105922</v>
      </c>
      <c r="I14" s="88">
        <f t="shared" si="21"/>
        <v>78698042</v>
      </c>
      <c r="J14" s="84">
        <f t="shared" si="21"/>
        <v>0</v>
      </c>
      <c r="K14" s="85">
        <f t="shared" si="21"/>
        <v>0</v>
      </c>
      <c r="L14" s="85">
        <f t="shared" si="21"/>
        <v>30754106</v>
      </c>
      <c r="M14" s="85">
        <f t="shared" si="21"/>
        <v>0</v>
      </c>
      <c r="N14" s="86">
        <f t="shared" si="21"/>
        <v>30754106</v>
      </c>
      <c r="O14" s="87">
        <f t="shared" si="21"/>
        <v>0</v>
      </c>
      <c r="P14" s="88">
        <f t="shared" si="21"/>
        <v>0</v>
      </c>
      <c r="Q14" s="89">
        <f t="shared" si="21"/>
        <v>109452148</v>
      </c>
      <c r="R14" s="90">
        <f t="shared" si="1"/>
        <v>3.2621112495299365E-2</v>
      </c>
      <c r="S14" s="65"/>
      <c r="T14" s="65"/>
      <c r="U14" s="65"/>
      <c r="V14" s="65"/>
      <c r="W14" s="65"/>
    </row>
    <row r="15" spans="1:23" ht="26.25" customHeight="1" x14ac:dyDescent="0.2">
      <c r="A15" s="114"/>
      <c r="B15" s="92" t="s">
        <v>302</v>
      </c>
      <c r="C15" s="93">
        <f t="shared" ref="C15:H15" si="22">C36+C57+C78+C99+C120</f>
        <v>0</v>
      </c>
      <c r="D15" s="94">
        <f t="shared" si="22"/>
        <v>12353291</v>
      </c>
      <c r="E15" s="94">
        <f t="shared" si="22"/>
        <v>106767</v>
      </c>
      <c r="F15" s="94">
        <f t="shared" si="22"/>
        <v>66012062</v>
      </c>
      <c r="G15" s="94">
        <f t="shared" si="22"/>
        <v>120000</v>
      </c>
      <c r="H15" s="94">
        <f t="shared" si="22"/>
        <v>105922</v>
      </c>
      <c r="I15" s="95">
        <f>+SUM(C15:H15)</f>
        <v>78698042</v>
      </c>
      <c r="J15" s="93">
        <f t="shared" ref="J15:M15" si="23">J36+J57+J78+J99+J120</f>
        <v>0</v>
      </c>
      <c r="K15" s="94">
        <f t="shared" si="23"/>
        <v>0</v>
      </c>
      <c r="L15" s="94">
        <f t="shared" si="23"/>
        <v>30754106</v>
      </c>
      <c r="M15" s="94">
        <f t="shared" si="23"/>
        <v>0</v>
      </c>
      <c r="N15" s="96">
        <f>+SUM(J15:M15)</f>
        <v>30754106</v>
      </c>
      <c r="O15" s="97">
        <f t="shared" ref="O15:P15" si="24">O36+O57+O78+O99+O120</f>
        <v>0</v>
      </c>
      <c r="P15" s="98">
        <f t="shared" si="24"/>
        <v>0</v>
      </c>
      <c r="Q15" s="99">
        <f>+I15+N15</f>
        <v>109452148</v>
      </c>
      <c r="R15" s="100">
        <f t="shared" si="1"/>
        <v>3.2621112495299365E-2</v>
      </c>
      <c r="S15" s="65"/>
      <c r="T15" s="65"/>
      <c r="U15" s="65"/>
      <c r="V15" s="65"/>
      <c r="W15" s="65"/>
    </row>
    <row r="16" spans="1:23" ht="20.25" customHeight="1" x14ac:dyDescent="0.2">
      <c r="A16" s="79" t="s">
        <v>303</v>
      </c>
      <c r="B16" s="108"/>
      <c r="C16" s="109">
        <f t="shared" ref="C16:Q16" si="25">SUM(C17:C19)</f>
        <v>0</v>
      </c>
      <c r="D16" s="110">
        <f t="shared" si="25"/>
        <v>86400</v>
      </c>
      <c r="E16" s="110">
        <f t="shared" si="25"/>
        <v>0</v>
      </c>
      <c r="F16" s="110">
        <f t="shared" si="25"/>
        <v>57688516</v>
      </c>
      <c r="G16" s="110">
        <f t="shared" si="25"/>
        <v>21039831</v>
      </c>
      <c r="H16" s="110">
        <f t="shared" si="25"/>
        <v>6000</v>
      </c>
      <c r="I16" s="88">
        <f t="shared" si="25"/>
        <v>78820747</v>
      </c>
      <c r="J16" s="109">
        <f t="shared" si="25"/>
        <v>0</v>
      </c>
      <c r="K16" s="110">
        <f t="shared" si="25"/>
        <v>0</v>
      </c>
      <c r="L16" s="110">
        <f t="shared" si="25"/>
        <v>46564920</v>
      </c>
      <c r="M16" s="110">
        <f t="shared" si="25"/>
        <v>0</v>
      </c>
      <c r="N16" s="86">
        <f t="shared" si="25"/>
        <v>46564920</v>
      </c>
      <c r="O16" s="111">
        <f t="shared" si="25"/>
        <v>0</v>
      </c>
      <c r="P16" s="112">
        <f t="shared" si="25"/>
        <v>0</v>
      </c>
      <c r="Q16" s="89">
        <f t="shared" si="25"/>
        <v>125385667</v>
      </c>
      <c r="R16" s="113">
        <f t="shared" si="1"/>
        <v>3.7369937669063796E-2</v>
      </c>
      <c r="S16" s="65"/>
      <c r="T16" s="65"/>
      <c r="U16" s="65"/>
      <c r="V16" s="65"/>
      <c r="W16" s="65"/>
    </row>
    <row r="17" spans="1:23" ht="24" customHeight="1" x14ac:dyDescent="0.2">
      <c r="A17" s="114"/>
      <c r="B17" s="92" t="s">
        <v>304</v>
      </c>
      <c r="C17" s="101">
        <f t="shared" ref="C17:H17" si="26">C38+C59+C80+C101+C122</f>
        <v>0</v>
      </c>
      <c r="D17" s="41">
        <f t="shared" si="26"/>
        <v>86400</v>
      </c>
      <c r="E17" s="41">
        <f t="shared" si="26"/>
        <v>0</v>
      </c>
      <c r="F17" s="41">
        <f t="shared" si="26"/>
        <v>40447580</v>
      </c>
      <c r="G17" s="41">
        <f t="shared" si="26"/>
        <v>21039831</v>
      </c>
      <c r="H17" s="41">
        <f t="shared" si="26"/>
        <v>6000</v>
      </c>
      <c r="I17" s="95">
        <f t="shared" ref="I17:I19" si="27">+SUM(C17:H17)</f>
        <v>61579811</v>
      </c>
      <c r="J17" s="101">
        <f t="shared" ref="J17:M17" si="28">J38+J59+J80+J101+J122</f>
        <v>0</v>
      </c>
      <c r="K17" s="41">
        <f t="shared" si="28"/>
        <v>0</v>
      </c>
      <c r="L17" s="41">
        <f t="shared" si="28"/>
        <v>2473978</v>
      </c>
      <c r="M17" s="41">
        <f t="shared" si="28"/>
        <v>0</v>
      </c>
      <c r="N17" s="96">
        <f t="shared" ref="N17:N19" si="29">+SUM(J17:M17)</f>
        <v>2473978</v>
      </c>
      <c r="O17" s="102">
        <f t="shared" ref="O17:P17" si="30">O38+O59+O80+O101+O122</f>
        <v>0</v>
      </c>
      <c r="P17" s="103">
        <f t="shared" si="30"/>
        <v>0</v>
      </c>
      <c r="Q17" s="99">
        <f t="shared" ref="Q17:Q19" si="31">+I17+N17</f>
        <v>64053789</v>
      </c>
      <c r="R17" s="104">
        <f t="shared" si="1"/>
        <v>1.9090587940943555E-2</v>
      </c>
      <c r="S17" s="65"/>
      <c r="T17" s="65"/>
      <c r="U17" s="65"/>
      <c r="V17" s="65"/>
      <c r="W17" s="65"/>
    </row>
    <row r="18" spans="1:23" ht="15.75" customHeight="1" x14ac:dyDescent="0.2">
      <c r="A18" s="114"/>
      <c r="B18" s="92" t="s">
        <v>305</v>
      </c>
      <c r="C18" s="101">
        <f t="shared" ref="C18:H18" si="32">C39+C60+C81+C102+C123</f>
        <v>0</v>
      </c>
      <c r="D18" s="41">
        <f t="shared" si="32"/>
        <v>0</v>
      </c>
      <c r="E18" s="105">
        <f t="shared" si="32"/>
        <v>0</v>
      </c>
      <c r="F18" s="105">
        <f t="shared" si="32"/>
        <v>17240936</v>
      </c>
      <c r="G18" s="105">
        <f t="shared" si="32"/>
        <v>0</v>
      </c>
      <c r="H18" s="105">
        <f t="shared" si="32"/>
        <v>0</v>
      </c>
      <c r="I18" s="95">
        <f t="shared" si="27"/>
        <v>17240936</v>
      </c>
      <c r="J18" s="101">
        <f t="shared" ref="J18:M18" si="33">J39+J60+J81+J102+J123</f>
        <v>0</v>
      </c>
      <c r="K18" s="41">
        <f t="shared" si="33"/>
        <v>0</v>
      </c>
      <c r="L18" s="105">
        <f t="shared" si="33"/>
        <v>9063608</v>
      </c>
      <c r="M18" s="41">
        <f t="shared" si="33"/>
        <v>0</v>
      </c>
      <c r="N18" s="96">
        <f t="shared" si="29"/>
        <v>9063608</v>
      </c>
      <c r="O18" s="115">
        <f t="shared" ref="O18:P18" si="34">O39+O60+O81+O102+O123</f>
        <v>0</v>
      </c>
      <c r="P18" s="106">
        <f t="shared" si="34"/>
        <v>0</v>
      </c>
      <c r="Q18" s="99">
        <f t="shared" si="31"/>
        <v>26304544</v>
      </c>
      <c r="R18" s="107">
        <f t="shared" si="1"/>
        <v>7.8398049251765436E-3</v>
      </c>
      <c r="S18" s="65"/>
      <c r="T18" s="65"/>
      <c r="U18" s="65"/>
      <c r="V18" s="65"/>
      <c r="W18" s="65"/>
    </row>
    <row r="19" spans="1:23" ht="36.75" customHeight="1" x14ac:dyDescent="0.2">
      <c r="A19" s="114"/>
      <c r="B19" s="92" t="s">
        <v>306</v>
      </c>
      <c r="C19" s="101">
        <f t="shared" ref="C19:H19" si="35">C40+C61+C82+C103+C124</f>
        <v>0</v>
      </c>
      <c r="D19" s="41">
        <f t="shared" si="35"/>
        <v>0</v>
      </c>
      <c r="E19" s="105">
        <f t="shared" si="35"/>
        <v>0</v>
      </c>
      <c r="F19" s="105">
        <f t="shared" si="35"/>
        <v>0</v>
      </c>
      <c r="G19" s="105">
        <f t="shared" si="35"/>
        <v>0</v>
      </c>
      <c r="H19" s="105">
        <f t="shared" si="35"/>
        <v>0</v>
      </c>
      <c r="I19" s="95">
        <f t="shared" si="27"/>
        <v>0</v>
      </c>
      <c r="J19" s="101">
        <f t="shared" ref="J19:M19" si="36">J40+J61+J82+J103+J124</f>
        <v>0</v>
      </c>
      <c r="K19" s="41">
        <f t="shared" si="36"/>
        <v>0</v>
      </c>
      <c r="L19" s="105">
        <f t="shared" si="36"/>
        <v>35027334</v>
      </c>
      <c r="M19" s="41">
        <f t="shared" si="36"/>
        <v>0</v>
      </c>
      <c r="N19" s="96">
        <f t="shared" si="29"/>
        <v>35027334</v>
      </c>
      <c r="O19" s="115">
        <f t="shared" ref="O19:P19" si="37">O40+O61+O82+O103+O124</f>
        <v>0</v>
      </c>
      <c r="P19" s="106">
        <f t="shared" si="37"/>
        <v>0</v>
      </c>
      <c r="Q19" s="99">
        <f t="shared" si="31"/>
        <v>35027334</v>
      </c>
      <c r="R19" s="107">
        <f t="shared" si="1"/>
        <v>1.0439544802943696E-2</v>
      </c>
      <c r="S19" s="65"/>
      <c r="T19" s="65"/>
      <c r="U19" s="65"/>
      <c r="V19" s="65"/>
      <c r="W19" s="65"/>
    </row>
    <row r="20" spans="1:23" ht="20.25" customHeight="1" x14ac:dyDescent="0.2">
      <c r="A20" s="79" t="s">
        <v>307</v>
      </c>
      <c r="B20" s="108"/>
      <c r="C20" s="109">
        <f t="shared" ref="C20:Q20" si="38">C21</f>
        <v>0</v>
      </c>
      <c r="D20" s="110">
        <f t="shared" si="38"/>
        <v>11679092</v>
      </c>
      <c r="E20" s="110">
        <f t="shared" si="38"/>
        <v>423133</v>
      </c>
      <c r="F20" s="110">
        <f t="shared" si="38"/>
        <v>72463415</v>
      </c>
      <c r="G20" s="110">
        <f t="shared" si="38"/>
        <v>0</v>
      </c>
      <c r="H20" s="110">
        <f t="shared" si="38"/>
        <v>230000</v>
      </c>
      <c r="I20" s="88">
        <f t="shared" si="38"/>
        <v>84795640</v>
      </c>
      <c r="J20" s="109">
        <f t="shared" si="38"/>
        <v>0</v>
      </c>
      <c r="K20" s="110">
        <f t="shared" si="38"/>
        <v>0</v>
      </c>
      <c r="L20" s="110">
        <f t="shared" si="38"/>
        <v>27623875</v>
      </c>
      <c r="M20" s="110">
        <f t="shared" si="38"/>
        <v>0</v>
      </c>
      <c r="N20" s="86">
        <f t="shared" si="38"/>
        <v>27623875</v>
      </c>
      <c r="O20" s="111">
        <f t="shared" si="38"/>
        <v>0</v>
      </c>
      <c r="P20" s="112">
        <f t="shared" si="38"/>
        <v>0</v>
      </c>
      <c r="Q20" s="89">
        <f t="shared" si="38"/>
        <v>112419515</v>
      </c>
      <c r="R20" s="116">
        <f t="shared" si="1"/>
        <v>3.3505506401591993E-2</v>
      </c>
      <c r="S20" s="65"/>
      <c r="T20" s="65"/>
      <c r="U20" s="65"/>
      <c r="V20" s="65"/>
      <c r="W20" s="65"/>
    </row>
    <row r="21" spans="1:23" ht="27.75" customHeight="1" x14ac:dyDescent="0.2">
      <c r="A21" s="117"/>
      <c r="B21" s="118" t="s">
        <v>308</v>
      </c>
      <c r="C21" s="119">
        <f t="shared" ref="C21:H21" si="39">C42+C63+C84+C105+C126</f>
        <v>0</v>
      </c>
      <c r="D21" s="120">
        <f t="shared" si="39"/>
        <v>11679092</v>
      </c>
      <c r="E21" s="120">
        <f t="shared" si="39"/>
        <v>423133</v>
      </c>
      <c r="F21" s="120">
        <f t="shared" si="39"/>
        <v>72463415</v>
      </c>
      <c r="G21" s="120">
        <f t="shared" si="39"/>
        <v>0</v>
      </c>
      <c r="H21" s="120">
        <f t="shared" si="39"/>
        <v>230000</v>
      </c>
      <c r="I21" s="121">
        <f>+SUM(C21:H21)</f>
        <v>84795640</v>
      </c>
      <c r="J21" s="122">
        <f t="shared" ref="J21:M21" si="40">J42+J63+J84+J105+J126</f>
        <v>0</v>
      </c>
      <c r="K21" s="123">
        <f t="shared" si="40"/>
        <v>0</v>
      </c>
      <c r="L21" s="94">
        <f t="shared" si="40"/>
        <v>27623875</v>
      </c>
      <c r="M21" s="123">
        <f t="shared" si="40"/>
        <v>0</v>
      </c>
      <c r="N21" s="96">
        <f>+SUM(J21:M21)</f>
        <v>27623875</v>
      </c>
      <c r="O21" s="124">
        <f t="shared" ref="O21:P21" si="41">O42+O63+O84+O105+O126</f>
        <v>0</v>
      </c>
      <c r="P21" s="125">
        <f t="shared" si="41"/>
        <v>0</v>
      </c>
      <c r="Q21" s="99">
        <f>+I21+N21</f>
        <v>112419515</v>
      </c>
      <c r="R21" s="126">
        <f t="shared" si="1"/>
        <v>3.3505506401591993E-2</v>
      </c>
      <c r="S21" s="65"/>
      <c r="T21" s="65"/>
      <c r="U21" s="65"/>
      <c r="V21" s="65"/>
      <c r="W21" s="65"/>
    </row>
    <row r="22" spans="1:23" ht="18.75" customHeight="1" x14ac:dyDescent="0.2">
      <c r="A22" s="813" t="s">
        <v>309</v>
      </c>
      <c r="B22" s="814"/>
      <c r="C22" s="127">
        <f t="shared" ref="C22:Q22" si="42">C20+C16+C14+C12+C7</f>
        <v>0</v>
      </c>
      <c r="D22" s="128">
        <f t="shared" si="42"/>
        <v>41951422</v>
      </c>
      <c r="E22" s="128">
        <f t="shared" si="42"/>
        <v>2987832</v>
      </c>
      <c r="F22" s="128">
        <f t="shared" si="42"/>
        <v>573891565</v>
      </c>
      <c r="G22" s="128">
        <f t="shared" si="42"/>
        <v>26425062</v>
      </c>
      <c r="H22" s="128">
        <f t="shared" si="42"/>
        <v>230060708</v>
      </c>
      <c r="I22" s="129">
        <f t="shared" si="42"/>
        <v>875316589</v>
      </c>
      <c r="J22" s="127">
        <f t="shared" si="42"/>
        <v>1043420800</v>
      </c>
      <c r="K22" s="128">
        <f t="shared" si="42"/>
        <v>0</v>
      </c>
      <c r="L22" s="128">
        <f t="shared" si="42"/>
        <v>1436517525</v>
      </c>
      <c r="M22" s="128">
        <f t="shared" si="42"/>
        <v>0</v>
      </c>
      <c r="N22" s="129">
        <f t="shared" si="42"/>
        <v>2479938325</v>
      </c>
      <c r="O22" s="127">
        <f t="shared" si="42"/>
        <v>0</v>
      </c>
      <c r="P22" s="129">
        <f t="shared" si="42"/>
        <v>0</v>
      </c>
      <c r="Q22" s="130">
        <f t="shared" si="42"/>
        <v>3355254914</v>
      </c>
      <c r="R22" s="131">
        <v>1</v>
      </c>
      <c r="S22" s="65"/>
      <c r="T22" s="65"/>
      <c r="U22" s="65"/>
      <c r="V22" s="65"/>
      <c r="W22" s="65"/>
    </row>
    <row r="23" spans="1:23" ht="11.25" customHeight="1" x14ac:dyDescent="0.2">
      <c r="A23" s="132"/>
      <c r="B23" s="132"/>
      <c r="C23" s="133"/>
      <c r="D23" s="133"/>
      <c r="E23" s="134"/>
      <c r="F23" s="134"/>
      <c r="G23" s="134"/>
      <c r="H23" s="134"/>
      <c r="I23" s="134"/>
      <c r="J23" s="134"/>
      <c r="K23" s="134"/>
      <c r="L23" s="134"/>
      <c r="M23" s="134"/>
      <c r="N23" s="134"/>
      <c r="O23" s="134"/>
      <c r="P23" s="134"/>
      <c r="Q23" s="134"/>
      <c r="R23" s="134"/>
      <c r="S23" s="65"/>
      <c r="T23" s="65"/>
      <c r="U23" s="65"/>
      <c r="V23" s="65"/>
      <c r="W23" s="65"/>
    </row>
    <row r="24" spans="1:23" ht="11.25" customHeight="1" x14ac:dyDescent="0.2">
      <c r="A24" s="65"/>
      <c r="B24" s="65"/>
      <c r="C24" s="65"/>
      <c r="D24" s="65"/>
      <c r="E24" s="65"/>
      <c r="F24" s="65"/>
      <c r="G24" s="65"/>
      <c r="H24" s="65"/>
      <c r="I24" s="65"/>
      <c r="J24" s="65"/>
      <c r="K24" s="65"/>
      <c r="L24" s="65"/>
      <c r="M24" s="65"/>
      <c r="N24" s="65"/>
      <c r="O24" s="65"/>
      <c r="P24" s="65"/>
      <c r="Q24" s="65"/>
      <c r="R24" s="65"/>
      <c r="S24" s="65"/>
      <c r="T24" s="65"/>
      <c r="U24" s="65"/>
      <c r="V24" s="65"/>
      <c r="W24" s="65"/>
    </row>
    <row r="25" spans="1:23" ht="11.25" customHeight="1" x14ac:dyDescent="0.2">
      <c r="A25" s="67" t="s">
        <v>310</v>
      </c>
      <c r="B25" s="17"/>
      <c r="C25" s="17"/>
      <c r="D25" s="17"/>
      <c r="E25" s="17"/>
      <c r="F25" s="17"/>
      <c r="G25" s="17"/>
      <c r="H25" s="17"/>
      <c r="I25" s="17"/>
      <c r="J25" s="17"/>
      <c r="K25" s="17"/>
      <c r="L25" s="17"/>
      <c r="M25" s="17"/>
      <c r="N25" s="17"/>
      <c r="O25" s="17"/>
      <c r="P25" s="17"/>
      <c r="Q25" s="17"/>
      <c r="R25" s="17"/>
      <c r="S25" s="65"/>
      <c r="T25" s="65"/>
      <c r="U25" s="65"/>
      <c r="V25" s="65"/>
      <c r="W25" s="65"/>
    </row>
    <row r="26" spans="1:23" ht="28.5" customHeight="1" x14ac:dyDescent="0.2">
      <c r="A26" s="809" t="s">
        <v>282</v>
      </c>
      <c r="B26" s="811" t="s">
        <v>283</v>
      </c>
      <c r="C26" s="815" t="s">
        <v>259</v>
      </c>
      <c r="D26" s="818"/>
      <c r="E26" s="818"/>
      <c r="F26" s="818"/>
      <c r="G26" s="818"/>
      <c r="H26" s="818"/>
      <c r="I26" s="816"/>
      <c r="J26" s="817" t="s">
        <v>266</v>
      </c>
      <c r="K26" s="818"/>
      <c r="L26" s="818"/>
      <c r="M26" s="818"/>
      <c r="N26" s="816"/>
      <c r="O26" s="817" t="s">
        <v>271</v>
      </c>
      <c r="P26" s="816"/>
      <c r="Q26" s="815" t="s">
        <v>284</v>
      </c>
      <c r="R26" s="816"/>
      <c r="S26" s="65"/>
      <c r="T26" s="65"/>
      <c r="U26" s="65"/>
      <c r="V26" s="65"/>
      <c r="W26" s="65"/>
    </row>
    <row r="27" spans="1:23" ht="11.25" customHeight="1" x14ac:dyDescent="0.2">
      <c r="A27" s="810"/>
      <c r="B27" s="812"/>
      <c r="C27" s="69" t="s">
        <v>260</v>
      </c>
      <c r="D27" s="70" t="s">
        <v>261</v>
      </c>
      <c r="E27" s="70" t="s">
        <v>262</v>
      </c>
      <c r="F27" s="70" t="s">
        <v>263</v>
      </c>
      <c r="G27" s="70" t="s">
        <v>285</v>
      </c>
      <c r="H27" s="70" t="s">
        <v>286</v>
      </c>
      <c r="I27" s="71" t="s">
        <v>287</v>
      </c>
      <c r="J27" s="72" t="s">
        <v>288</v>
      </c>
      <c r="K27" s="73" t="s">
        <v>289</v>
      </c>
      <c r="L27" s="73" t="s">
        <v>269</v>
      </c>
      <c r="M27" s="73" t="s">
        <v>270</v>
      </c>
      <c r="N27" s="74" t="s">
        <v>290</v>
      </c>
      <c r="O27" s="72" t="s">
        <v>272</v>
      </c>
      <c r="P27" s="75" t="s">
        <v>291</v>
      </c>
      <c r="Q27" s="76" t="s">
        <v>292</v>
      </c>
      <c r="R27" s="77" t="s">
        <v>293</v>
      </c>
      <c r="S27" s="65"/>
      <c r="T27" s="65"/>
      <c r="U27" s="65"/>
      <c r="V27" s="65"/>
      <c r="W27" s="65"/>
    </row>
    <row r="28" spans="1:23" ht="20.25" customHeight="1" x14ac:dyDescent="0.2">
      <c r="A28" s="79" t="s">
        <v>294</v>
      </c>
      <c r="B28" s="80"/>
      <c r="C28" s="81">
        <f t="shared" ref="C28:Q28" si="43">SUM(C29:C32)</f>
        <v>0</v>
      </c>
      <c r="D28" s="82">
        <f t="shared" si="43"/>
        <v>10219653</v>
      </c>
      <c r="E28" s="82">
        <f t="shared" si="43"/>
        <v>2248131</v>
      </c>
      <c r="F28" s="82">
        <f t="shared" si="43"/>
        <v>339678748</v>
      </c>
      <c r="G28" s="82">
        <f t="shared" si="43"/>
        <v>5263350</v>
      </c>
      <c r="H28" s="82">
        <f t="shared" si="43"/>
        <v>229305000</v>
      </c>
      <c r="I28" s="83">
        <f t="shared" si="43"/>
        <v>586714882</v>
      </c>
      <c r="J28" s="84">
        <f t="shared" si="43"/>
        <v>843420800</v>
      </c>
      <c r="K28" s="85">
        <f t="shared" si="43"/>
        <v>0</v>
      </c>
      <c r="L28" s="85">
        <f t="shared" si="43"/>
        <v>99998233</v>
      </c>
      <c r="M28" s="85">
        <f t="shared" si="43"/>
        <v>0</v>
      </c>
      <c r="N28" s="86">
        <f t="shared" si="43"/>
        <v>943419033</v>
      </c>
      <c r="O28" s="87">
        <f t="shared" si="43"/>
        <v>0</v>
      </c>
      <c r="P28" s="88">
        <f t="shared" si="43"/>
        <v>0</v>
      </c>
      <c r="Q28" s="89">
        <f t="shared" si="43"/>
        <v>1530133915</v>
      </c>
      <c r="R28" s="90">
        <f t="shared" ref="R28:R42" si="44">Q28/$Q$43</f>
        <v>0.89932512056286285</v>
      </c>
      <c r="S28" s="65"/>
      <c r="T28" s="65"/>
      <c r="U28" s="65"/>
      <c r="V28" s="65"/>
      <c r="W28" s="65"/>
    </row>
    <row r="29" spans="1:23" ht="11.25" customHeight="1" x14ac:dyDescent="0.2">
      <c r="A29" s="91"/>
      <c r="B29" s="92" t="s">
        <v>295</v>
      </c>
      <c r="C29" s="93"/>
      <c r="D29" s="94">
        <v>9199867</v>
      </c>
      <c r="E29" s="94">
        <v>2189884</v>
      </c>
      <c r="F29" s="94">
        <v>147743380</v>
      </c>
      <c r="G29" s="94"/>
      <c r="H29" s="94">
        <v>229305000</v>
      </c>
      <c r="I29" s="95">
        <f t="shared" ref="I29:I32" si="45">+SUM(C29:H29)</f>
        <v>388438131</v>
      </c>
      <c r="J29" s="93">
        <v>843420800</v>
      </c>
      <c r="K29" s="94"/>
      <c r="L29" s="94">
        <v>9910700</v>
      </c>
      <c r="M29" s="94"/>
      <c r="N29" s="96">
        <f t="shared" ref="N29:N32" si="46">+SUM(J29:M29)</f>
        <v>853331500</v>
      </c>
      <c r="O29" s="97">
        <v>0</v>
      </c>
      <c r="P29" s="98">
        <v>0</v>
      </c>
      <c r="Q29" s="99">
        <f t="shared" ref="Q29:Q32" si="47">+I29+N29</f>
        <v>1241769631</v>
      </c>
      <c r="R29" s="100">
        <f t="shared" si="44"/>
        <v>0.72984110224782306</v>
      </c>
      <c r="S29" s="65"/>
      <c r="T29" s="65"/>
      <c r="U29" s="65"/>
      <c r="V29" s="65"/>
      <c r="W29" s="65"/>
    </row>
    <row r="30" spans="1:23" ht="11.25" customHeight="1" x14ac:dyDescent="0.2">
      <c r="A30" s="91"/>
      <c r="B30" s="92" t="s">
        <v>296</v>
      </c>
      <c r="C30" s="101"/>
      <c r="D30" s="41">
        <v>1019786</v>
      </c>
      <c r="E30" s="41">
        <v>58247</v>
      </c>
      <c r="F30" s="41">
        <v>35734817</v>
      </c>
      <c r="G30" s="41"/>
      <c r="H30" s="41"/>
      <c r="I30" s="95">
        <f t="shared" si="45"/>
        <v>36812850</v>
      </c>
      <c r="J30" s="101"/>
      <c r="K30" s="41"/>
      <c r="L30" s="41">
        <v>62309015</v>
      </c>
      <c r="M30" s="41"/>
      <c r="N30" s="96">
        <f t="shared" si="46"/>
        <v>62309015</v>
      </c>
      <c r="O30" s="102">
        <v>0</v>
      </c>
      <c r="P30" s="103">
        <v>0</v>
      </c>
      <c r="Q30" s="99">
        <f t="shared" si="47"/>
        <v>99121865</v>
      </c>
      <c r="R30" s="104">
        <f t="shared" si="44"/>
        <v>5.8258157876031932E-2</v>
      </c>
      <c r="S30" s="65"/>
      <c r="T30" s="65"/>
      <c r="U30" s="65"/>
      <c r="V30" s="65"/>
      <c r="W30" s="65"/>
    </row>
    <row r="31" spans="1:23" ht="11.25" customHeight="1" x14ac:dyDescent="0.2">
      <c r="A31" s="91"/>
      <c r="B31" s="92" t="s">
        <v>297</v>
      </c>
      <c r="C31" s="101"/>
      <c r="D31" s="41"/>
      <c r="E31" s="105"/>
      <c r="F31" s="105">
        <v>149457447</v>
      </c>
      <c r="G31" s="105">
        <v>5263350</v>
      </c>
      <c r="H31" s="105"/>
      <c r="I31" s="95">
        <f t="shared" si="45"/>
        <v>154720797</v>
      </c>
      <c r="J31" s="101"/>
      <c r="K31" s="41"/>
      <c r="L31" s="105">
        <v>27778518</v>
      </c>
      <c r="M31" s="41"/>
      <c r="N31" s="96">
        <f t="shared" si="46"/>
        <v>27778518</v>
      </c>
      <c r="O31" s="102">
        <v>0</v>
      </c>
      <c r="P31" s="135">
        <v>0</v>
      </c>
      <c r="Q31" s="99">
        <f t="shared" si="47"/>
        <v>182499315</v>
      </c>
      <c r="R31" s="104">
        <f t="shared" si="44"/>
        <v>0.1072626499263072</v>
      </c>
      <c r="S31" s="65"/>
      <c r="T31" s="65"/>
      <c r="U31" s="65"/>
      <c r="V31" s="65"/>
      <c r="W31" s="65"/>
    </row>
    <row r="32" spans="1:23" ht="11.25" customHeight="1" x14ac:dyDescent="0.2">
      <c r="A32" s="91"/>
      <c r="B32" s="92" t="s">
        <v>298</v>
      </c>
      <c r="C32" s="101"/>
      <c r="D32" s="41"/>
      <c r="E32" s="105"/>
      <c r="F32" s="105">
        <v>6743104</v>
      </c>
      <c r="G32" s="105"/>
      <c r="H32" s="105"/>
      <c r="I32" s="95">
        <f t="shared" si="45"/>
        <v>6743104</v>
      </c>
      <c r="J32" s="101"/>
      <c r="K32" s="41"/>
      <c r="L32" s="105"/>
      <c r="M32" s="41"/>
      <c r="N32" s="96">
        <f t="shared" si="46"/>
        <v>0</v>
      </c>
      <c r="O32" s="102">
        <v>0</v>
      </c>
      <c r="P32" s="135">
        <v>0</v>
      </c>
      <c r="Q32" s="99">
        <f t="shared" si="47"/>
        <v>6743104</v>
      </c>
      <c r="R32" s="104">
        <f t="shared" si="44"/>
        <v>3.9632105127007282E-3</v>
      </c>
      <c r="S32" s="65"/>
      <c r="T32" s="65"/>
      <c r="U32" s="65"/>
      <c r="V32" s="65"/>
      <c r="W32" s="65"/>
    </row>
    <row r="33" spans="1:23" ht="20.25" customHeight="1" x14ac:dyDescent="0.2">
      <c r="A33" s="79" t="s">
        <v>299</v>
      </c>
      <c r="B33" s="108"/>
      <c r="C33" s="109">
        <f t="shared" ref="C33:Q33" si="48">C34</f>
        <v>0</v>
      </c>
      <c r="D33" s="110">
        <f t="shared" si="48"/>
        <v>7285612</v>
      </c>
      <c r="E33" s="110">
        <f t="shared" si="48"/>
        <v>29801</v>
      </c>
      <c r="F33" s="110">
        <f t="shared" si="48"/>
        <v>4306890</v>
      </c>
      <c r="G33" s="110">
        <f t="shared" si="48"/>
        <v>0</v>
      </c>
      <c r="H33" s="110">
        <f t="shared" si="48"/>
        <v>0</v>
      </c>
      <c r="I33" s="88">
        <f t="shared" si="48"/>
        <v>11622303</v>
      </c>
      <c r="J33" s="109">
        <f t="shared" si="48"/>
        <v>0</v>
      </c>
      <c r="K33" s="110">
        <f t="shared" si="48"/>
        <v>0</v>
      </c>
      <c r="L33" s="110">
        <f t="shared" si="48"/>
        <v>0</v>
      </c>
      <c r="M33" s="110">
        <f t="shared" si="48"/>
        <v>0</v>
      </c>
      <c r="N33" s="86">
        <f t="shared" si="48"/>
        <v>0</v>
      </c>
      <c r="O33" s="111">
        <f t="shared" si="48"/>
        <v>0</v>
      </c>
      <c r="P33" s="112">
        <f t="shared" si="48"/>
        <v>0</v>
      </c>
      <c r="Q33" s="89">
        <f t="shared" si="48"/>
        <v>11622303</v>
      </c>
      <c r="R33" s="113">
        <f t="shared" si="44"/>
        <v>6.8309243682721215E-3</v>
      </c>
      <c r="S33" s="65"/>
      <c r="T33" s="65"/>
      <c r="U33" s="65"/>
      <c r="V33" s="65"/>
      <c r="W33" s="65"/>
    </row>
    <row r="34" spans="1:23" ht="27" customHeight="1" x14ac:dyDescent="0.2">
      <c r="A34" s="91"/>
      <c r="B34" s="92" t="s">
        <v>300</v>
      </c>
      <c r="C34" s="101"/>
      <c r="D34" s="41">
        <v>7285612</v>
      </c>
      <c r="E34" s="41">
        <v>29801</v>
      </c>
      <c r="F34" s="41">
        <v>4306890</v>
      </c>
      <c r="G34" s="41"/>
      <c r="H34" s="41"/>
      <c r="I34" s="95">
        <f>+SUM(C34:H34)</f>
        <v>11622303</v>
      </c>
      <c r="J34" s="101"/>
      <c r="K34" s="41"/>
      <c r="L34" s="41"/>
      <c r="M34" s="41"/>
      <c r="N34" s="96">
        <f>+SUM(J34:M34)</f>
        <v>0</v>
      </c>
      <c r="O34" s="102"/>
      <c r="P34" s="103"/>
      <c r="Q34" s="99">
        <f>+I34+N34</f>
        <v>11622303</v>
      </c>
      <c r="R34" s="104">
        <f t="shared" si="44"/>
        <v>6.8309243682721215E-3</v>
      </c>
      <c r="S34" s="65"/>
      <c r="T34" s="65"/>
      <c r="U34" s="65"/>
      <c r="V34" s="65"/>
      <c r="W34" s="65"/>
    </row>
    <row r="35" spans="1:23" ht="20.25" customHeight="1" x14ac:dyDescent="0.2">
      <c r="A35" s="79" t="s">
        <v>301</v>
      </c>
      <c r="B35" s="108"/>
      <c r="C35" s="84">
        <f t="shared" ref="C35:Q35" si="49">C36</f>
        <v>0</v>
      </c>
      <c r="D35" s="85">
        <f t="shared" si="49"/>
        <v>78721</v>
      </c>
      <c r="E35" s="85">
        <f t="shared" si="49"/>
        <v>0</v>
      </c>
      <c r="F35" s="85">
        <f t="shared" si="49"/>
        <v>294209</v>
      </c>
      <c r="G35" s="85">
        <f t="shared" si="49"/>
        <v>0</v>
      </c>
      <c r="H35" s="85">
        <f t="shared" si="49"/>
        <v>0</v>
      </c>
      <c r="I35" s="88">
        <f t="shared" si="49"/>
        <v>372930</v>
      </c>
      <c r="J35" s="84">
        <f t="shared" si="49"/>
        <v>0</v>
      </c>
      <c r="K35" s="85">
        <f t="shared" si="49"/>
        <v>0</v>
      </c>
      <c r="L35" s="85">
        <f t="shared" si="49"/>
        <v>0</v>
      </c>
      <c r="M35" s="85">
        <f t="shared" si="49"/>
        <v>0</v>
      </c>
      <c r="N35" s="86">
        <f t="shared" si="49"/>
        <v>0</v>
      </c>
      <c r="O35" s="87">
        <f t="shared" si="49"/>
        <v>0</v>
      </c>
      <c r="P35" s="88">
        <f t="shared" si="49"/>
        <v>0</v>
      </c>
      <c r="Q35" s="89">
        <f t="shared" si="49"/>
        <v>372930</v>
      </c>
      <c r="R35" s="90">
        <f t="shared" si="44"/>
        <v>2.1918690509615196E-4</v>
      </c>
      <c r="S35" s="65"/>
      <c r="T35" s="65"/>
      <c r="U35" s="65"/>
      <c r="V35" s="65"/>
      <c r="W35" s="65"/>
    </row>
    <row r="36" spans="1:23" ht="11.25" customHeight="1" x14ac:dyDescent="0.2">
      <c r="A36" s="91"/>
      <c r="B36" s="92" t="s">
        <v>302</v>
      </c>
      <c r="C36" s="93"/>
      <c r="D36" s="94">
        <v>78721</v>
      </c>
      <c r="E36" s="94"/>
      <c r="F36" s="94">
        <v>294209</v>
      </c>
      <c r="G36" s="94"/>
      <c r="H36" s="94"/>
      <c r="I36" s="95">
        <f>+SUM(C36:H36)</f>
        <v>372930</v>
      </c>
      <c r="J36" s="93"/>
      <c r="K36" s="94"/>
      <c r="L36" s="94"/>
      <c r="M36" s="94"/>
      <c r="N36" s="96">
        <f>+SUM(J36:M36)</f>
        <v>0</v>
      </c>
      <c r="O36" s="97"/>
      <c r="P36" s="98"/>
      <c r="Q36" s="99">
        <f>+I36+N36</f>
        <v>372930</v>
      </c>
      <c r="R36" s="100">
        <f t="shared" si="44"/>
        <v>2.1918690509615196E-4</v>
      </c>
      <c r="S36" s="65"/>
      <c r="T36" s="65"/>
      <c r="U36" s="65"/>
      <c r="V36" s="65"/>
      <c r="W36" s="65"/>
    </row>
    <row r="37" spans="1:23" ht="20.25" customHeight="1" x14ac:dyDescent="0.2">
      <c r="A37" s="79" t="s">
        <v>303</v>
      </c>
      <c r="B37" s="108"/>
      <c r="C37" s="109">
        <f t="shared" ref="C37:Q37" si="50">SUM(C38:C40)</f>
        <v>0</v>
      </c>
      <c r="D37" s="110">
        <f t="shared" si="50"/>
        <v>86400</v>
      </c>
      <c r="E37" s="110">
        <f t="shared" si="50"/>
        <v>0</v>
      </c>
      <c r="F37" s="110">
        <f t="shared" si="50"/>
        <v>41665066</v>
      </c>
      <c r="G37" s="110">
        <f t="shared" si="50"/>
        <v>21039831</v>
      </c>
      <c r="H37" s="110">
        <f t="shared" si="50"/>
        <v>6000</v>
      </c>
      <c r="I37" s="88">
        <f t="shared" si="50"/>
        <v>62797297</v>
      </c>
      <c r="J37" s="109">
        <f t="shared" si="50"/>
        <v>0</v>
      </c>
      <c r="K37" s="110">
        <f t="shared" si="50"/>
        <v>0</v>
      </c>
      <c r="L37" s="110">
        <f t="shared" si="50"/>
        <v>11537586</v>
      </c>
      <c r="M37" s="110">
        <f t="shared" si="50"/>
        <v>0</v>
      </c>
      <c r="N37" s="86">
        <f t="shared" si="50"/>
        <v>11537586</v>
      </c>
      <c r="O37" s="111">
        <f t="shared" si="50"/>
        <v>0</v>
      </c>
      <c r="P37" s="112">
        <f t="shared" si="50"/>
        <v>0</v>
      </c>
      <c r="Q37" s="89">
        <f t="shared" si="50"/>
        <v>74334883</v>
      </c>
      <c r="R37" s="113">
        <f t="shared" si="44"/>
        <v>4.3689788822177243E-2</v>
      </c>
      <c r="S37" s="65"/>
      <c r="T37" s="65"/>
      <c r="U37" s="65"/>
      <c r="V37" s="65"/>
      <c r="W37" s="65"/>
    </row>
    <row r="38" spans="1:23" ht="11.25" customHeight="1" x14ac:dyDescent="0.2">
      <c r="A38" s="91"/>
      <c r="B38" s="92" t="s">
        <v>304</v>
      </c>
      <c r="C38" s="101"/>
      <c r="D38" s="41">
        <v>86400</v>
      </c>
      <c r="E38" s="41"/>
      <c r="F38" s="41">
        <v>40447580</v>
      </c>
      <c r="G38" s="41">
        <v>21039831</v>
      </c>
      <c r="H38" s="41">
        <v>6000</v>
      </c>
      <c r="I38" s="95">
        <f t="shared" ref="I38:I40" si="51">+SUM(C38:H38)</f>
        <v>61579811</v>
      </c>
      <c r="J38" s="101"/>
      <c r="K38" s="41"/>
      <c r="L38" s="41">
        <v>2473978</v>
      </c>
      <c r="M38" s="41"/>
      <c r="N38" s="96">
        <f t="shared" ref="N38:N40" si="52">+SUM(J38:M38)</f>
        <v>2473978</v>
      </c>
      <c r="O38" s="102"/>
      <c r="P38" s="103"/>
      <c r="Q38" s="99">
        <f t="shared" ref="Q38:Q40" si="53">+I38+N38</f>
        <v>64053789</v>
      </c>
      <c r="R38" s="104">
        <f t="shared" si="44"/>
        <v>3.7647150324704212E-2</v>
      </c>
      <c r="S38" s="65"/>
      <c r="T38" s="65"/>
      <c r="U38" s="65"/>
      <c r="V38" s="65"/>
      <c r="W38" s="65"/>
    </row>
    <row r="39" spans="1:23" ht="18" customHeight="1" x14ac:dyDescent="0.2">
      <c r="A39" s="91"/>
      <c r="B39" s="92" t="s">
        <v>305</v>
      </c>
      <c r="C39" s="101"/>
      <c r="D39" s="41"/>
      <c r="E39" s="105"/>
      <c r="F39" s="105">
        <v>1217486</v>
      </c>
      <c r="G39" s="105"/>
      <c r="H39" s="105"/>
      <c r="I39" s="95">
        <f t="shared" si="51"/>
        <v>1217486</v>
      </c>
      <c r="J39" s="101"/>
      <c r="K39" s="41"/>
      <c r="L39" s="105">
        <v>9063608</v>
      </c>
      <c r="M39" s="41"/>
      <c r="N39" s="96">
        <f t="shared" si="52"/>
        <v>9063608</v>
      </c>
      <c r="O39" s="115"/>
      <c r="P39" s="106"/>
      <c r="Q39" s="99">
        <f t="shared" si="53"/>
        <v>10281094</v>
      </c>
      <c r="R39" s="104">
        <f t="shared" si="44"/>
        <v>6.042638497473031E-3</v>
      </c>
      <c r="S39" s="65"/>
      <c r="T39" s="65"/>
      <c r="U39" s="65"/>
      <c r="V39" s="65"/>
      <c r="W39" s="65"/>
    </row>
    <row r="40" spans="1:23" ht="11.25" customHeight="1" x14ac:dyDescent="0.2">
      <c r="A40" s="91"/>
      <c r="B40" s="92" t="s">
        <v>306</v>
      </c>
      <c r="C40" s="101"/>
      <c r="D40" s="41"/>
      <c r="E40" s="105"/>
      <c r="F40" s="105"/>
      <c r="G40" s="105"/>
      <c r="H40" s="105"/>
      <c r="I40" s="95">
        <f t="shared" si="51"/>
        <v>0</v>
      </c>
      <c r="J40" s="101"/>
      <c r="K40" s="41"/>
      <c r="L40" s="105"/>
      <c r="M40" s="41"/>
      <c r="N40" s="96">
        <f t="shared" si="52"/>
        <v>0</v>
      </c>
      <c r="O40" s="115"/>
      <c r="P40" s="106"/>
      <c r="Q40" s="99">
        <f t="shared" si="53"/>
        <v>0</v>
      </c>
      <c r="R40" s="104">
        <f t="shared" si="44"/>
        <v>0</v>
      </c>
      <c r="S40" s="65"/>
      <c r="T40" s="65"/>
      <c r="U40" s="65"/>
      <c r="V40" s="65"/>
      <c r="W40" s="65"/>
    </row>
    <row r="41" spans="1:23" ht="20.25" customHeight="1" x14ac:dyDescent="0.2">
      <c r="A41" s="79" t="s">
        <v>307</v>
      </c>
      <c r="B41" s="108"/>
      <c r="C41" s="109">
        <f t="shared" ref="C41:Q41" si="54">C42</f>
        <v>0</v>
      </c>
      <c r="D41" s="110">
        <f t="shared" si="54"/>
        <v>11679092</v>
      </c>
      <c r="E41" s="110">
        <f t="shared" si="54"/>
        <v>423133</v>
      </c>
      <c r="F41" s="110">
        <f t="shared" si="54"/>
        <v>66858379</v>
      </c>
      <c r="G41" s="110">
        <f t="shared" si="54"/>
        <v>0</v>
      </c>
      <c r="H41" s="110">
        <f t="shared" si="54"/>
        <v>0</v>
      </c>
      <c r="I41" s="88">
        <f t="shared" si="54"/>
        <v>78960604</v>
      </c>
      <c r="J41" s="109">
        <f t="shared" si="54"/>
        <v>0</v>
      </c>
      <c r="K41" s="110">
        <f t="shared" si="54"/>
        <v>0</v>
      </c>
      <c r="L41" s="110">
        <f t="shared" si="54"/>
        <v>6000000</v>
      </c>
      <c r="M41" s="110">
        <f t="shared" si="54"/>
        <v>0</v>
      </c>
      <c r="N41" s="86">
        <f t="shared" si="54"/>
        <v>6000000</v>
      </c>
      <c r="O41" s="111">
        <f t="shared" si="54"/>
        <v>0</v>
      </c>
      <c r="P41" s="112">
        <f t="shared" si="54"/>
        <v>0</v>
      </c>
      <c r="Q41" s="89">
        <f t="shared" si="54"/>
        <v>84960604</v>
      </c>
      <c r="R41" s="136">
        <f t="shared" si="44"/>
        <v>4.9934979341591586E-2</v>
      </c>
      <c r="S41" s="65"/>
      <c r="T41" s="65"/>
      <c r="U41" s="65"/>
      <c r="V41" s="65"/>
      <c r="W41" s="65"/>
    </row>
    <row r="42" spans="1:23" ht="11.25" customHeight="1" x14ac:dyDescent="0.2">
      <c r="A42" s="137"/>
      <c r="B42" s="118" t="s">
        <v>308</v>
      </c>
      <c r="C42" s="119"/>
      <c r="D42" s="120">
        <v>11679092</v>
      </c>
      <c r="E42" s="120">
        <v>423133</v>
      </c>
      <c r="F42" s="120">
        <v>66858379</v>
      </c>
      <c r="G42" s="120"/>
      <c r="H42" s="120"/>
      <c r="I42" s="121">
        <f>+SUM(C42:H42)</f>
        <v>78960604</v>
      </c>
      <c r="J42" s="122"/>
      <c r="K42" s="123"/>
      <c r="L42" s="94">
        <v>6000000</v>
      </c>
      <c r="M42" s="123"/>
      <c r="N42" s="96">
        <f>+SUM(J42:M42)</f>
        <v>6000000</v>
      </c>
      <c r="O42" s="124"/>
      <c r="P42" s="125"/>
      <c r="Q42" s="99">
        <f>+I42+N42</f>
        <v>84960604</v>
      </c>
      <c r="R42" s="126">
        <f t="shared" si="44"/>
        <v>4.9934979341591586E-2</v>
      </c>
      <c r="S42" s="65"/>
      <c r="T42" s="65"/>
      <c r="U42" s="65"/>
      <c r="V42" s="65"/>
      <c r="W42" s="65"/>
    </row>
    <row r="43" spans="1:23" ht="21.75" customHeight="1" x14ac:dyDescent="0.2">
      <c r="A43" s="813" t="s">
        <v>309</v>
      </c>
      <c r="B43" s="814"/>
      <c r="C43" s="127">
        <f t="shared" ref="C43:Q43" si="55">C41+C37+C35+C33+C28</f>
        <v>0</v>
      </c>
      <c r="D43" s="128">
        <f t="shared" si="55"/>
        <v>29349478</v>
      </c>
      <c r="E43" s="128">
        <f t="shared" si="55"/>
        <v>2701065</v>
      </c>
      <c r="F43" s="128">
        <f t="shared" si="55"/>
        <v>452803292</v>
      </c>
      <c r="G43" s="128">
        <f t="shared" si="55"/>
        <v>26303181</v>
      </c>
      <c r="H43" s="128">
        <f t="shared" si="55"/>
        <v>229311000</v>
      </c>
      <c r="I43" s="129">
        <f t="shared" si="55"/>
        <v>740468016</v>
      </c>
      <c r="J43" s="127">
        <f t="shared" si="55"/>
        <v>843420800</v>
      </c>
      <c r="K43" s="128">
        <f t="shared" si="55"/>
        <v>0</v>
      </c>
      <c r="L43" s="128">
        <f t="shared" si="55"/>
        <v>117535819</v>
      </c>
      <c r="M43" s="128">
        <f t="shared" si="55"/>
        <v>0</v>
      </c>
      <c r="N43" s="129">
        <f t="shared" si="55"/>
        <v>960956619</v>
      </c>
      <c r="O43" s="127">
        <f t="shared" si="55"/>
        <v>0</v>
      </c>
      <c r="P43" s="129">
        <f t="shared" si="55"/>
        <v>0</v>
      </c>
      <c r="Q43" s="130">
        <f t="shared" si="55"/>
        <v>1701424635</v>
      </c>
      <c r="R43" s="131">
        <v>1</v>
      </c>
      <c r="S43" s="65"/>
      <c r="T43" s="65"/>
      <c r="U43" s="65"/>
      <c r="V43" s="65"/>
      <c r="W43" s="65"/>
    </row>
    <row r="44" spans="1:23" ht="11.25" customHeight="1" x14ac:dyDescent="0.2">
      <c r="A44" s="65"/>
      <c r="B44" s="65"/>
      <c r="C44" s="65"/>
      <c r="D44" s="65"/>
      <c r="E44" s="65"/>
      <c r="F44" s="65"/>
      <c r="G44" s="65"/>
      <c r="H44" s="65"/>
      <c r="I44" s="65"/>
      <c r="J44" s="65"/>
      <c r="K44" s="65"/>
      <c r="L44" s="65"/>
      <c r="M44" s="65"/>
      <c r="N44" s="65"/>
      <c r="O44" s="65"/>
      <c r="P44" s="65"/>
      <c r="Q44" s="65"/>
      <c r="R44" s="65"/>
      <c r="S44" s="65"/>
      <c r="T44" s="65"/>
      <c r="U44" s="65"/>
      <c r="V44" s="65"/>
      <c r="W44" s="65"/>
    </row>
    <row r="45" spans="1:23" ht="11.25" customHeight="1" x14ac:dyDescent="0.2">
      <c r="A45" s="65"/>
      <c r="B45" s="65"/>
      <c r="C45" s="65"/>
      <c r="D45" s="65"/>
      <c r="E45" s="65"/>
      <c r="F45" s="65"/>
      <c r="G45" s="65"/>
      <c r="H45" s="65"/>
      <c r="I45" s="65"/>
      <c r="J45" s="65"/>
      <c r="K45" s="65"/>
      <c r="L45" s="65"/>
      <c r="M45" s="65"/>
      <c r="N45" s="65"/>
      <c r="O45" s="65"/>
      <c r="P45" s="65"/>
      <c r="Q45" s="65"/>
      <c r="R45" s="65"/>
      <c r="S45" s="65"/>
      <c r="T45" s="65"/>
      <c r="U45" s="65"/>
      <c r="V45" s="65"/>
      <c r="W45" s="65"/>
    </row>
    <row r="46" spans="1:23" ht="11.25" customHeight="1" x14ac:dyDescent="0.2">
      <c r="A46" s="67" t="s">
        <v>311</v>
      </c>
      <c r="B46" s="17"/>
      <c r="C46" s="17"/>
      <c r="D46" s="17"/>
      <c r="E46" s="17"/>
      <c r="F46" s="17"/>
      <c r="G46" s="17"/>
      <c r="H46" s="17"/>
      <c r="I46" s="17"/>
      <c r="J46" s="17"/>
      <c r="K46" s="17"/>
      <c r="L46" s="17"/>
      <c r="M46" s="17"/>
      <c r="N46" s="17"/>
      <c r="O46" s="17"/>
      <c r="P46" s="17"/>
      <c r="Q46" s="17"/>
      <c r="R46" s="17"/>
      <c r="S46" s="65"/>
      <c r="T46" s="65"/>
      <c r="U46" s="65"/>
      <c r="V46" s="65"/>
      <c r="W46" s="65"/>
    </row>
    <row r="47" spans="1:23" ht="27" customHeight="1" x14ac:dyDescent="0.2">
      <c r="A47" s="809" t="s">
        <v>282</v>
      </c>
      <c r="B47" s="811" t="s">
        <v>283</v>
      </c>
      <c r="C47" s="815" t="s">
        <v>259</v>
      </c>
      <c r="D47" s="818"/>
      <c r="E47" s="818"/>
      <c r="F47" s="818"/>
      <c r="G47" s="818"/>
      <c r="H47" s="818"/>
      <c r="I47" s="816"/>
      <c r="J47" s="817" t="s">
        <v>266</v>
      </c>
      <c r="K47" s="818"/>
      <c r="L47" s="818"/>
      <c r="M47" s="818"/>
      <c r="N47" s="816"/>
      <c r="O47" s="817" t="s">
        <v>271</v>
      </c>
      <c r="P47" s="816"/>
      <c r="Q47" s="815" t="s">
        <v>284</v>
      </c>
      <c r="R47" s="816"/>
      <c r="S47" s="65"/>
      <c r="T47" s="65"/>
      <c r="U47" s="65"/>
      <c r="V47" s="65"/>
      <c r="W47" s="65"/>
    </row>
    <row r="48" spans="1:23" ht="11.25" customHeight="1" x14ac:dyDescent="0.2">
      <c r="A48" s="810"/>
      <c r="B48" s="812"/>
      <c r="C48" s="69" t="s">
        <v>260</v>
      </c>
      <c r="D48" s="70" t="s">
        <v>261</v>
      </c>
      <c r="E48" s="70" t="s">
        <v>262</v>
      </c>
      <c r="F48" s="70" t="s">
        <v>263</v>
      </c>
      <c r="G48" s="70" t="s">
        <v>285</v>
      </c>
      <c r="H48" s="70" t="s">
        <v>286</v>
      </c>
      <c r="I48" s="71" t="s">
        <v>287</v>
      </c>
      <c r="J48" s="72" t="s">
        <v>288</v>
      </c>
      <c r="K48" s="73" t="s">
        <v>289</v>
      </c>
      <c r="L48" s="73" t="s">
        <v>269</v>
      </c>
      <c r="M48" s="73" t="s">
        <v>270</v>
      </c>
      <c r="N48" s="74" t="s">
        <v>290</v>
      </c>
      <c r="O48" s="72" t="s">
        <v>272</v>
      </c>
      <c r="P48" s="75" t="s">
        <v>291</v>
      </c>
      <c r="Q48" s="76" t="s">
        <v>292</v>
      </c>
      <c r="R48" s="77" t="s">
        <v>293</v>
      </c>
      <c r="S48" s="65"/>
      <c r="T48" s="65"/>
      <c r="U48" s="65"/>
      <c r="V48" s="65"/>
      <c r="W48" s="65"/>
    </row>
    <row r="49" spans="1:23" ht="20.25" customHeight="1" x14ac:dyDescent="0.2">
      <c r="A49" s="79" t="s">
        <v>294</v>
      </c>
      <c r="B49" s="80"/>
      <c r="C49" s="81">
        <f t="shared" ref="C49:Q49" si="56">SUM(C50:C53)</f>
        <v>0</v>
      </c>
      <c r="D49" s="82">
        <f t="shared" si="56"/>
        <v>24000</v>
      </c>
      <c r="E49" s="82">
        <f t="shared" si="56"/>
        <v>0</v>
      </c>
      <c r="F49" s="82">
        <f t="shared" si="56"/>
        <v>5204871</v>
      </c>
      <c r="G49" s="82">
        <f t="shared" si="56"/>
        <v>1881</v>
      </c>
      <c r="H49" s="82">
        <f t="shared" si="56"/>
        <v>95786</v>
      </c>
      <c r="I49" s="83">
        <f t="shared" si="56"/>
        <v>5326538</v>
      </c>
      <c r="J49" s="84">
        <f t="shared" si="56"/>
        <v>0</v>
      </c>
      <c r="K49" s="85">
        <f t="shared" si="56"/>
        <v>0</v>
      </c>
      <c r="L49" s="85">
        <f t="shared" si="56"/>
        <v>3822643</v>
      </c>
      <c r="M49" s="85">
        <f t="shared" si="56"/>
        <v>0</v>
      </c>
      <c r="N49" s="86">
        <f t="shared" si="56"/>
        <v>3822643</v>
      </c>
      <c r="O49" s="87">
        <f t="shared" si="56"/>
        <v>0</v>
      </c>
      <c r="P49" s="88">
        <f t="shared" si="56"/>
        <v>0</v>
      </c>
      <c r="Q49" s="89">
        <f t="shared" si="56"/>
        <v>9149181</v>
      </c>
      <c r="R49" s="90">
        <f t="shared" ref="R49:R63" si="57">Q49/$Q$64</f>
        <v>5.5865437362338906E-2</v>
      </c>
      <c r="S49" s="65"/>
      <c r="T49" s="65"/>
      <c r="U49" s="65"/>
      <c r="V49" s="65"/>
      <c r="W49" s="65"/>
    </row>
    <row r="50" spans="1:23" ht="11.25" customHeight="1" x14ac:dyDescent="0.2">
      <c r="A50" s="91"/>
      <c r="B50" s="92" t="s">
        <v>295</v>
      </c>
      <c r="C50" s="93"/>
      <c r="D50" s="94">
        <v>24000</v>
      </c>
      <c r="E50" s="94"/>
      <c r="F50" s="94">
        <v>4856485</v>
      </c>
      <c r="G50" s="94">
        <v>1881</v>
      </c>
      <c r="H50" s="94">
        <v>95786</v>
      </c>
      <c r="I50" s="95">
        <f t="shared" ref="I50:I53" si="58">+SUM(C50:H50)</f>
        <v>4978152</v>
      </c>
      <c r="J50" s="93"/>
      <c r="K50" s="94"/>
      <c r="L50" s="94">
        <v>3822643</v>
      </c>
      <c r="M50" s="94"/>
      <c r="N50" s="96">
        <f t="shared" ref="N50:N53" si="59">+SUM(J50:M50)</f>
        <v>3822643</v>
      </c>
      <c r="O50" s="97"/>
      <c r="P50" s="98"/>
      <c r="Q50" s="99">
        <f t="shared" ref="Q50:Q53" si="60">+I50+N50</f>
        <v>8800795</v>
      </c>
      <c r="R50" s="100">
        <f t="shared" si="57"/>
        <v>5.3738171953455226E-2</v>
      </c>
      <c r="S50" s="65"/>
      <c r="T50" s="65"/>
      <c r="U50" s="65"/>
      <c r="V50" s="65"/>
      <c r="W50" s="65"/>
    </row>
    <row r="51" spans="1:23" ht="11.25" customHeight="1" x14ac:dyDescent="0.2">
      <c r="A51" s="91"/>
      <c r="B51" s="92" t="s">
        <v>296</v>
      </c>
      <c r="C51" s="101"/>
      <c r="D51" s="41"/>
      <c r="E51" s="41"/>
      <c r="F51" s="41">
        <v>3200</v>
      </c>
      <c r="G51" s="41"/>
      <c r="H51" s="41"/>
      <c r="I51" s="95">
        <f t="shared" si="58"/>
        <v>3200</v>
      </c>
      <c r="J51" s="101"/>
      <c r="K51" s="41"/>
      <c r="L51" s="41"/>
      <c r="M51" s="41"/>
      <c r="N51" s="96">
        <f t="shared" si="59"/>
        <v>0</v>
      </c>
      <c r="O51" s="102"/>
      <c r="P51" s="103"/>
      <c r="Q51" s="99">
        <f t="shared" si="60"/>
        <v>3200</v>
      </c>
      <c r="R51" s="104">
        <f t="shared" si="57"/>
        <v>1.9539388231524166E-5</v>
      </c>
      <c r="S51" s="65"/>
      <c r="T51" s="65"/>
      <c r="U51" s="65"/>
      <c r="V51" s="65"/>
      <c r="W51" s="65"/>
    </row>
    <row r="52" spans="1:23" ht="11.25" customHeight="1" x14ac:dyDescent="0.2">
      <c r="A52" s="91"/>
      <c r="B52" s="92" t="s">
        <v>297</v>
      </c>
      <c r="C52" s="101"/>
      <c r="D52" s="41"/>
      <c r="E52" s="105"/>
      <c r="F52" s="105">
        <v>12062</v>
      </c>
      <c r="G52" s="105"/>
      <c r="H52" s="105"/>
      <c r="I52" s="95">
        <f t="shared" si="58"/>
        <v>12062</v>
      </c>
      <c r="J52" s="101"/>
      <c r="K52" s="41"/>
      <c r="L52" s="105"/>
      <c r="M52" s="41"/>
      <c r="N52" s="96">
        <f t="shared" si="59"/>
        <v>0</v>
      </c>
      <c r="O52" s="102"/>
      <c r="P52" s="106"/>
      <c r="Q52" s="99">
        <f t="shared" si="60"/>
        <v>12062</v>
      </c>
      <c r="R52" s="104">
        <f t="shared" si="57"/>
        <v>7.3651281515201399E-5</v>
      </c>
      <c r="S52" s="65"/>
      <c r="T52" s="65"/>
      <c r="U52" s="65"/>
      <c r="V52" s="65"/>
      <c r="W52" s="65"/>
    </row>
    <row r="53" spans="1:23" ht="11.25" customHeight="1" x14ac:dyDescent="0.2">
      <c r="A53" s="91"/>
      <c r="B53" s="92" t="s">
        <v>298</v>
      </c>
      <c r="C53" s="101"/>
      <c r="D53" s="41"/>
      <c r="E53" s="105"/>
      <c r="F53" s="105">
        <v>333124</v>
      </c>
      <c r="G53" s="105"/>
      <c r="H53" s="105"/>
      <c r="I53" s="95">
        <f t="shared" si="58"/>
        <v>333124</v>
      </c>
      <c r="J53" s="101"/>
      <c r="K53" s="41"/>
      <c r="L53" s="105"/>
      <c r="M53" s="41"/>
      <c r="N53" s="96">
        <f t="shared" si="59"/>
        <v>0</v>
      </c>
      <c r="O53" s="102"/>
      <c r="P53" s="106"/>
      <c r="Q53" s="99">
        <f t="shared" si="60"/>
        <v>333124</v>
      </c>
      <c r="R53" s="104">
        <f t="shared" si="57"/>
        <v>2.0340747391369551E-3</v>
      </c>
      <c r="S53" s="65"/>
      <c r="T53" s="65"/>
      <c r="U53" s="65"/>
      <c r="V53" s="65"/>
      <c r="W53" s="65"/>
    </row>
    <row r="54" spans="1:23" ht="20.25" customHeight="1" x14ac:dyDescent="0.2">
      <c r="A54" s="79" t="s">
        <v>299</v>
      </c>
      <c r="B54" s="108"/>
      <c r="C54" s="109">
        <f t="shared" ref="C54:Q54" si="61">C55</f>
        <v>0</v>
      </c>
      <c r="D54" s="110">
        <f t="shared" si="61"/>
        <v>303374</v>
      </c>
      <c r="E54" s="110">
        <f t="shared" si="61"/>
        <v>180000</v>
      </c>
      <c r="F54" s="110">
        <f t="shared" si="61"/>
        <v>22883501</v>
      </c>
      <c r="G54" s="110">
        <f t="shared" si="61"/>
        <v>0</v>
      </c>
      <c r="H54" s="110">
        <f t="shared" si="61"/>
        <v>318000</v>
      </c>
      <c r="I54" s="88">
        <f t="shared" si="61"/>
        <v>23684875</v>
      </c>
      <c r="J54" s="109">
        <f t="shared" si="61"/>
        <v>0</v>
      </c>
      <c r="K54" s="110">
        <f t="shared" si="61"/>
        <v>0</v>
      </c>
      <c r="L54" s="110">
        <f t="shared" si="61"/>
        <v>0</v>
      </c>
      <c r="M54" s="110">
        <f t="shared" si="61"/>
        <v>0</v>
      </c>
      <c r="N54" s="86">
        <f t="shared" si="61"/>
        <v>0</v>
      </c>
      <c r="O54" s="111">
        <f t="shared" si="61"/>
        <v>0</v>
      </c>
      <c r="P54" s="112">
        <f t="shared" si="61"/>
        <v>0</v>
      </c>
      <c r="Q54" s="89">
        <f t="shared" si="61"/>
        <v>23684875</v>
      </c>
      <c r="R54" s="113">
        <f t="shared" si="57"/>
        <v>0.14462123995003778</v>
      </c>
      <c r="S54" s="65"/>
      <c r="T54" s="65"/>
      <c r="U54" s="65"/>
      <c r="V54" s="65"/>
      <c r="W54" s="65"/>
    </row>
    <row r="55" spans="1:23" ht="22.5" customHeight="1" x14ac:dyDescent="0.2">
      <c r="A55" s="91"/>
      <c r="B55" s="92" t="s">
        <v>300</v>
      </c>
      <c r="C55" s="101"/>
      <c r="D55" s="41">
        <v>303374</v>
      </c>
      <c r="E55" s="41">
        <v>180000</v>
      </c>
      <c r="F55" s="41">
        <v>22883501</v>
      </c>
      <c r="G55" s="41"/>
      <c r="H55" s="41">
        <v>318000</v>
      </c>
      <c r="I55" s="95">
        <f>+SUM(C55:H55)</f>
        <v>23684875</v>
      </c>
      <c r="J55" s="101"/>
      <c r="K55" s="41"/>
      <c r="L55" s="41"/>
      <c r="M55" s="41"/>
      <c r="N55" s="96">
        <f>+SUM(J55:M55)</f>
        <v>0</v>
      </c>
      <c r="O55" s="102"/>
      <c r="P55" s="103"/>
      <c r="Q55" s="99">
        <f>+I55+N55</f>
        <v>23684875</v>
      </c>
      <c r="R55" s="104">
        <f t="shared" si="57"/>
        <v>0.14462123995003778</v>
      </c>
      <c r="S55" s="65"/>
      <c r="T55" s="65"/>
      <c r="U55" s="65"/>
      <c r="V55" s="65"/>
      <c r="W55" s="65"/>
    </row>
    <row r="56" spans="1:23" ht="20.25" customHeight="1" x14ac:dyDescent="0.2">
      <c r="A56" s="79" t="s">
        <v>301</v>
      </c>
      <c r="B56" s="108"/>
      <c r="C56" s="84">
        <f t="shared" ref="C56:Q56" si="62">C57</f>
        <v>0</v>
      </c>
      <c r="D56" s="85">
        <f t="shared" si="62"/>
        <v>12274570</v>
      </c>
      <c r="E56" s="85">
        <f t="shared" si="62"/>
        <v>106767</v>
      </c>
      <c r="F56" s="85">
        <f t="shared" si="62"/>
        <v>65717853</v>
      </c>
      <c r="G56" s="85">
        <f t="shared" si="62"/>
        <v>120000</v>
      </c>
      <c r="H56" s="85">
        <f t="shared" si="62"/>
        <v>105922</v>
      </c>
      <c r="I56" s="88">
        <f t="shared" si="62"/>
        <v>78325112</v>
      </c>
      <c r="J56" s="84">
        <f t="shared" si="62"/>
        <v>0</v>
      </c>
      <c r="K56" s="85">
        <f t="shared" si="62"/>
        <v>0</v>
      </c>
      <c r="L56" s="85">
        <f t="shared" si="62"/>
        <v>30754106</v>
      </c>
      <c r="M56" s="85">
        <f t="shared" si="62"/>
        <v>0</v>
      </c>
      <c r="N56" s="86">
        <f t="shared" si="62"/>
        <v>30754106</v>
      </c>
      <c r="O56" s="87">
        <f t="shared" si="62"/>
        <v>0</v>
      </c>
      <c r="P56" s="88">
        <f t="shared" si="62"/>
        <v>0</v>
      </c>
      <c r="Q56" s="89">
        <f t="shared" si="62"/>
        <v>109079218</v>
      </c>
      <c r="R56" s="90">
        <f t="shared" si="57"/>
        <v>0.66604412140408087</v>
      </c>
      <c r="S56" s="65"/>
      <c r="T56" s="65"/>
      <c r="U56" s="65"/>
      <c r="V56" s="65"/>
      <c r="W56" s="65"/>
    </row>
    <row r="57" spans="1:23" ht="11.25" customHeight="1" x14ac:dyDescent="0.2">
      <c r="A57" s="91"/>
      <c r="B57" s="92" t="s">
        <v>302</v>
      </c>
      <c r="C57" s="93"/>
      <c r="D57" s="94">
        <v>12274570</v>
      </c>
      <c r="E57" s="94">
        <v>106767</v>
      </c>
      <c r="F57" s="94">
        <v>65717853</v>
      </c>
      <c r="G57" s="94">
        <v>120000</v>
      </c>
      <c r="H57" s="94">
        <v>105922</v>
      </c>
      <c r="I57" s="95">
        <f>+SUM(C57:H57)</f>
        <v>78325112</v>
      </c>
      <c r="J57" s="93"/>
      <c r="K57" s="94"/>
      <c r="L57" s="94">
        <v>30754106</v>
      </c>
      <c r="M57" s="94"/>
      <c r="N57" s="96">
        <f>+SUM(J57:M57)</f>
        <v>30754106</v>
      </c>
      <c r="O57" s="97"/>
      <c r="P57" s="98"/>
      <c r="Q57" s="99">
        <f>+I57+N57</f>
        <v>109079218</v>
      </c>
      <c r="R57" s="100">
        <f t="shared" si="57"/>
        <v>0.66604412140408087</v>
      </c>
      <c r="S57" s="65"/>
      <c r="T57" s="65"/>
      <c r="U57" s="65"/>
      <c r="V57" s="65"/>
      <c r="W57" s="65"/>
    </row>
    <row r="58" spans="1:23" ht="20.25" customHeight="1" x14ac:dyDescent="0.2">
      <c r="A58" s="79" t="s">
        <v>303</v>
      </c>
      <c r="B58" s="108"/>
      <c r="C58" s="109">
        <f t="shared" ref="C58:Q58" si="63">SUM(C59:C61)</f>
        <v>0</v>
      </c>
      <c r="D58" s="110">
        <f t="shared" si="63"/>
        <v>0</v>
      </c>
      <c r="E58" s="110">
        <f t="shared" si="63"/>
        <v>0</v>
      </c>
      <c r="F58" s="110">
        <f t="shared" si="63"/>
        <v>16023450</v>
      </c>
      <c r="G58" s="110">
        <f t="shared" si="63"/>
        <v>0</v>
      </c>
      <c r="H58" s="110">
        <f t="shared" si="63"/>
        <v>0</v>
      </c>
      <c r="I58" s="88">
        <f t="shared" si="63"/>
        <v>16023450</v>
      </c>
      <c r="J58" s="109">
        <f t="shared" si="63"/>
        <v>0</v>
      </c>
      <c r="K58" s="110">
        <f t="shared" si="63"/>
        <v>0</v>
      </c>
      <c r="L58" s="110">
        <f t="shared" si="63"/>
        <v>0</v>
      </c>
      <c r="M58" s="110">
        <f t="shared" si="63"/>
        <v>0</v>
      </c>
      <c r="N58" s="86">
        <f t="shared" si="63"/>
        <v>0</v>
      </c>
      <c r="O58" s="111">
        <f t="shared" si="63"/>
        <v>0</v>
      </c>
      <c r="P58" s="112">
        <f t="shared" si="63"/>
        <v>0</v>
      </c>
      <c r="Q58" s="89">
        <f t="shared" si="63"/>
        <v>16023450</v>
      </c>
      <c r="R58" s="113">
        <f t="shared" si="57"/>
        <v>9.784012823700497E-2</v>
      </c>
      <c r="S58" s="65"/>
      <c r="T58" s="65"/>
      <c r="U58" s="65"/>
      <c r="V58" s="65"/>
      <c r="W58" s="65"/>
    </row>
    <row r="59" spans="1:23" ht="11.25" customHeight="1" x14ac:dyDescent="0.2">
      <c r="A59" s="91"/>
      <c r="B59" s="92" t="s">
        <v>304</v>
      </c>
      <c r="C59" s="101"/>
      <c r="D59" s="41"/>
      <c r="E59" s="41"/>
      <c r="F59" s="41"/>
      <c r="G59" s="41"/>
      <c r="H59" s="41"/>
      <c r="I59" s="95">
        <f t="shared" ref="I59:I61" si="64">+SUM(C59:H59)</f>
        <v>0</v>
      </c>
      <c r="J59" s="101"/>
      <c r="K59" s="41"/>
      <c r="L59" s="41"/>
      <c r="M59" s="41"/>
      <c r="N59" s="138">
        <f t="shared" ref="N59:N61" si="65">+SUM(J59:M59)</f>
        <v>0</v>
      </c>
      <c r="O59" s="102"/>
      <c r="P59" s="103"/>
      <c r="Q59" s="99">
        <f t="shared" ref="Q59:Q61" si="66">+I59+N59</f>
        <v>0</v>
      </c>
      <c r="R59" s="104">
        <f t="shared" si="57"/>
        <v>0</v>
      </c>
      <c r="S59" s="65"/>
      <c r="T59" s="65"/>
      <c r="U59" s="65"/>
      <c r="V59" s="65"/>
      <c r="W59" s="65"/>
    </row>
    <row r="60" spans="1:23" ht="18" customHeight="1" x14ac:dyDescent="0.2">
      <c r="A60" s="91"/>
      <c r="B60" s="92" t="s">
        <v>305</v>
      </c>
      <c r="C60" s="101"/>
      <c r="D60" s="41"/>
      <c r="E60" s="105"/>
      <c r="F60" s="105">
        <v>16023450</v>
      </c>
      <c r="G60" s="105"/>
      <c r="H60" s="105"/>
      <c r="I60" s="95">
        <f t="shared" si="64"/>
        <v>16023450</v>
      </c>
      <c r="J60" s="101"/>
      <c r="K60" s="41"/>
      <c r="L60" s="105"/>
      <c r="M60" s="41"/>
      <c r="N60" s="138">
        <f t="shared" si="65"/>
        <v>0</v>
      </c>
      <c r="O60" s="115"/>
      <c r="P60" s="106"/>
      <c r="Q60" s="99">
        <f t="shared" si="66"/>
        <v>16023450</v>
      </c>
      <c r="R60" s="104">
        <f t="shared" si="57"/>
        <v>9.784012823700497E-2</v>
      </c>
      <c r="S60" s="65"/>
      <c r="T60" s="65"/>
      <c r="U60" s="65"/>
      <c r="V60" s="65"/>
      <c r="W60" s="65"/>
    </row>
    <row r="61" spans="1:23" ht="11.25" customHeight="1" x14ac:dyDescent="0.2">
      <c r="A61" s="91"/>
      <c r="B61" s="92" t="s">
        <v>306</v>
      </c>
      <c r="C61" s="101"/>
      <c r="D61" s="41"/>
      <c r="E61" s="105"/>
      <c r="F61" s="105"/>
      <c r="G61" s="105"/>
      <c r="H61" s="105"/>
      <c r="I61" s="95">
        <f t="shared" si="64"/>
        <v>0</v>
      </c>
      <c r="J61" s="101"/>
      <c r="K61" s="41"/>
      <c r="L61" s="105"/>
      <c r="M61" s="41"/>
      <c r="N61" s="138">
        <f t="shared" si="65"/>
        <v>0</v>
      </c>
      <c r="O61" s="115"/>
      <c r="P61" s="106"/>
      <c r="Q61" s="99">
        <f t="shared" si="66"/>
        <v>0</v>
      </c>
      <c r="R61" s="104">
        <f t="shared" si="57"/>
        <v>0</v>
      </c>
      <c r="S61" s="65"/>
      <c r="T61" s="65"/>
      <c r="U61" s="65"/>
      <c r="V61" s="65"/>
      <c r="W61" s="65"/>
    </row>
    <row r="62" spans="1:23" ht="20.25" customHeight="1" x14ac:dyDescent="0.2">
      <c r="A62" s="79" t="s">
        <v>307</v>
      </c>
      <c r="B62" s="108"/>
      <c r="C62" s="109">
        <f t="shared" ref="C62:Q62" si="67">C63</f>
        <v>0</v>
      </c>
      <c r="D62" s="110">
        <f t="shared" si="67"/>
        <v>0</v>
      </c>
      <c r="E62" s="110">
        <f t="shared" si="67"/>
        <v>0</v>
      </c>
      <c r="F62" s="110">
        <f t="shared" si="67"/>
        <v>5605036</v>
      </c>
      <c r="G62" s="110">
        <f t="shared" si="67"/>
        <v>0</v>
      </c>
      <c r="H62" s="110">
        <f t="shared" si="67"/>
        <v>230000</v>
      </c>
      <c r="I62" s="88">
        <f t="shared" si="67"/>
        <v>5835036</v>
      </c>
      <c r="J62" s="109">
        <f t="shared" si="67"/>
        <v>0</v>
      </c>
      <c r="K62" s="110">
        <f t="shared" si="67"/>
        <v>0</v>
      </c>
      <c r="L62" s="110">
        <f t="shared" si="67"/>
        <v>0</v>
      </c>
      <c r="M62" s="110">
        <f t="shared" si="67"/>
        <v>0</v>
      </c>
      <c r="N62" s="86">
        <f t="shared" si="67"/>
        <v>0</v>
      </c>
      <c r="O62" s="111">
        <f t="shared" si="67"/>
        <v>0</v>
      </c>
      <c r="P62" s="112">
        <f t="shared" si="67"/>
        <v>0</v>
      </c>
      <c r="Q62" s="89">
        <f t="shared" si="67"/>
        <v>5835036</v>
      </c>
      <c r="R62" s="136">
        <f t="shared" si="57"/>
        <v>3.5629073046537452E-2</v>
      </c>
      <c r="S62" s="65"/>
      <c r="T62" s="65"/>
      <c r="U62" s="65"/>
      <c r="V62" s="65"/>
      <c r="W62" s="65"/>
    </row>
    <row r="63" spans="1:23" ht="11.25" customHeight="1" x14ac:dyDescent="0.2">
      <c r="A63" s="117"/>
      <c r="B63" s="118" t="s">
        <v>308</v>
      </c>
      <c r="C63" s="119"/>
      <c r="D63" s="120"/>
      <c r="E63" s="120"/>
      <c r="F63" s="120">
        <v>5605036</v>
      </c>
      <c r="G63" s="120"/>
      <c r="H63" s="120">
        <v>230000</v>
      </c>
      <c r="I63" s="139">
        <f>+SUM(C63:H63)</f>
        <v>5835036</v>
      </c>
      <c r="J63" s="122"/>
      <c r="K63" s="123"/>
      <c r="L63" s="94"/>
      <c r="M63" s="123"/>
      <c r="N63" s="138">
        <f>+SUM(J63:M63)</f>
        <v>0</v>
      </c>
      <c r="O63" s="124"/>
      <c r="P63" s="125"/>
      <c r="Q63" s="99">
        <f>+I63+N63</f>
        <v>5835036</v>
      </c>
      <c r="R63" s="126">
        <f t="shared" si="57"/>
        <v>3.5629073046537452E-2</v>
      </c>
      <c r="S63" s="65"/>
      <c r="T63" s="65"/>
      <c r="U63" s="65"/>
      <c r="V63" s="65"/>
      <c r="W63" s="65"/>
    </row>
    <row r="64" spans="1:23" ht="21.75" customHeight="1" x14ac:dyDescent="0.2">
      <c r="A64" s="813" t="s">
        <v>309</v>
      </c>
      <c r="B64" s="814"/>
      <c r="C64" s="127">
        <f t="shared" ref="C64:Q64" si="68">C62+C58+C56+C54+C49</f>
        <v>0</v>
      </c>
      <c r="D64" s="128">
        <f t="shared" si="68"/>
        <v>12601944</v>
      </c>
      <c r="E64" s="128">
        <f t="shared" si="68"/>
        <v>286767</v>
      </c>
      <c r="F64" s="128">
        <f t="shared" si="68"/>
        <v>115434711</v>
      </c>
      <c r="G64" s="128">
        <f t="shared" si="68"/>
        <v>121881</v>
      </c>
      <c r="H64" s="128">
        <f t="shared" si="68"/>
        <v>749708</v>
      </c>
      <c r="I64" s="129">
        <f t="shared" si="68"/>
        <v>129195011</v>
      </c>
      <c r="J64" s="127">
        <f t="shared" si="68"/>
        <v>0</v>
      </c>
      <c r="K64" s="128">
        <f t="shared" si="68"/>
        <v>0</v>
      </c>
      <c r="L64" s="128">
        <f t="shared" si="68"/>
        <v>34576749</v>
      </c>
      <c r="M64" s="128">
        <f t="shared" si="68"/>
        <v>0</v>
      </c>
      <c r="N64" s="129">
        <f t="shared" si="68"/>
        <v>34576749</v>
      </c>
      <c r="O64" s="127">
        <f t="shared" si="68"/>
        <v>0</v>
      </c>
      <c r="P64" s="129">
        <f t="shared" si="68"/>
        <v>0</v>
      </c>
      <c r="Q64" s="130">
        <f t="shared" si="68"/>
        <v>163771760</v>
      </c>
      <c r="R64" s="131">
        <v>1</v>
      </c>
      <c r="S64" s="65"/>
      <c r="T64" s="65"/>
      <c r="U64" s="65"/>
      <c r="V64" s="65"/>
      <c r="W64" s="65"/>
    </row>
    <row r="65" spans="1:23" ht="11.25" customHeight="1" x14ac:dyDescent="0.2">
      <c r="A65" s="65"/>
      <c r="B65" s="65"/>
      <c r="C65" s="65"/>
      <c r="D65" s="65"/>
      <c r="E65" s="65"/>
      <c r="F65" s="65"/>
      <c r="G65" s="65"/>
      <c r="H65" s="65"/>
      <c r="I65" s="65"/>
      <c r="J65" s="65"/>
      <c r="K65" s="65"/>
      <c r="L65" s="65"/>
      <c r="M65" s="65"/>
      <c r="N65" s="65"/>
      <c r="O65" s="65"/>
      <c r="P65" s="65"/>
      <c r="Q65" s="65"/>
      <c r="R65" s="65"/>
      <c r="S65" s="65"/>
      <c r="T65" s="65"/>
      <c r="U65" s="65"/>
      <c r="V65" s="65"/>
      <c r="W65" s="65"/>
    </row>
    <row r="66" spans="1:23" ht="11.25" customHeight="1" x14ac:dyDescent="0.2">
      <c r="A66" s="65"/>
      <c r="B66" s="65"/>
      <c r="C66" s="65"/>
      <c r="D66" s="65"/>
      <c r="E66" s="65"/>
      <c r="F66" s="65"/>
      <c r="G66" s="65"/>
      <c r="H66" s="65"/>
      <c r="I66" s="65"/>
      <c r="J66" s="65"/>
      <c r="K66" s="65"/>
      <c r="L66" s="65"/>
      <c r="M66" s="65"/>
      <c r="N66" s="65"/>
      <c r="O66" s="65"/>
      <c r="P66" s="65"/>
      <c r="Q66" s="65"/>
      <c r="R66" s="65"/>
      <c r="S66" s="65"/>
      <c r="T66" s="65"/>
      <c r="U66" s="65"/>
      <c r="V66" s="65"/>
      <c r="W66" s="65"/>
    </row>
    <row r="67" spans="1:23" ht="11.25" customHeight="1" x14ac:dyDescent="0.2">
      <c r="A67" s="67" t="s">
        <v>312</v>
      </c>
      <c r="B67" s="17"/>
      <c r="C67" s="17"/>
      <c r="D67" s="17"/>
      <c r="E67" s="17"/>
      <c r="F67" s="17"/>
      <c r="G67" s="17"/>
      <c r="H67" s="17"/>
      <c r="I67" s="17"/>
      <c r="J67" s="17"/>
      <c r="K67" s="17"/>
      <c r="L67" s="17"/>
      <c r="M67" s="17"/>
      <c r="N67" s="17"/>
      <c r="O67" s="17"/>
      <c r="P67" s="17"/>
      <c r="Q67" s="17"/>
      <c r="R67" s="17"/>
      <c r="S67" s="65"/>
      <c r="T67" s="65"/>
      <c r="U67" s="65"/>
      <c r="V67" s="65"/>
      <c r="W67" s="65"/>
    </row>
    <row r="68" spans="1:23" ht="21.75" customHeight="1" x14ac:dyDescent="0.2">
      <c r="A68" s="809" t="s">
        <v>282</v>
      </c>
      <c r="B68" s="811" t="s">
        <v>283</v>
      </c>
      <c r="C68" s="815" t="s">
        <v>259</v>
      </c>
      <c r="D68" s="818"/>
      <c r="E68" s="818"/>
      <c r="F68" s="818"/>
      <c r="G68" s="818"/>
      <c r="H68" s="818"/>
      <c r="I68" s="816"/>
      <c r="J68" s="817" t="s">
        <v>266</v>
      </c>
      <c r="K68" s="818"/>
      <c r="L68" s="818"/>
      <c r="M68" s="818"/>
      <c r="N68" s="816"/>
      <c r="O68" s="817" t="s">
        <v>271</v>
      </c>
      <c r="P68" s="816"/>
      <c r="Q68" s="815" t="s">
        <v>284</v>
      </c>
      <c r="R68" s="816"/>
      <c r="S68" s="65"/>
      <c r="T68" s="65"/>
      <c r="U68" s="65"/>
      <c r="V68" s="65"/>
      <c r="W68" s="65"/>
    </row>
    <row r="69" spans="1:23" ht="11.25" customHeight="1" x14ac:dyDescent="0.2">
      <c r="A69" s="810"/>
      <c r="B69" s="812"/>
      <c r="C69" s="69" t="s">
        <v>260</v>
      </c>
      <c r="D69" s="70" t="s">
        <v>261</v>
      </c>
      <c r="E69" s="70" t="s">
        <v>262</v>
      </c>
      <c r="F69" s="70" t="s">
        <v>263</v>
      </c>
      <c r="G69" s="70" t="s">
        <v>285</v>
      </c>
      <c r="H69" s="70" t="s">
        <v>286</v>
      </c>
      <c r="I69" s="71" t="s">
        <v>287</v>
      </c>
      <c r="J69" s="72" t="s">
        <v>288</v>
      </c>
      <c r="K69" s="73" t="s">
        <v>289</v>
      </c>
      <c r="L69" s="73" t="s">
        <v>269</v>
      </c>
      <c r="M69" s="73" t="s">
        <v>270</v>
      </c>
      <c r="N69" s="74" t="s">
        <v>290</v>
      </c>
      <c r="O69" s="72" t="s">
        <v>272</v>
      </c>
      <c r="P69" s="75" t="s">
        <v>291</v>
      </c>
      <c r="Q69" s="76" t="s">
        <v>292</v>
      </c>
      <c r="R69" s="77" t="s">
        <v>293</v>
      </c>
      <c r="S69" s="65"/>
      <c r="T69" s="65"/>
      <c r="U69" s="65"/>
      <c r="V69" s="65"/>
      <c r="W69" s="65"/>
    </row>
    <row r="70" spans="1:23" ht="20.25" customHeight="1" x14ac:dyDescent="0.2">
      <c r="A70" s="79" t="s">
        <v>294</v>
      </c>
      <c r="B70" s="80"/>
      <c r="C70" s="81">
        <f t="shared" ref="C70:Q70" si="69">SUM(C71:C74)</f>
        <v>0</v>
      </c>
      <c r="D70" s="82">
        <f t="shared" si="69"/>
        <v>0</v>
      </c>
      <c r="E70" s="82">
        <f t="shared" si="69"/>
        <v>0</v>
      </c>
      <c r="F70" s="82">
        <f t="shared" si="69"/>
        <v>0</v>
      </c>
      <c r="G70" s="82">
        <f t="shared" si="69"/>
        <v>0</v>
      </c>
      <c r="H70" s="82">
        <f t="shared" si="69"/>
        <v>0</v>
      </c>
      <c r="I70" s="83">
        <f t="shared" si="69"/>
        <v>0</v>
      </c>
      <c r="J70" s="84">
        <f t="shared" si="69"/>
        <v>200000000</v>
      </c>
      <c r="K70" s="85">
        <f t="shared" si="69"/>
        <v>0</v>
      </c>
      <c r="L70" s="85">
        <f t="shared" si="69"/>
        <v>1227753748</v>
      </c>
      <c r="M70" s="85">
        <f t="shared" si="69"/>
        <v>0</v>
      </c>
      <c r="N70" s="86">
        <f t="shared" si="69"/>
        <v>1427753748</v>
      </c>
      <c r="O70" s="87">
        <f t="shared" si="69"/>
        <v>0</v>
      </c>
      <c r="P70" s="88">
        <f t="shared" si="69"/>
        <v>0</v>
      </c>
      <c r="Q70" s="89">
        <f t="shared" si="69"/>
        <v>1427753748</v>
      </c>
      <c r="R70" s="90">
        <f t="shared" ref="R70:R84" si="70">Q70/$Q$85</f>
        <v>0.96183574520359139</v>
      </c>
      <c r="S70" s="65"/>
      <c r="T70" s="65"/>
      <c r="U70" s="65"/>
      <c r="V70" s="65"/>
      <c r="W70" s="65"/>
    </row>
    <row r="71" spans="1:23" ht="11.25" customHeight="1" x14ac:dyDescent="0.2">
      <c r="A71" s="91"/>
      <c r="B71" s="92" t="s">
        <v>295</v>
      </c>
      <c r="C71" s="93"/>
      <c r="D71" s="94"/>
      <c r="E71" s="94"/>
      <c r="F71" s="94"/>
      <c r="G71" s="94"/>
      <c r="H71" s="94"/>
      <c r="I71" s="95">
        <f t="shared" ref="I71:I74" si="71">+SUM(C71:H71)</f>
        <v>0</v>
      </c>
      <c r="J71" s="93">
        <v>200000000</v>
      </c>
      <c r="K71" s="94"/>
      <c r="L71" s="94">
        <v>460161430</v>
      </c>
      <c r="M71" s="94"/>
      <c r="N71" s="96">
        <f t="shared" ref="N71:N74" si="72">+SUM(J71:M71)</f>
        <v>660161430</v>
      </c>
      <c r="O71" s="97"/>
      <c r="P71" s="98"/>
      <c r="Q71" s="99">
        <f t="shared" ref="Q71:Q74" si="73">+I71+N71</f>
        <v>660161430</v>
      </c>
      <c r="R71" s="100">
        <f t="shared" si="70"/>
        <v>0.44473135641785655</v>
      </c>
      <c r="S71" s="65"/>
      <c r="T71" s="65"/>
      <c r="U71" s="65"/>
      <c r="V71" s="65"/>
      <c r="W71" s="65"/>
    </row>
    <row r="72" spans="1:23" ht="11.25" customHeight="1" x14ac:dyDescent="0.2">
      <c r="A72" s="91"/>
      <c r="B72" s="92" t="s">
        <v>296</v>
      </c>
      <c r="C72" s="101"/>
      <c r="D72" s="41"/>
      <c r="E72" s="41"/>
      <c r="F72" s="41"/>
      <c r="G72" s="41"/>
      <c r="H72" s="41"/>
      <c r="I72" s="95">
        <f t="shared" si="71"/>
        <v>0</v>
      </c>
      <c r="J72" s="101"/>
      <c r="K72" s="41"/>
      <c r="L72" s="41">
        <v>300241557</v>
      </c>
      <c r="M72" s="41"/>
      <c r="N72" s="96">
        <f t="shared" si="72"/>
        <v>300241557</v>
      </c>
      <c r="O72" s="102"/>
      <c r="P72" s="103"/>
      <c r="Q72" s="99">
        <f t="shared" si="73"/>
        <v>300241557</v>
      </c>
      <c r="R72" s="104">
        <f t="shared" si="70"/>
        <v>0.2022639142938405</v>
      </c>
      <c r="S72" s="65"/>
      <c r="T72" s="65"/>
      <c r="U72" s="65"/>
      <c r="V72" s="65"/>
      <c r="W72" s="65"/>
    </row>
    <row r="73" spans="1:23" ht="11.25" customHeight="1" x14ac:dyDescent="0.2">
      <c r="A73" s="91"/>
      <c r="B73" s="92" t="s">
        <v>297</v>
      </c>
      <c r="C73" s="101"/>
      <c r="D73" s="41"/>
      <c r="E73" s="105"/>
      <c r="F73" s="105"/>
      <c r="G73" s="105"/>
      <c r="H73" s="105"/>
      <c r="I73" s="95">
        <f t="shared" si="71"/>
        <v>0</v>
      </c>
      <c r="J73" s="101"/>
      <c r="K73" s="41"/>
      <c r="L73" s="105">
        <v>258244404</v>
      </c>
      <c r="M73" s="41"/>
      <c r="N73" s="96">
        <f t="shared" si="72"/>
        <v>258244404</v>
      </c>
      <c r="O73" s="102"/>
      <c r="P73" s="106"/>
      <c r="Q73" s="99">
        <f t="shared" si="73"/>
        <v>258244404</v>
      </c>
      <c r="R73" s="104">
        <f t="shared" si="70"/>
        <v>0.1739716664123212</v>
      </c>
      <c r="S73" s="65"/>
      <c r="T73" s="65"/>
      <c r="U73" s="65"/>
      <c r="V73" s="65"/>
      <c r="W73" s="65"/>
    </row>
    <row r="74" spans="1:23" ht="11.25" customHeight="1" x14ac:dyDescent="0.2">
      <c r="A74" s="91"/>
      <c r="B74" s="92" t="s">
        <v>298</v>
      </c>
      <c r="C74" s="101"/>
      <c r="D74" s="41"/>
      <c r="E74" s="105"/>
      <c r="F74" s="105"/>
      <c r="G74" s="105"/>
      <c r="H74" s="105"/>
      <c r="I74" s="95">
        <f t="shared" si="71"/>
        <v>0</v>
      </c>
      <c r="J74" s="101"/>
      <c r="K74" s="41"/>
      <c r="L74" s="105">
        <v>209106357</v>
      </c>
      <c r="M74" s="41"/>
      <c r="N74" s="96">
        <f t="shared" si="72"/>
        <v>209106357</v>
      </c>
      <c r="O74" s="102"/>
      <c r="P74" s="106"/>
      <c r="Q74" s="99">
        <f t="shared" si="73"/>
        <v>209106357</v>
      </c>
      <c r="R74" s="104">
        <f t="shared" si="70"/>
        <v>0.14086880807957314</v>
      </c>
      <c r="S74" s="65"/>
      <c r="T74" s="65"/>
      <c r="U74" s="65"/>
      <c r="V74" s="65"/>
      <c r="W74" s="65"/>
    </row>
    <row r="75" spans="1:23" ht="20.25" customHeight="1" x14ac:dyDescent="0.2">
      <c r="A75" s="79" t="s">
        <v>299</v>
      </c>
      <c r="B75" s="108"/>
      <c r="C75" s="109">
        <f t="shared" ref="C75:Q75" si="74">C76</f>
        <v>0</v>
      </c>
      <c r="D75" s="110">
        <f t="shared" si="74"/>
        <v>0</v>
      </c>
      <c r="E75" s="110">
        <f t="shared" si="74"/>
        <v>0</v>
      </c>
      <c r="F75" s="110">
        <f t="shared" si="74"/>
        <v>0</v>
      </c>
      <c r="G75" s="110">
        <f t="shared" si="74"/>
        <v>0</v>
      </c>
      <c r="H75" s="110">
        <f t="shared" si="74"/>
        <v>0</v>
      </c>
      <c r="I75" s="88">
        <f t="shared" si="74"/>
        <v>0</v>
      </c>
      <c r="J75" s="109">
        <f t="shared" si="74"/>
        <v>0</v>
      </c>
      <c r="K75" s="110">
        <f t="shared" si="74"/>
        <v>0</v>
      </c>
      <c r="L75" s="110">
        <f t="shared" si="74"/>
        <v>0</v>
      </c>
      <c r="M75" s="110">
        <f t="shared" si="74"/>
        <v>0</v>
      </c>
      <c r="N75" s="86">
        <f t="shared" si="74"/>
        <v>0</v>
      </c>
      <c r="O75" s="111">
        <f t="shared" si="74"/>
        <v>0</v>
      </c>
      <c r="P75" s="112">
        <f t="shared" si="74"/>
        <v>0</v>
      </c>
      <c r="Q75" s="89">
        <f t="shared" si="74"/>
        <v>0</v>
      </c>
      <c r="R75" s="113">
        <f t="shared" si="70"/>
        <v>0</v>
      </c>
      <c r="S75" s="65"/>
      <c r="T75" s="65"/>
      <c r="U75" s="65"/>
      <c r="V75" s="65"/>
      <c r="W75" s="65"/>
    </row>
    <row r="76" spans="1:23" ht="27" customHeight="1" x14ac:dyDescent="0.2">
      <c r="A76" s="91"/>
      <c r="B76" s="92" t="s">
        <v>300</v>
      </c>
      <c r="C76" s="101"/>
      <c r="D76" s="41"/>
      <c r="E76" s="41"/>
      <c r="F76" s="41"/>
      <c r="G76" s="41"/>
      <c r="H76" s="41"/>
      <c r="I76" s="95">
        <f>+SUM(C76:H76)</f>
        <v>0</v>
      </c>
      <c r="J76" s="101"/>
      <c r="K76" s="41"/>
      <c r="L76" s="41"/>
      <c r="M76" s="41"/>
      <c r="N76" s="96">
        <f>+SUM(J76:M76)</f>
        <v>0</v>
      </c>
      <c r="O76" s="102"/>
      <c r="P76" s="103"/>
      <c r="Q76" s="99">
        <f>+I76+N76</f>
        <v>0</v>
      </c>
      <c r="R76" s="104">
        <f t="shared" si="70"/>
        <v>0</v>
      </c>
      <c r="S76" s="65"/>
      <c r="T76" s="65"/>
      <c r="U76" s="65"/>
      <c r="V76" s="65"/>
      <c r="W76" s="65"/>
    </row>
    <row r="77" spans="1:23" ht="20.25" customHeight="1" x14ac:dyDescent="0.2">
      <c r="A77" s="79" t="s">
        <v>301</v>
      </c>
      <c r="B77" s="108"/>
      <c r="C77" s="84">
        <f t="shared" ref="C77:Q77" si="75">C78</f>
        <v>0</v>
      </c>
      <c r="D77" s="85">
        <f t="shared" si="75"/>
        <v>0</v>
      </c>
      <c r="E77" s="85">
        <f t="shared" si="75"/>
        <v>0</v>
      </c>
      <c r="F77" s="85">
        <f t="shared" si="75"/>
        <v>0</v>
      </c>
      <c r="G77" s="85">
        <f t="shared" si="75"/>
        <v>0</v>
      </c>
      <c r="H77" s="85">
        <f t="shared" si="75"/>
        <v>0</v>
      </c>
      <c r="I77" s="88">
        <f t="shared" si="75"/>
        <v>0</v>
      </c>
      <c r="J77" s="84">
        <f t="shared" si="75"/>
        <v>0</v>
      </c>
      <c r="K77" s="85">
        <f t="shared" si="75"/>
        <v>0</v>
      </c>
      <c r="L77" s="85">
        <f t="shared" si="75"/>
        <v>0</v>
      </c>
      <c r="M77" s="85">
        <f t="shared" si="75"/>
        <v>0</v>
      </c>
      <c r="N77" s="86">
        <f t="shared" si="75"/>
        <v>0</v>
      </c>
      <c r="O77" s="87">
        <f t="shared" si="75"/>
        <v>0</v>
      </c>
      <c r="P77" s="88">
        <f t="shared" si="75"/>
        <v>0</v>
      </c>
      <c r="Q77" s="89">
        <f t="shared" si="75"/>
        <v>0</v>
      </c>
      <c r="R77" s="90">
        <f t="shared" si="70"/>
        <v>0</v>
      </c>
      <c r="S77" s="65"/>
      <c r="T77" s="65"/>
      <c r="U77" s="65"/>
      <c r="V77" s="65"/>
      <c r="W77" s="65"/>
    </row>
    <row r="78" spans="1:23" ht="11.25" customHeight="1" x14ac:dyDescent="0.2">
      <c r="A78" s="91"/>
      <c r="B78" s="92" t="s">
        <v>302</v>
      </c>
      <c r="C78" s="93"/>
      <c r="D78" s="94"/>
      <c r="E78" s="94"/>
      <c r="F78" s="94"/>
      <c r="G78" s="94"/>
      <c r="H78" s="94"/>
      <c r="I78" s="95">
        <f>+SUM(C78:H78)</f>
        <v>0</v>
      </c>
      <c r="J78" s="93"/>
      <c r="K78" s="94"/>
      <c r="L78" s="94"/>
      <c r="M78" s="94"/>
      <c r="N78" s="96">
        <f>+SUM(J78:M78)</f>
        <v>0</v>
      </c>
      <c r="O78" s="97"/>
      <c r="P78" s="98"/>
      <c r="Q78" s="99">
        <f>+I78+N78</f>
        <v>0</v>
      </c>
      <c r="R78" s="100">
        <f t="shared" si="70"/>
        <v>0</v>
      </c>
      <c r="S78" s="65"/>
      <c r="T78" s="65"/>
      <c r="U78" s="65"/>
      <c r="V78" s="65"/>
      <c r="W78" s="65"/>
    </row>
    <row r="79" spans="1:23" ht="20.25" customHeight="1" x14ac:dyDescent="0.2">
      <c r="A79" s="79" t="s">
        <v>303</v>
      </c>
      <c r="B79" s="108"/>
      <c r="C79" s="109">
        <f t="shared" ref="C79:Q79" si="76">SUM(C80:C82)</f>
        <v>0</v>
      </c>
      <c r="D79" s="110">
        <f t="shared" si="76"/>
        <v>0</v>
      </c>
      <c r="E79" s="110">
        <f t="shared" si="76"/>
        <v>0</v>
      </c>
      <c r="F79" s="110">
        <f t="shared" si="76"/>
        <v>0</v>
      </c>
      <c r="G79" s="110">
        <f t="shared" si="76"/>
        <v>0</v>
      </c>
      <c r="H79" s="110">
        <f t="shared" si="76"/>
        <v>0</v>
      </c>
      <c r="I79" s="88">
        <f t="shared" si="76"/>
        <v>0</v>
      </c>
      <c r="J79" s="109">
        <f t="shared" si="76"/>
        <v>0</v>
      </c>
      <c r="K79" s="110">
        <f t="shared" si="76"/>
        <v>0</v>
      </c>
      <c r="L79" s="110">
        <f t="shared" si="76"/>
        <v>35027334</v>
      </c>
      <c r="M79" s="110">
        <f t="shared" si="76"/>
        <v>0</v>
      </c>
      <c r="N79" s="86">
        <f t="shared" si="76"/>
        <v>35027334</v>
      </c>
      <c r="O79" s="111">
        <f t="shared" si="76"/>
        <v>0</v>
      </c>
      <c r="P79" s="112">
        <f t="shared" si="76"/>
        <v>0</v>
      </c>
      <c r="Q79" s="89">
        <f t="shared" si="76"/>
        <v>35027334</v>
      </c>
      <c r="R79" s="113">
        <f t="shared" si="70"/>
        <v>2.3596885630718087E-2</v>
      </c>
      <c r="S79" s="65"/>
      <c r="T79" s="65"/>
      <c r="U79" s="65"/>
      <c r="V79" s="65"/>
      <c r="W79" s="65"/>
    </row>
    <row r="80" spans="1:23" ht="11.25" customHeight="1" x14ac:dyDescent="0.2">
      <c r="A80" s="91"/>
      <c r="B80" s="92" t="s">
        <v>304</v>
      </c>
      <c r="C80" s="101"/>
      <c r="D80" s="41"/>
      <c r="E80" s="41"/>
      <c r="F80" s="41"/>
      <c r="G80" s="41"/>
      <c r="H80" s="41"/>
      <c r="I80" s="95">
        <f t="shared" ref="I80:I82" si="77">+SUM(C80:H80)</f>
        <v>0</v>
      </c>
      <c r="J80" s="101"/>
      <c r="K80" s="41"/>
      <c r="L80" s="41"/>
      <c r="M80" s="41"/>
      <c r="N80" s="96">
        <f t="shared" ref="N80:N82" si="78">+SUM(J80:M80)</f>
        <v>0</v>
      </c>
      <c r="O80" s="102"/>
      <c r="P80" s="103"/>
      <c r="Q80" s="99">
        <f t="shared" ref="Q80:Q82" si="79">+I80+N80</f>
        <v>0</v>
      </c>
      <c r="R80" s="104">
        <f t="shared" si="70"/>
        <v>0</v>
      </c>
      <c r="S80" s="65"/>
      <c r="T80" s="65"/>
      <c r="U80" s="65"/>
      <c r="V80" s="65"/>
      <c r="W80" s="65"/>
    </row>
    <row r="81" spans="1:23" ht="19.5" customHeight="1" x14ac:dyDescent="0.2">
      <c r="A81" s="91"/>
      <c r="B81" s="92" t="s">
        <v>305</v>
      </c>
      <c r="C81" s="101"/>
      <c r="D81" s="41"/>
      <c r="E81" s="105"/>
      <c r="F81" s="105"/>
      <c r="G81" s="105"/>
      <c r="H81" s="105"/>
      <c r="I81" s="95">
        <f t="shared" si="77"/>
        <v>0</v>
      </c>
      <c r="J81" s="101"/>
      <c r="K81" s="41"/>
      <c r="L81" s="105"/>
      <c r="M81" s="41"/>
      <c r="N81" s="96">
        <f t="shared" si="78"/>
        <v>0</v>
      </c>
      <c r="O81" s="115"/>
      <c r="P81" s="106"/>
      <c r="Q81" s="99">
        <f t="shared" si="79"/>
        <v>0</v>
      </c>
      <c r="R81" s="104">
        <f t="shared" si="70"/>
        <v>0</v>
      </c>
      <c r="S81" s="65"/>
      <c r="T81" s="65"/>
      <c r="U81" s="65"/>
      <c r="V81" s="65"/>
      <c r="W81" s="65"/>
    </row>
    <row r="82" spans="1:23" ht="11.25" customHeight="1" x14ac:dyDescent="0.2">
      <c r="A82" s="91"/>
      <c r="B82" s="92" t="s">
        <v>306</v>
      </c>
      <c r="C82" s="101"/>
      <c r="D82" s="41"/>
      <c r="E82" s="105"/>
      <c r="F82" s="105"/>
      <c r="G82" s="105"/>
      <c r="H82" s="105"/>
      <c r="I82" s="95">
        <f t="shared" si="77"/>
        <v>0</v>
      </c>
      <c r="J82" s="101"/>
      <c r="K82" s="41"/>
      <c r="L82" s="105">
        <v>35027334</v>
      </c>
      <c r="M82" s="41"/>
      <c r="N82" s="96">
        <f t="shared" si="78"/>
        <v>35027334</v>
      </c>
      <c r="O82" s="115"/>
      <c r="P82" s="106"/>
      <c r="Q82" s="99">
        <f t="shared" si="79"/>
        <v>35027334</v>
      </c>
      <c r="R82" s="104">
        <f t="shared" si="70"/>
        <v>2.3596885630718087E-2</v>
      </c>
      <c r="S82" s="65"/>
      <c r="T82" s="65"/>
      <c r="U82" s="65"/>
      <c r="V82" s="65"/>
      <c r="W82" s="65"/>
    </row>
    <row r="83" spans="1:23" ht="20.25" customHeight="1" x14ac:dyDescent="0.2">
      <c r="A83" s="79" t="s">
        <v>307</v>
      </c>
      <c r="B83" s="108"/>
      <c r="C83" s="109">
        <f t="shared" ref="C83:Q83" si="80">C84</f>
        <v>0</v>
      </c>
      <c r="D83" s="110">
        <f t="shared" si="80"/>
        <v>0</v>
      </c>
      <c r="E83" s="110">
        <f t="shared" si="80"/>
        <v>0</v>
      </c>
      <c r="F83" s="110">
        <f t="shared" si="80"/>
        <v>0</v>
      </c>
      <c r="G83" s="110">
        <f t="shared" si="80"/>
        <v>0</v>
      </c>
      <c r="H83" s="110">
        <f t="shared" si="80"/>
        <v>0</v>
      </c>
      <c r="I83" s="88">
        <f t="shared" si="80"/>
        <v>0</v>
      </c>
      <c r="J83" s="109">
        <f t="shared" si="80"/>
        <v>0</v>
      </c>
      <c r="K83" s="110">
        <f t="shared" si="80"/>
        <v>0</v>
      </c>
      <c r="L83" s="110">
        <f t="shared" si="80"/>
        <v>21623875</v>
      </c>
      <c r="M83" s="110">
        <f t="shared" si="80"/>
        <v>0</v>
      </c>
      <c r="N83" s="86">
        <f t="shared" si="80"/>
        <v>21623875</v>
      </c>
      <c r="O83" s="111">
        <f t="shared" si="80"/>
        <v>0</v>
      </c>
      <c r="P83" s="112">
        <f t="shared" si="80"/>
        <v>0</v>
      </c>
      <c r="Q83" s="89">
        <f t="shared" si="80"/>
        <v>21623875</v>
      </c>
      <c r="R83" s="136">
        <f t="shared" si="70"/>
        <v>1.4567369165690545E-2</v>
      </c>
      <c r="S83" s="65"/>
      <c r="T83" s="65"/>
      <c r="U83" s="65"/>
      <c r="V83" s="65"/>
      <c r="W83" s="65"/>
    </row>
    <row r="84" spans="1:23" ht="11.25" customHeight="1" x14ac:dyDescent="0.2">
      <c r="A84" s="117"/>
      <c r="B84" s="118" t="s">
        <v>308</v>
      </c>
      <c r="C84" s="119"/>
      <c r="D84" s="120"/>
      <c r="E84" s="120"/>
      <c r="F84" s="120"/>
      <c r="G84" s="120"/>
      <c r="H84" s="120"/>
      <c r="I84" s="121">
        <f>+SUM(C84:H84)</f>
        <v>0</v>
      </c>
      <c r="J84" s="122"/>
      <c r="K84" s="123"/>
      <c r="L84" s="94">
        <v>21623875</v>
      </c>
      <c r="M84" s="123"/>
      <c r="N84" s="96">
        <f>+SUM(J84:M84)</f>
        <v>21623875</v>
      </c>
      <c r="O84" s="124"/>
      <c r="P84" s="125"/>
      <c r="Q84" s="99">
        <f>+I84+N84</f>
        <v>21623875</v>
      </c>
      <c r="R84" s="126">
        <f t="shared" si="70"/>
        <v>1.4567369165690545E-2</v>
      </c>
      <c r="S84" s="65"/>
      <c r="T84" s="65"/>
      <c r="U84" s="65"/>
      <c r="V84" s="65"/>
      <c r="W84" s="65"/>
    </row>
    <row r="85" spans="1:23" ht="20.25" customHeight="1" x14ac:dyDescent="0.2">
      <c r="A85" s="813" t="s">
        <v>309</v>
      </c>
      <c r="B85" s="814"/>
      <c r="C85" s="127">
        <f t="shared" ref="C85:Q85" si="81">C83+C79+C77+C75+C70</f>
        <v>0</v>
      </c>
      <c r="D85" s="128">
        <f t="shared" si="81"/>
        <v>0</v>
      </c>
      <c r="E85" s="128">
        <f t="shared" si="81"/>
        <v>0</v>
      </c>
      <c r="F85" s="128">
        <f t="shared" si="81"/>
        <v>0</v>
      </c>
      <c r="G85" s="128">
        <f t="shared" si="81"/>
        <v>0</v>
      </c>
      <c r="H85" s="128">
        <f t="shared" si="81"/>
        <v>0</v>
      </c>
      <c r="I85" s="129">
        <f t="shared" si="81"/>
        <v>0</v>
      </c>
      <c r="J85" s="127">
        <f t="shared" si="81"/>
        <v>200000000</v>
      </c>
      <c r="K85" s="128">
        <f t="shared" si="81"/>
        <v>0</v>
      </c>
      <c r="L85" s="128">
        <f t="shared" si="81"/>
        <v>1284404957</v>
      </c>
      <c r="M85" s="128">
        <f t="shared" si="81"/>
        <v>0</v>
      </c>
      <c r="N85" s="129">
        <f t="shared" si="81"/>
        <v>1484404957</v>
      </c>
      <c r="O85" s="127">
        <f t="shared" si="81"/>
        <v>0</v>
      </c>
      <c r="P85" s="129">
        <f t="shared" si="81"/>
        <v>0</v>
      </c>
      <c r="Q85" s="130">
        <f t="shared" si="81"/>
        <v>1484404957</v>
      </c>
      <c r="R85" s="131">
        <v>1</v>
      </c>
      <c r="S85" s="65"/>
      <c r="T85" s="65"/>
      <c r="U85" s="65"/>
      <c r="V85" s="65"/>
      <c r="W85" s="65"/>
    </row>
    <row r="86" spans="1:23" ht="11.25" customHeight="1" x14ac:dyDescent="0.2">
      <c r="A86" s="65"/>
      <c r="B86" s="65"/>
      <c r="C86" s="65"/>
      <c r="D86" s="65"/>
      <c r="E86" s="65"/>
      <c r="F86" s="65"/>
      <c r="G86" s="65"/>
      <c r="H86" s="65"/>
      <c r="I86" s="65"/>
      <c r="J86" s="65"/>
      <c r="K86" s="65"/>
      <c r="L86" s="65"/>
      <c r="M86" s="65"/>
      <c r="N86" s="65"/>
      <c r="O86" s="65"/>
      <c r="P86" s="65"/>
      <c r="Q86" s="65"/>
      <c r="R86" s="65"/>
      <c r="S86" s="65"/>
      <c r="T86" s="65"/>
      <c r="U86" s="65"/>
      <c r="V86" s="65"/>
      <c r="W86" s="65"/>
    </row>
    <row r="87" spans="1:23" ht="11.25" customHeight="1" x14ac:dyDescent="0.2">
      <c r="A87" s="65"/>
      <c r="B87" s="65"/>
      <c r="C87" s="65"/>
      <c r="D87" s="65"/>
      <c r="E87" s="65"/>
      <c r="F87" s="65"/>
      <c r="G87" s="65"/>
      <c r="H87" s="65"/>
      <c r="I87" s="65"/>
      <c r="J87" s="65"/>
      <c r="K87" s="65"/>
      <c r="L87" s="65"/>
      <c r="M87" s="65"/>
      <c r="N87" s="65"/>
      <c r="O87" s="65"/>
      <c r="P87" s="65"/>
      <c r="Q87" s="65"/>
      <c r="R87" s="65"/>
      <c r="S87" s="65"/>
      <c r="T87" s="65"/>
      <c r="U87" s="65"/>
      <c r="V87" s="65"/>
      <c r="W87" s="65"/>
    </row>
    <row r="88" spans="1:23" ht="11.25" customHeight="1" x14ac:dyDescent="0.2">
      <c r="A88" s="67" t="s">
        <v>313</v>
      </c>
      <c r="B88" s="17"/>
      <c r="C88" s="17"/>
      <c r="D88" s="17"/>
      <c r="E88" s="17"/>
      <c r="F88" s="17"/>
      <c r="G88" s="17"/>
      <c r="H88" s="17"/>
      <c r="I88" s="17"/>
      <c r="J88" s="17"/>
      <c r="K88" s="17"/>
      <c r="L88" s="17"/>
      <c r="M88" s="17"/>
      <c r="N88" s="17"/>
      <c r="O88" s="17"/>
      <c r="P88" s="17"/>
      <c r="Q88" s="17"/>
      <c r="R88" s="17"/>
      <c r="S88" s="65"/>
      <c r="T88" s="65"/>
      <c r="U88" s="65"/>
      <c r="V88" s="65"/>
      <c r="W88" s="65"/>
    </row>
    <row r="89" spans="1:23" ht="21" customHeight="1" x14ac:dyDescent="0.2">
      <c r="A89" s="809" t="s">
        <v>282</v>
      </c>
      <c r="B89" s="811" t="s">
        <v>283</v>
      </c>
      <c r="C89" s="815" t="s">
        <v>259</v>
      </c>
      <c r="D89" s="818"/>
      <c r="E89" s="818"/>
      <c r="F89" s="818"/>
      <c r="G89" s="818"/>
      <c r="H89" s="818"/>
      <c r="I89" s="816"/>
      <c r="J89" s="817" t="s">
        <v>266</v>
      </c>
      <c r="K89" s="818"/>
      <c r="L89" s="818"/>
      <c r="M89" s="818"/>
      <c r="N89" s="816"/>
      <c r="O89" s="817" t="s">
        <v>271</v>
      </c>
      <c r="P89" s="816"/>
      <c r="Q89" s="815" t="s">
        <v>284</v>
      </c>
      <c r="R89" s="816"/>
      <c r="S89" s="65"/>
      <c r="T89" s="65"/>
      <c r="U89" s="65"/>
      <c r="V89" s="65"/>
      <c r="W89" s="65"/>
    </row>
    <row r="90" spans="1:23" ht="11.25" customHeight="1" x14ac:dyDescent="0.2">
      <c r="A90" s="810"/>
      <c r="B90" s="812"/>
      <c r="C90" s="69" t="s">
        <v>260</v>
      </c>
      <c r="D90" s="70" t="s">
        <v>261</v>
      </c>
      <c r="E90" s="70" t="s">
        <v>262</v>
      </c>
      <c r="F90" s="70" t="s">
        <v>263</v>
      </c>
      <c r="G90" s="70" t="s">
        <v>285</v>
      </c>
      <c r="H90" s="70" t="s">
        <v>286</v>
      </c>
      <c r="I90" s="71" t="s">
        <v>287</v>
      </c>
      <c r="J90" s="72" t="s">
        <v>288</v>
      </c>
      <c r="K90" s="73" t="s">
        <v>289</v>
      </c>
      <c r="L90" s="73" t="s">
        <v>269</v>
      </c>
      <c r="M90" s="73" t="s">
        <v>270</v>
      </c>
      <c r="N90" s="74" t="s">
        <v>290</v>
      </c>
      <c r="O90" s="72" t="s">
        <v>272</v>
      </c>
      <c r="P90" s="75" t="s">
        <v>291</v>
      </c>
      <c r="Q90" s="76" t="s">
        <v>292</v>
      </c>
      <c r="R90" s="77" t="s">
        <v>293</v>
      </c>
      <c r="S90" s="65"/>
      <c r="T90" s="65"/>
      <c r="U90" s="65"/>
      <c r="V90" s="65"/>
      <c r="W90" s="65"/>
    </row>
    <row r="91" spans="1:23" ht="19.5" customHeight="1" x14ac:dyDescent="0.2">
      <c r="A91" s="79" t="s">
        <v>294</v>
      </c>
      <c r="B91" s="80"/>
      <c r="C91" s="81">
        <f t="shared" ref="C91:Q91" si="82">SUM(C92:C95)</f>
        <v>0</v>
      </c>
      <c r="D91" s="82">
        <f t="shared" si="82"/>
        <v>0</v>
      </c>
      <c r="E91" s="82">
        <f t="shared" si="82"/>
        <v>0</v>
      </c>
      <c r="F91" s="82">
        <f t="shared" si="82"/>
        <v>5653562</v>
      </c>
      <c r="G91" s="82">
        <f t="shared" si="82"/>
        <v>0</v>
      </c>
      <c r="H91" s="82">
        <f t="shared" si="82"/>
        <v>0</v>
      </c>
      <c r="I91" s="83">
        <f t="shared" si="82"/>
        <v>5653562</v>
      </c>
      <c r="J91" s="84">
        <f t="shared" si="82"/>
        <v>0</v>
      </c>
      <c r="K91" s="85">
        <f t="shared" si="82"/>
        <v>0</v>
      </c>
      <c r="L91" s="85">
        <f t="shared" si="82"/>
        <v>0</v>
      </c>
      <c r="M91" s="85">
        <f t="shared" si="82"/>
        <v>0</v>
      </c>
      <c r="N91" s="86">
        <f t="shared" si="82"/>
        <v>0</v>
      </c>
      <c r="O91" s="87">
        <f t="shared" si="82"/>
        <v>0</v>
      </c>
      <c r="P91" s="88">
        <f t="shared" si="82"/>
        <v>0</v>
      </c>
      <c r="Q91" s="89">
        <f t="shared" si="82"/>
        <v>5653562</v>
      </c>
      <c r="R91" s="90">
        <f t="shared" ref="R91:R105" si="83">Q91/$Q$106</f>
        <v>1</v>
      </c>
      <c r="S91" s="65"/>
      <c r="T91" s="65"/>
      <c r="U91" s="65"/>
      <c r="V91" s="65"/>
      <c r="W91" s="65"/>
    </row>
    <row r="92" spans="1:23" ht="11.25" customHeight="1" x14ac:dyDescent="0.2">
      <c r="A92" s="91"/>
      <c r="B92" s="92" t="s">
        <v>295</v>
      </c>
      <c r="C92" s="93"/>
      <c r="D92" s="94"/>
      <c r="E92" s="94"/>
      <c r="F92" s="94"/>
      <c r="G92" s="94"/>
      <c r="H92" s="94"/>
      <c r="I92" s="95">
        <f t="shared" ref="I92:I95" si="84">+SUM(C92:H92)</f>
        <v>0</v>
      </c>
      <c r="J92" s="93"/>
      <c r="K92" s="94"/>
      <c r="L92" s="94"/>
      <c r="M92" s="94"/>
      <c r="N92" s="96">
        <f t="shared" ref="N92:N95" si="85">+SUM(J92:M92)</f>
        <v>0</v>
      </c>
      <c r="O92" s="97"/>
      <c r="P92" s="98"/>
      <c r="Q92" s="99">
        <f t="shared" ref="Q92:Q95" si="86">+I92+N92</f>
        <v>0</v>
      </c>
      <c r="R92" s="100">
        <f t="shared" si="83"/>
        <v>0</v>
      </c>
      <c r="S92" s="65"/>
      <c r="T92" s="65"/>
      <c r="U92" s="65"/>
      <c r="V92" s="65"/>
      <c r="W92" s="65"/>
    </row>
    <row r="93" spans="1:23" ht="11.25" customHeight="1" x14ac:dyDescent="0.2">
      <c r="A93" s="91"/>
      <c r="B93" s="92" t="s">
        <v>296</v>
      </c>
      <c r="C93" s="101"/>
      <c r="D93" s="41"/>
      <c r="E93" s="41"/>
      <c r="F93" s="41">
        <v>4853562</v>
      </c>
      <c r="G93" s="41"/>
      <c r="H93" s="41"/>
      <c r="I93" s="95">
        <f t="shared" si="84"/>
        <v>4853562</v>
      </c>
      <c r="J93" s="101"/>
      <c r="K93" s="41"/>
      <c r="L93" s="41"/>
      <c r="M93" s="41"/>
      <c r="N93" s="96">
        <f t="shared" si="85"/>
        <v>0</v>
      </c>
      <c r="O93" s="102"/>
      <c r="P93" s="103"/>
      <c r="Q93" s="99">
        <f t="shared" si="86"/>
        <v>4853562</v>
      </c>
      <c r="R93" s="104">
        <f t="shared" si="83"/>
        <v>0.85849628959583357</v>
      </c>
      <c r="S93" s="65"/>
      <c r="T93" s="65"/>
      <c r="U93" s="65"/>
      <c r="V93" s="65"/>
      <c r="W93" s="65"/>
    </row>
    <row r="94" spans="1:23" ht="11.25" customHeight="1" x14ac:dyDescent="0.2">
      <c r="A94" s="91"/>
      <c r="B94" s="92" t="s">
        <v>297</v>
      </c>
      <c r="C94" s="101"/>
      <c r="D94" s="41"/>
      <c r="E94" s="105"/>
      <c r="F94" s="105">
        <v>800000</v>
      </c>
      <c r="G94" s="105"/>
      <c r="H94" s="105"/>
      <c r="I94" s="95">
        <f t="shared" si="84"/>
        <v>800000</v>
      </c>
      <c r="J94" s="101"/>
      <c r="K94" s="41"/>
      <c r="L94" s="105"/>
      <c r="M94" s="41"/>
      <c r="N94" s="96">
        <f t="shared" si="85"/>
        <v>0</v>
      </c>
      <c r="O94" s="102"/>
      <c r="P94" s="106"/>
      <c r="Q94" s="99">
        <f t="shared" si="86"/>
        <v>800000</v>
      </c>
      <c r="R94" s="104">
        <f t="shared" si="83"/>
        <v>0.14150371040416643</v>
      </c>
      <c r="S94" s="65"/>
      <c r="T94" s="65"/>
      <c r="U94" s="65"/>
      <c r="V94" s="65"/>
      <c r="W94" s="65"/>
    </row>
    <row r="95" spans="1:23" ht="11.25" customHeight="1" x14ac:dyDescent="0.2">
      <c r="A95" s="91"/>
      <c r="B95" s="92" t="s">
        <v>298</v>
      </c>
      <c r="C95" s="101"/>
      <c r="D95" s="41"/>
      <c r="E95" s="105"/>
      <c r="F95" s="105"/>
      <c r="G95" s="105"/>
      <c r="H95" s="105"/>
      <c r="I95" s="95">
        <f t="shared" si="84"/>
        <v>0</v>
      </c>
      <c r="J95" s="101"/>
      <c r="K95" s="41"/>
      <c r="L95" s="105"/>
      <c r="M95" s="41"/>
      <c r="N95" s="96">
        <f t="shared" si="85"/>
        <v>0</v>
      </c>
      <c r="O95" s="102"/>
      <c r="P95" s="106"/>
      <c r="Q95" s="99">
        <f t="shared" si="86"/>
        <v>0</v>
      </c>
      <c r="R95" s="104">
        <f t="shared" si="83"/>
        <v>0</v>
      </c>
      <c r="S95" s="65"/>
      <c r="T95" s="65"/>
      <c r="U95" s="65"/>
      <c r="V95" s="65"/>
      <c r="W95" s="65"/>
    </row>
    <row r="96" spans="1:23" ht="19.5" customHeight="1" x14ac:dyDescent="0.2">
      <c r="A96" s="79" t="s">
        <v>299</v>
      </c>
      <c r="B96" s="108"/>
      <c r="C96" s="109">
        <f t="shared" ref="C96:Q96" si="87">C97</f>
        <v>0</v>
      </c>
      <c r="D96" s="110">
        <f t="shared" si="87"/>
        <v>0</v>
      </c>
      <c r="E96" s="110">
        <f t="shared" si="87"/>
        <v>0</v>
      </c>
      <c r="F96" s="110">
        <f t="shared" si="87"/>
        <v>0</v>
      </c>
      <c r="G96" s="110">
        <f t="shared" si="87"/>
        <v>0</v>
      </c>
      <c r="H96" s="110">
        <f t="shared" si="87"/>
        <v>0</v>
      </c>
      <c r="I96" s="88">
        <f t="shared" si="87"/>
        <v>0</v>
      </c>
      <c r="J96" s="109">
        <f t="shared" si="87"/>
        <v>0</v>
      </c>
      <c r="K96" s="110">
        <f t="shared" si="87"/>
        <v>0</v>
      </c>
      <c r="L96" s="110">
        <f t="shared" si="87"/>
        <v>0</v>
      </c>
      <c r="M96" s="110">
        <f t="shared" si="87"/>
        <v>0</v>
      </c>
      <c r="N96" s="86">
        <f t="shared" si="87"/>
        <v>0</v>
      </c>
      <c r="O96" s="111">
        <f t="shared" si="87"/>
        <v>0</v>
      </c>
      <c r="P96" s="112">
        <f t="shared" si="87"/>
        <v>0</v>
      </c>
      <c r="Q96" s="89">
        <f t="shared" si="87"/>
        <v>0</v>
      </c>
      <c r="R96" s="113">
        <f t="shared" si="83"/>
        <v>0</v>
      </c>
      <c r="S96" s="65"/>
      <c r="T96" s="65"/>
      <c r="U96" s="65"/>
      <c r="V96" s="65"/>
      <c r="W96" s="65"/>
    </row>
    <row r="97" spans="1:23" ht="25.5" customHeight="1" x14ac:dyDescent="0.2">
      <c r="A97" s="91"/>
      <c r="B97" s="92" t="s">
        <v>300</v>
      </c>
      <c r="C97" s="101"/>
      <c r="D97" s="41"/>
      <c r="E97" s="41"/>
      <c r="F97" s="41"/>
      <c r="G97" s="41"/>
      <c r="H97" s="41"/>
      <c r="I97" s="95">
        <f>+SUM(C97:H97)</f>
        <v>0</v>
      </c>
      <c r="J97" s="101"/>
      <c r="K97" s="41"/>
      <c r="L97" s="41"/>
      <c r="M97" s="41"/>
      <c r="N97" s="96">
        <f>+SUM(J97:M97)</f>
        <v>0</v>
      </c>
      <c r="O97" s="102"/>
      <c r="P97" s="103"/>
      <c r="Q97" s="99">
        <f>+I97+N97</f>
        <v>0</v>
      </c>
      <c r="R97" s="104">
        <f t="shared" si="83"/>
        <v>0</v>
      </c>
      <c r="S97" s="65"/>
      <c r="T97" s="65"/>
      <c r="U97" s="65"/>
      <c r="V97" s="65"/>
      <c r="W97" s="65"/>
    </row>
    <row r="98" spans="1:23" ht="19.5" customHeight="1" x14ac:dyDescent="0.2">
      <c r="A98" s="79" t="s">
        <v>301</v>
      </c>
      <c r="B98" s="108"/>
      <c r="C98" s="84">
        <f t="shared" ref="C98:Q98" si="88">C99</f>
        <v>0</v>
      </c>
      <c r="D98" s="85">
        <f t="shared" si="88"/>
        <v>0</v>
      </c>
      <c r="E98" s="85">
        <f t="shared" si="88"/>
        <v>0</v>
      </c>
      <c r="F98" s="85">
        <f t="shared" si="88"/>
        <v>0</v>
      </c>
      <c r="G98" s="85">
        <f t="shared" si="88"/>
        <v>0</v>
      </c>
      <c r="H98" s="85">
        <f t="shared" si="88"/>
        <v>0</v>
      </c>
      <c r="I98" s="88">
        <f t="shared" si="88"/>
        <v>0</v>
      </c>
      <c r="J98" s="84">
        <f t="shared" si="88"/>
        <v>0</v>
      </c>
      <c r="K98" s="85">
        <f t="shared" si="88"/>
        <v>0</v>
      </c>
      <c r="L98" s="85">
        <f t="shared" si="88"/>
        <v>0</v>
      </c>
      <c r="M98" s="85">
        <f t="shared" si="88"/>
        <v>0</v>
      </c>
      <c r="N98" s="86">
        <f t="shared" si="88"/>
        <v>0</v>
      </c>
      <c r="O98" s="87">
        <f t="shared" si="88"/>
        <v>0</v>
      </c>
      <c r="P98" s="88">
        <f t="shared" si="88"/>
        <v>0</v>
      </c>
      <c r="Q98" s="89">
        <f t="shared" si="88"/>
        <v>0</v>
      </c>
      <c r="R98" s="90">
        <f t="shared" si="83"/>
        <v>0</v>
      </c>
      <c r="S98" s="65"/>
      <c r="T98" s="65"/>
      <c r="U98" s="65"/>
      <c r="V98" s="65"/>
      <c r="W98" s="65"/>
    </row>
    <row r="99" spans="1:23" ht="11.25" customHeight="1" x14ac:dyDescent="0.2">
      <c r="A99" s="91"/>
      <c r="B99" s="92" t="s">
        <v>302</v>
      </c>
      <c r="C99" s="93"/>
      <c r="D99" s="94"/>
      <c r="E99" s="94"/>
      <c r="F99" s="94"/>
      <c r="G99" s="94"/>
      <c r="H99" s="94"/>
      <c r="I99" s="95">
        <f>+SUM(C99:H99)</f>
        <v>0</v>
      </c>
      <c r="J99" s="93"/>
      <c r="K99" s="94"/>
      <c r="L99" s="94"/>
      <c r="M99" s="94"/>
      <c r="N99" s="96">
        <f>+SUM(J99:M99)</f>
        <v>0</v>
      </c>
      <c r="O99" s="97"/>
      <c r="P99" s="98"/>
      <c r="Q99" s="99">
        <f>+I99+N99</f>
        <v>0</v>
      </c>
      <c r="R99" s="100">
        <f t="shared" si="83"/>
        <v>0</v>
      </c>
      <c r="S99" s="65"/>
      <c r="T99" s="65"/>
      <c r="U99" s="65"/>
      <c r="V99" s="65"/>
      <c r="W99" s="65"/>
    </row>
    <row r="100" spans="1:23" ht="19.5" customHeight="1" x14ac:dyDescent="0.2">
      <c r="A100" s="79" t="s">
        <v>303</v>
      </c>
      <c r="B100" s="108"/>
      <c r="C100" s="109">
        <f t="shared" ref="C100:Q100" si="89">SUM(C101:C103)</f>
        <v>0</v>
      </c>
      <c r="D100" s="110">
        <f t="shared" si="89"/>
        <v>0</v>
      </c>
      <c r="E100" s="110">
        <f t="shared" si="89"/>
        <v>0</v>
      </c>
      <c r="F100" s="110">
        <f t="shared" si="89"/>
        <v>0</v>
      </c>
      <c r="G100" s="110">
        <f t="shared" si="89"/>
        <v>0</v>
      </c>
      <c r="H100" s="110">
        <f t="shared" si="89"/>
        <v>0</v>
      </c>
      <c r="I100" s="88">
        <f t="shared" si="89"/>
        <v>0</v>
      </c>
      <c r="J100" s="109">
        <f t="shared" si="89"/>
        <v>0</v>
      </c>
      <c r="K100" s="110">
        <f t="shared" si="89"/>
        <v>0</v>
      </c>
      <c r="L100" s="110">
        <f t="shared" si="89"/>
        <v>0</v>
      </c>
      <c r="M100" s="110">
        <f t="shared" si="89"/>
        <v>0</v>
      </c>
      <c r="N100" s="86">
        <f t="shared" si="89"/>
        <v>0</v>
      </c>
      <c r="O100" s="111">
        <f t="shared" si="89"/>
        <v>0</v>
      </c>
      <c r="P100" s="112">
        <f t="shared" si="89"/>
        <v>0</v>
      </c>
      <c r="Q100" s="89">
        <f t="shared" si="89"/>
        <v>0</v>
      </c>
      <c r="R100" s="113">
        <f t="shared" si="83"/>
        <v>0</v>
      </c>
      <c r="S100" s="65"/>
      <c r="T100" s="65"/>
      <c r="U100" s="65"/>
      <c r="V100" s="65"/>
      <c r="W100" s="65"/>
    </row>
    <row r="101" spans="1:23" ht="11.25" customHeight="1" x14ac:dyDescent="0.2">
      <c r="A101" s="91"/>
      <c r="B101" s="92" t="s">
        <v>304</v>
      </c>
      <c r="C101" s="101"/>
      <c r="D101" s="41"/>
      <c r="E101" s="41"/>
      <c r="F101" s="41"/>
      <c r="G101" s="41"/>
      <c r="H101" s="41"/>
      <c r="I101" s="95">
        <f t="shared" ref="I101:I103" si="90">+SUM(C101:H101)</f>
        <v>0</v>
      </c>
      <c r="J101" s="101"/>
      <c r="K101" s="41"/>
      <c r="L101" s="41"/>
      <c r="M101" s="41"/>
      <c r="N101" s="96">
        <f t="shared" ref="N101:N103" si="91">+SUM(J101:M101)</f>
        <v>0</v>
      </c>
      <c r="O101" s="102"/>
      <c r="P101" s="103"/>
      <c r="Q101" s="99">
        <f t="shared" ref="Q101:Q103" si="92">+I101+N101</f>
        <v>0</v>
      </c>
      <c r="R101" s="104">
        <f t="shared" si="83"/>
        <v>0</v>
      </c>
      <c r="S101" s="65"/>
      <c r="T101" s="65"/>
      <c r="U101" s="65"/>
      <c r="V101" s="65"/>
      <c r="W101" s="65"/>
    </row>
    <row r="102" spans="1:23" ht="11.25" customHeight="1" x14ac:dyDescent="0.2">
      <c r="A102" s="91"/>
      <c r="B102" s="92" t="s">
        <v>305</v>
      </c>
      <c r="C102" s="101"/>
      <c r="D102" s="41"/>
      <c r="E102" s="105"/>
      <c r="F102" s="105"/>
      <c r="G102" s="105"/>
      <c r="H102" s="105"/>
      <c r="I102" s="95">
        <f t="shared" si="90"/>
        <v>0</v>
      </c>
      <c r="J102" s="101"/>
      <c r="K102" s="41"/>
      <c r="L102" s="105"/>
      <c r="M102" s="41"/>
      <c r="N102" s="96">
        <f t="shared" si="91"/>
        <v>0</v>
      </c>
      <c r="O102" s="115"/>
      <c r="P102" s="106"/>
      <c r="Q102" s="99">
        <f t="shared" si="92"/>
        <v>0</v>
      </c>
      <c r="R102" s="104">
        <f t="shared" si="83"/>
        <v>0</v>
      </c>
      <c r="S102" s="65"/>
      <c r="T102" s="65"/>
      <c r="U102" s="65"/>
      <c r="V102" s="65"/>
      <c r="W102" s="65"/>
    </row>
    <row r="103" spans="1:23" ht="11.25" customHeight="1" x14ac:dyDescent="0.2">
      <c r="A103" s="91"/>
      <c r="B103" s="92" t="s">
        <v>306</v>
      </c>
      <c r="C103" s="101"/>
      <c r="D103" s="41"/>
      <c r="E103" s="105"/>
      <c r="F103" s="105"/>
      <c r="G103" s="105"/>
      <c r="H103" s="105"/>
      <c r="I103" s="95">
        <f t="shared" si="90"/>
        <v>0</v>
      </c>
      <c r="J103" s="101"/>
      <c r="K103" s="41"/>
      <c r="L103" s="105"/>
      <c r="M103" s="41"/>
      <c r="N103" s="96">
        <f t="shared" si="91"/>
        <v>0</v>
      </c>
      <c r="O103" s="115"/>
      <c r="P103" s="106"/>
      <c r="Q103" s="99">
        <f t="shared" si="92"/>
        <v>0</v>
      </c>
      <c r="R103" s="104">
        <f t="shared" si="83"/>
        <v>0</v>
      </c>
      <c r="S103" s="65"/>
      <c r="T103" s="65"/>
      <c r="U103" s="65"/>
      <c r="V103" s="65"/>
      <c r="W103" s="65"/>
    </row>
    <row r="104" spans="1:23" ht="19.5" customHeight="1" x14ac:dyDescent="0.2">
      <c r="A104" s="79" t="s">
        <v>307</v>
      </c>
      <c r="B104" s="108"/>
      <c r="C104" s="109">
        <f t="shared" ref="C104:Q104" si="93">C105</f>
        <v>0</v>
      </c>
      <c r="D104" s="110">
        <f t="shared" si="93"/>
        <v>0</v>
      </c>
      <c r="E104" s="110">
        <f t="shared" si="93"/>
        <v>0</v>
      </c>
      <c r="F104" s="110">
        <f t="shared" si="93"/>
        <v>0</v>
      </c>
      <c r="G104" s="110">
        <f t="shared" si="93"/>
        <v>0</v>
      </c>
      <c r="H104" s="110">
        <f t="shared" si="93"/>
        <v>0</v>
      </c>
      <c r="I104" s="88">
        <f t="shared" si="93"/>
        <v>0</v>
      </c>
      <c r="J104" s="109">
        <f t="shared" si="93"/>
        <v>0</v>
      </c>
      <c r="K104" s="110">
        <f t="shared" si="93"/>
        <v>0</v>
      </c>
      <c r="L104" s="110">
        <f t="shared" si="93"/>
        <v>0</v>
      </c>
      <c r="M104" s="110">
        <f t="shared" si="93"/>
        <v>0</v>
      </c>
      <c r="N104" s="86">
        <f t="shared" si="93"/>
        <v>0</v>
      </c>
      <c r="O104" s="111">
        <f t="shared" si="93"/>
        <v>0</v>
      </c>
      <c r="P104" s="112">
        <f t="shared" si="93"/>
        <v>0</v>
      </c>
      <c r="Q104" s="89">
        <f t="shared" si="93"/>
        <v>0</v>
      </c>
      <c r="R104" s="136">
        <f t="shared" si="83"/>
        <v>0</v>
      </c>
      <c r="S104" s="65"/>
      <c r="T104" s="65"/>
      <c r="U104" s="65"/>
      <c r="V104" s="65"/>
      <c r="W104" s="65"/>
    </row>
    <row r="105" spans="1:23" ht="11.25" customHeight="1" x14ac:dyDescent="0.2">
      <c r="A105" s="137"/>
      <c r="B105" s="118" t="s">
        <v>308</v>
      </c>
      <c r="C105" s="119"/>
      <c r="D105" s="120"/>
      <c r="E105" s="120"/>
      <c r="F105" s="120"/>
      <c r="G105" s="120"/>
      <c r="H105" s="120"/>
      <c r="I105" s="121">
        <f>+SUM(C105:H105)</f>
        <v>0</v>
      </c>
      <c r="J105" s="122"/>
      <c r="K105" s="123"/>
      <c r="L105" s="94"/>
      <c r="M105" s="123"/>
      <c r="N105" s="96">
        <f>+SUM(J105:M105)</f>
        <v>0</v>
      </c>
      <c r="O105" s="124"/>
      <c r="P105" s="125"/>
      <c r="Q105" s="99">
        <f>+I105+N105</f>
        <v>0</v>
      </c>
      <c r="R105" s="126">
        <f t="shared" si="83"/>
        <v>0</v>
      </c>
      <c r="S105" s="65"/>
      <c r="T105" s="65"/>
      <c r="U105" s="65"/>
      <c r="V105" s="65"/>
      <c r="W105" s="65"/>
    </row>
    <row r="106" spans="1:23" ht="21.75" customHeight="1" x14ac:dyDescent="0.2">
      <c r="A106" s="813" t="s">
        <v>309</v>
      </c>
      <c r="B106" s="814"/>
      <c r="C106" s="127">
        <f t="shared" ref="C106:Q106" si="94">C104+C100+C98+C96+C91</f>
        <v>0</v>
      </c>
      <c r="D106" s="128">
        <f t="shared" si="94"/>
        <v>0</v>
      </c>
      <c r="E106" s="128">
        <f t="shared" si="94"/>
        <v>0</v>
      </c>
      <c r="F106" s="128">
        <f t="shared" si="94"/>
        <v>5653562</v>
      </c>
      <c r="G106" s="128">
        <f t="shared" si="94"/>
        <v>0</v>
      </c>
      <c r="H106" s="128">
        <f t="shared" si="94"/>
        <v>0</v>
      </c>
      <c r="I106" s="129">
        <f t="shared" si="94"/>
        <v>5653562</v>
      </c>
      <c r="J106" s="127">
        <f t="shared" si="94"/>
        <v>0</v>
      </c>
      <c r="K106" s="128">
        <f t="shared" si="94"/>
        <v>0</v>
      </c>
      <c r="L106" s="128">
        <f t="shared" si="94"/>
        <v>0</v>
      </c>
      <c r="M106" s="128">
        <f t="shared" si="94"/>
        <v>0</v>
      </c>
      <c r="N106" s="129">
        <f t="shared" si="94"/>
        <v>0</v>
      </c>
      <c r="O106" s="127">
        <f t="shared" si="94"/>
        <v>0</v>
      </c>
      <c r="P106" s="129">
        <f t="shared" si="94"/>
        <v>0</v>
      </c>
      <c r="Q106" s="130">
        <f t="shared" si="94"/>
        <v>5653562</v>
      </c>
      <c r="R106" s="131">
        <v>1</v>
      </c>
      <c r="S106" s="65"/>
      <c r="T106" s="65"/>
      <c r="U106" s="65"/>
      <c r="V106" s="65"/>
      <c r="W106" s="65"/>
    </row>
    <row r="107" spans="1:23" ht="11.25" customHeight="1" x14ac:dyDescent="0.2">
      <c r="A107" s="65"/>
      <c r="B107" s="65"/>
      <c r="C107" s="65"/>
      <c r="D107" s="65"/>
      <c r="E107" s="65"/>
      <c r="F107" s="65"/>
      <c r="G107" s="65"/>
      <c r="H107" s="65"/>
      <c r="I107" s="65"/>
      <c r="J107" s="65"/>
      <c r="K107" s="65"/>
      <c r="L107" s="65"/>
      <c r="M107" s="65"/>
      <c r="N107" s="65"/>
      <c r="O107" s="65"/>
      <c r="P107" s="65"/>
      <c r="Q107" s="65"/>
      <c r="R107" s="65"/>
      <c r="S107" s="65"/>
      <c r="T107" s="65"/>
      <c r="U107" s="65"/>
      <c r="V107" s="65"/>
      <c r="W107" s="65"/>
    </row>
    <row r="108" spans="1:23" ht="11.25" hidden="1" customHeight="1" x14ac:dyDescent="0.2">
      <c r="A108" s="65"/>
      <c r="B108" s="65"/>
      <c r="C108" s="65"/>
      <c r="D108" s="65"/>
      <c r="E108" s="65"/>
      <c r="F108" s="65"/>
      <c r="G108" s="65"/>
      <c r="H108" s="65"/>
      <c r="I108" s="65"/>
      <c r="J108" s="65"/>
      <c r="K108" s="65"/>
      <c r="L108" s="65"/>
      <c r="M108" s="65"/>
      <c r="N108" s="65"/>
      <c r="O108" s="65"/>
      <c r="P108" s="65"/>
      <c r="Q108" s="65"/>
      <c r="R108" s="65"/>
      <c r="S108" s="65"/>
      <c r="T108" s="65"/>
      <c r="U108" s="65"/>
      <c r="V108" s="65"/>
      <c r="W108" s="65"/>
    </row>
    <row r="109" spans="1:23" ht="11.25" hidden="1" customHeight="1" x14ac:dyDescent="0.2">
      <c r="A109" s="67" t="s">
        <v>314</v>
      </c>
      <c r="B109" s="17"/>
      <c r="C109" s="17"/>
      <c r="D109" s="17"/>
      <c r="E109" s="17"/>
      <c r="F109" s="17"/>
      <c r="G109" s="17"/>
      <c r="H109" s="17"/>
      <c r="I109" s="17"/>
      <c r="J109" s="17"/>
      <c r="K109" s="17"/>
      <c r="L109" s="17"/>
      <c r="M109" s="17"/>
      <c r="N109" s="17"/>
      <c r="O109" s="17"/>
      <c r="P109" s="17"/>
      <c r="Q109" s="17"/>
      <c r="R109" s="17"/>
      <c r="S109" s="65"/>
      <c r="T109" s="65"/>
      <c r="U109" s="65"/>
      <c r="V109" s="65"/>
      <c r="W109" s="65"/>
    </row>
    <row r="110" spans="1:23" ht="11.25" hidden="1" customHeight="1" x14ac:dyDescent="0.2">
      <c r="A110" s="809" t="s">
        <v>282</v>
      </c>
      <c r="B110" s="811" t="s">
        <v>283</v>
      </c>
      <c r="C110" s="815" t="s">
        <v>259</v>
      </c>
      <c r="D110" s="818"/>
      <c r="E110" s="818"/>
      <c r="F110" s="818"/>
      <c r="G110" s="818"/>
      <c r="H110" s="818"/>
      <c r="I110" s="816"/>
      <c r="J110" s="817" t="s">
        <v>266</v>
      </c>
      <c r="K110" s="818"/>
      <c r="L110" s="818"/>
      <c r="M110" s="818"/>
      <c r="N110" s="816"/>
      <c r="O110" s="817" t="s">
        <v>271</v>
      </c>
      <c r="P110" s="816"/>
      <c r="Q110" s="815" t="s">
        <v>284</v>
      </c>
      <c r="R110" s="816"/>
      <c r="S110" s="65"/>
      <c r="T110" s="65"/>
      <c r="U110" s="65"/>
      <c r="V110" s="65"/>
      <c r="W110" s="65"/>
    </row>
    <row r="111" spans="1:23" ht="11.25" hidden="1" customHeight="1" x14ac:dyDescent="0.2">
      <c r="A111" s="810"/>
      <c r="B111" s="812"/>
      <c r="C111" s="69" t="s">
        <v>260</v>
      </c>
      <c r="D111" s="70" t="s">
        <v>261</v>
      </c>
      <c r="E111" s="70" t="s">
        <v>262</v>
      </c>
      <c r="F111" s="70" t="s">
        <v>263</v>
      </c>
      <c r="G111" s="70" t="s">
        <v>285</v>
      </c>
      <c r="H111" s="70" t="s">
        <v>286</v>
      </c>
      <c r="I111" s="71" t="s">
        <v>287</v>
      </c>
      <c r="J111" s="72" t="s">
        <v>288</v>
      </c>
      <c r="K111" s="73" t="s">
        <v>289</v>
      </c>
      <c r="L111" s="73" t="s">
        <v>269</v>
      </c>
      <c r="M111" s="73" t="s">
        <v>270</v>
      </c>
      <c r="N111" s="74" t="s">
        <v>290</v>
      </c>
      <c r="O111" s="72" t="s">
        <v>272</v>
      </c>
      <c r="P111" s="75" t="s">
        <v>291</v>
      </c>
      <c r="Q111" s="76" t="s">
        <v>292</v>
      </c>
      <c r="R111" s="77" t="s">
        <v>293</v>
      </c>
      <c r="S111" s="65"/>
      <c r="T111" s="65"/>
      <c r="U111" s="65"/>
      <c r="V111" s="65"/>
      <c r="W111" s="65"/>
    </row>
    <row r="112" spans="1:23" ht="20.25" hidden="1" customHeight="1" x14ac:dyDescent="0.2">
      <c r="A112" s="140" t="s">
        <v>294</v>
      </c>
      <c r="B112" s="80"/>
      <c r="C112" s="81">
        <f t="shared" ref="C112:Q112" si="95">SUM(C113:C116)</f>
        <v>0</v>
      </c>
      <c r="D112" s="82">
        <f t="shared" si="95"/>
        <v>0</v>
      </c>
      <c r="E112" s="82">
        <f t="shared" si="95"/>
        <v>0</v>
      </c>
      <c r="F112" s="82">
        <f t="shared" si="95"/>
        <v>0</v>
      </c>
      <c r="G112" s="82">
        <f t="shared" si="95"/>
        <v>0</v>
      </c>
      <c r="H112" s="82">
        <f t="shared" si="95"/>
        <v>0</v>
      </c>
      <c r="I112" s="83">
        <f t="shared" si="95"/>
        <v>0</v>
      </c>
      <c r="J112" s="84">
        <f t="shared" si="95"/>
        <v>0</v>
      </c>
      <c r="K112" s="85">
        <f t="shared" si="95"/>
        <v>0</v>
      </c>
      <c r="L112" s="85">
        <f t="shared" si="95"/>
        <v>0</v>
      </c>
      <c r="M112" s="85">
        <f t="shared" si="95"/>
        <v>0</v>
      </c>
      <c r="N112" s="86">
        <f t="shared" si="95"/>
        <v>0</v>
      </c>
      <c r="O112" s="87">
        <f t="shared" si="95"/>
        <v>0</v>
      </c>
      <c r="P112" s="88">
        <f t="shared" si="95"/>
        <v>0</v>
      </c>
      <c r="Q112" s="89">
        <f t="shared" si="95"/>
        <v>0</v>
      </c>
      <c r="R112" s="90" t="e">
        <f t="shared" ref="R112:R126" si="96">Q112/$Q$127</f>
        <v>#DIV/0!</v>
      </c>
      <c r="S112" s="65"/>
      <c r="T112" s="65"/>
      <c r="U112" s="65"/>
      <c r="V112" s="65"/>
      <c r="W112" s="65"/>
    </row>
    <row r="113" spans="1:23" ht="11.25" hidden="1" customHeight="1" x14ac:dyDescent="0.2">
      <c r="A113" s="91"/>
      <c r="B113" s="92" t="s">
        <v>295</v>
      </c>
      <c r="C113" s="93"/>
      <c r="D113" s="94"/>
      <c r="E113" s="94"/>
      <c r="F113" s="94"/>
      <c r="G113" s="94"/>
      <c r="H113" s="94"/>
      <c r="I113" s="98">
        <f t="shared" ref="I113:I116" si="97">+SUM(C113:H113)</f>
        <v>0</v>
      </c>
      <c r="J113" s="93"/>
      <c r="K113" s="94"/>
      <c r="L113" s="94"/>
      <c r="M113" s="94"/>
      <c r="N113" s="138">
        <f t="shared" ref="N113:N116" si="98">+SUM(J113:M113)</f>
        <v>0</v>
      </c>
      <c r="O113" s="97"/>
      <c r="P113" s="98"/>
      <c r="Q113" s="99">
        <f t="shared" ref="Q113:Q116" si="99">+I113+N113</f>
        <v>0</v>
      </c>
      <c r="R113" s="100" t="e">
        <f t="shared" si="96"/>
        <v>#DIV/0!</v>
      </c>
      <c r="S113" s="65"/>
      <c r="T113" s="65"/>
      <c r="U113" s="65"/>
      <c r="V113" s="65"/>
      <c r="W113" s="65"/>
    </row>
    <row r="114" spans="1:23" ht="11.25" hidden="1" customHeight="1" x14ac:dyDescent="0.2">
      <c r="A114" s="91"/>
      <c r="B114" s="92" t="s">
        <v>296</v>
      </c>
      <c r="C114" s="101"/>
      <c r="D114" s="41"/>
      <c r="E114" s="41"/>
      <c r="F114" s="41"/>
      <c r="G114" s="41"/>
      <c r="H114" s="41"/>
      <c r="I114" s="98">
        <f t="shared" si="97"/>
        <v>0</v>
      </c>
      <c r="J114" s="101"/>
      <c r="K114" s="41"/>
      <c r="L114" s="41"/>
      <c r="M114" s="41"/>
      <c r="N114" s="138">
        <f t="shared" si="98"/>
        <v>0</v>
      </c>
      <c r="O114" s="102"/>
      <c r="P114" s="103"/>
      <c r="Q114" s="99">
        <f t="shared" si="99"/>
        <v>0</v>
      </c>
      <c r="R114" s="104" t="e">
        <f t="shared" si="96"/>
        <v>#DIV/0!</v>
      </c>
      <c r="S114" s="65"/>
      <c r="T114" s="65"/>
      <c r="U114" s="65"/>
      <c r="V114" s="65"/>
      <c r="W114" s="65"/>
    </row>
    <row r="115" spans="1:23" ht="11.25" hidden="1" customHeight="1" x14ac:dyDescent="0.2">
      <c r="A115" s="91"/>
      <c r="B115" s="92" t="s">
        <v>297</v>
      </c>
      <c r="C115" s="101"/>
      <c r="D115" s="41"/>
      <c r="E115" s="105"/>
      <c r="F115" s="105"/>
      <c r="G115" s="105"/>
      <c r="H115" s="105"/>
      <c r="I115" s="98">
        <f t="shared" si="97"/>
        <v>0</v>
      </c>
      <c r="J115" s="101"/>
      <c r="K115" s="41"/>
      <c r="L115" s="105"/>
      <c r="M115" s="41"/>
      <c r="N115" s="138">
        <f t="shared" si="98"/>
        <v>0</v>
      </c>
      <c r="O115" s="102"/>
      <c r="P115" s="106"/>
      <c r="Q115" s="99">
        <f t="shared" si="99"/>
        <v>0</v>
      </c>
      <c r="R115" s="107" t="e">
        <f t="shared" si="96"/>
        <v>#DIV/0!</v>
      </c>
      <c r="S115" s="65"/>
      <c r="T115" s="65"/>
      <c r="U115" s="65"/>
      <c r="V115" s="65"/>
      <c r="W115" s="65"/>
    </row>
    <row r="116" spans="1:23" ht="11.25" hidden="1" customHeight="1" x14ac:dyDescent="0.2">
      <c r="A116" s="91"/>
      <c r="B116" s="92" t="s">
        <v>298</v>
      </c>
      <c r="C116" s="101"/>
      <c r="D116" s="41"/>
      <c r="E116" s="105"/>
      <c r="F116" s="105"/>
      <c r="G116" s="105"/>
      <c r="H116" s="105"/>
      <c r="I116" s="98">
        <f t="shared" si="97"/>
        <v>0</v>
      </c>
      <c r="J116" s="101"/>
      <c r="K116" s="41"/>
      <c r="L116" s="105"/>
      <c r="M116" s="41"/>
      <c r="N116" s="138">
        <f t="shared" si="98"/>
        <v>0</v>
      </c>
      <c r="O116" s="102"/>
      <c r="P116" s="106"/>
      <c r="Q116" s="99">
        <f t="shared" si="99"/>
        <v>0</v>
      </c>
      <c r="R116" s="107" t="e">
        <f t="shared" si="96"/>
        <v>#DIV/0!</v>
      </c>
      <c r="S116" s="65"/>
      <c r="T116" s="65"/>
      <c r="U116" s="65"/>
      <c r="V116" s="65"/>
      <c r="W116" s="65"/>
    </row>
    <row r="117" spans="1:23" ht="20.25" hidden="1" customHeight="1" x14ac:dyDescent="0.2">
      <c r="A117" s="140" t="s">
        <v>299</v>
      </c>
      <c r="B117" s="108"/>
      <c r="C117" s="109">
        <f t="shared" ref="C117:Q117" si="100">C118</f>
        <v>0</v>
      </c>
      <c r="D117" s="110">
        <f t="shared" si="100"/>
        <v>0</v>
      </c>
      <c r="E117" s="110">
        <f t="shared" si="100"/>
        <v>0</v>
      </c>
      <c r="F117" s="110">
        <f t="shared" si="100"/>
        <v>0</v>
      </c>
      <c r="G117" s="110">
        <f t="shared" si="100"/>
        <v>0</v>
      </c>
      <c r="H117" s="110">
        <f t="shared" si="100"/>
        <v>0</v>
      </c>
      <c r="I117" s="88">
        <f t="shared" si="100"/>
        <v>0</v>
      </c>
      <c r="J117" s="109">
        <f t="shared" si="100"/>
        <v>0</v>
      </c>
      <c r="K117" s="110">
        <f t="shared" si="100"/>
        <v>0</v>
      </c>
      <c r="L117" s="110">
        <f t="shared" si="100"/>
        <v>0</v>
      </c>
      <c r="M117" s="110">
        <f t="shared" si="100"/>
        <v>0</v>
      </c>
      <c r="N117" s="86">
        <f t="shared" si="100"/>
        <v>0</v>
      </c>
      <c r="O117" s="111">
        <f t="shared" si="100"/>
        <v>0</v>
      </c>
      <c r="P117" s="112">
        <f t="shared" si="100"/>
        <v>0</v>
      </c>
      <c r="Q117" s="89">
        <f t="shared" si="100"/>
        <v>0</v>
      </c>
      <c r="R117" s="113" t="e">
        <f t="shared" si="96"/>
        <v>#DIV/0!</v>
      </c>
      <c r="S117" s="65"/>
      <c r="T117" s="65"/>
      <c r="U117" s="65"/>
      <c r="V117" s="65"/>
      <c r="W117" s="65"/>
    </row>
    <row r="118" spans="1:23" ht="22.5" hidden="1" customHeight="1" x14ac:dyDescent="0.2">
      <c r="A118" s="114"/>
      <c r="B118" s="92" t="s">
        <v>300</v>
      </c>
      <c r="C118" s="101"/>
      <c r="D118" s="41"/>
      <c r="E118" s="41"/>
      <c r="F118" s="41"/>
      <c r="G118" s="41"/>
      <c r="H118" s="41"/>
      <c r="I118" s="98">
        <f>+SUM(C118:H118)</f>
        <v>0</v>
      </c>
      <c r="J118" s="101"/>
      <c r="K118" s="41"/>
      <c r="L118" s="41"/>
      <c r="M118" s="41"/>
      <c r="N118" s="138"/>
      <c r="O118" s="102"/>
      <c r="P118" s="103"/>
      <c r="Q118" s="99"/>
      <c r="R118" s="104" t="e">
        <f t="shared" si="96"/>
        <v>#DIV/0!</v>
      </c>
      <c r="S118" s="65"/>
      <c r="T118" s="65"/>
      <c r="U118" s="65"/>
      <c r="V118" s="65"/>
      <c r="W118" s="65"/>
    </row>
    <row r="119" spans="1:23" ht="20.25" hidden="1" customHeight="1" x14ac:dyDescent="0.2">
      <c r="A119" s="140" t="s">
        <v>301</v>
      </c>
      <c r="B119" s="108"/>
      <c r="C119" s="84">
        <f t="shared" ref="C119:Q119" si="101">C120</f>
        <v>0</v>
      </c>
      <c r="D119" s="85">
        <f t="shared" si="101"/>
        <v>0</v>
      </c>
      <c r="E119" s="85">
        <f t="shared" si="101"/>
        <v>0</v>
      </c>
      <c r="F119" s="85">
        <f t="shared" si="101"/>
        <v>0</v>
      </c>
      <c r="G119" s="85">
        <f t="shared" si="101"/>
        <v>0</v>
      </c>
      <c r="H119" s="85">
        <f t="shared" si="101"/>
        <v>0</v>
      </c>
      <c r="I119" s="88">
        <f t="shared" si="101"/>
        <v>0</v>
      </c>
      <c r="J119" s="84">
        <f t="shared" si="101"/>
        <v>0</v>
      </c>
      <c r="K119" s="85">
        <f t="shared" si="101"/>
        <v>0</v>
      </c>
      <c r="L119" s="85">
        <f t="shared" si="101"/>
        <v>0</v>
      </c>
      <c r="M119" s="85">
        <f t="shared" si="101"/>
        <v>0</v>
      </c>
      <c r="N119" s="86">
        <f t="shared" si="101"/>
        <v>0</v>
      </c>
      <c r="O119" s="87">
        <f t="shared" si="101"/>
        <v>0</v>
      </c>
      <c r="P119" s="88">
        <f t="shared" si="101"/>
        <v>0</v>
      </c>
      <c r="Q119" s="89">
        <f t="shared" si="101"/>
        <v>0</v>
      </c>
      <c r="R119" s="90" t="e">
        <f t="shared" si="96"/>
        <v>#DIV/0!</v>
      </c>
      <c r="S119" s="65"/>
      <c r="T119" s="65"/>
      <c r="U119" s="65"/>
      <c r="V119" s="65"/>
      <c r="W119" s="65"/>
    </row>
    <row r="120" spans="1:23" ht="11.25" hidden="1" customHeight="1" x14ac:dyDescent="0.2">
      <c r="A120" s="114"/>
      <c r="B120" s="92" t="s">
        <v>302</v>
      </c>
      <c r="C120" s="93"/>
      <c r="D120" s="94"/>
      <c r="E120" s="94"/>
      <c r="F120" s="94"/>
      <c r="G120" s="94"/>
      <c r="H120" s="94"/>
      <c r="I120" s="98"/>
      <c r="J120" s="93"/>
      <c r="K120" s="94"/>
      <c r="L120" s="94"/>
      <c r="M120" s="94"/>
      <c r="N120" s="138"/>
      <c r="O120" s="97"/>
      <c r="P120" s="98"/>
      <c r="Q120" s="99"/>
      <c r="R120" s="100" t="e">
        <f t="shared" si="96"/>
        <v>#DIV/0!</v>
      </c>
      <c r="S120" s="65"/>
      <c r="T120" s="65"/>
      <c r="U120" s="65"/>
      <c r="V120" s="65"/>
      <c r="W120" s="65"/>
    </row>
    <row r="121" spans="1:23" ht="20.25" hidden="1" customHeight="1" x14ac:dyDescent="0.2">
      <c r="A121" s="140" t="s">
        <v>303</v>
      </c>
      <c r="B121" s="108"/>
      <c r="C121" s="109">
        <f t="shared" ref="C121:Q121" si="102">SUM(C122:C124)</f>
        <v>0</v>
      </c>
      <c r="D121" s="110">
        <f t="shared" si="102"/>
        <v>0</v>
      </c>
      <c r="E121" s="110">
        <f t="shared" si="102"/>
        <v>0</v>
      </c>
      <c r="F121" s="110">
        <f t="shared" si="102"/>
        <v>0</v>
      </c>
      <c r="G121" s="110">
        <f t="shared" si="102"/>
        <v>0</v>
      </c>
      <c r="H121" s="110">
        <f t="shared" si="102"/>
        <v>0</v>
      </c>
      <c r="I121" s="88">
        <f t="shared" si="102"/>
        <v>0</v>
      </c>
      <c r="J121" s="109">
        <f t="shared" si="102"/>
        <v>0</v>
      </c>
      <c r="K121" s="110">
        <f t="shared" si="102"/>
        <v>0</v>
      </c>
      <c r="L121" s="110">
        <f t="shared" si="102"/>
        <v>0</v>
      </c>
      <c r="M121" s="110">
        <f t="shared" si="102"/>
        <v>0</v>
      </c>
      <c r="N121" s="86">
        <f t="shared" si="102"/>
        <v>0</v>
      </c>
      <c r="O121" s="111">
        <f t="shared" si="102"/>
        <v>0</v>
      </c>
      <c r="P121" s="112">
        <f t="shared" si="102"/>
        <v>0</v>
      </c>
      <c r="Q121" s="89">
        <f t="shared" si="102"/>
        <v>0</v>
      </c>
      <c r="R121" s="113" t="e">
        <f t="shared" si="96"/>
        <v>#DIV/0!</v>
      </c>
      <c r="S121" s="65"/>
      <c r="T121" s="65"/>
      <c r="U121" s="65"/>
      <c r="V121" s="65"/>
      <c r="W121" s="65"/>
    </row>
    <row r="122" spans="1:23" ht="11.25" hidden="1" customHeight="1" x14ac:dyDescent="0.2">
      <c r="A122" s="114"/>
      <c r="B122" s="92" t="s">
        <v>304</v>
      </c>
      <c r="C122" s="101"/>
      <c r="D122" s="41"/>
      <c r="E122" s="41"/>
      <c r="F122" s="41"/>
      <c r="G122" s="41"/>
      <c r="H122" s="41"/>
      <c r="I122" s="98">
        <f t="shared" ref="I122:I124" si="103">+SUM(C122:H122)</f>
        <v>0</v>
      </c>
      <c r="J122" s="101"/>
      <c r="K122" s="41"/>
      <c r="L122" s="41"/>
      <c r="M122" s="41"/>
      <c r="N122" s="138">
        <f t="shared" ref="N122:N124" si="104">+SUM(J122:M122)</f>
        <v>0</v>
      </c>
      <c r="O122" s="102"/>
      <c r="P122" s="103"/>
      <c r="Q122" s="141">
        <f t="shared" ref="Q122:Q124" si="105">+I122+N122</f>
        <v>0</v>
      </c>
      <c r="R122" s="104" t="e">
        <f t="shared" si="96"/>
        <v>#DIV/0!</v>
      </c>
      <c r="S122" s="65"/>
      <c r="T122" s="65"/>
      <c r="U122" s="65"/>
      <c r="V122" s="65"/>
      <c r="W122" s="65"/>
    </row>
    <row r="123" spans="1:23" ht="11.25" hidden="1" customHeight="1" x14ac:dyDescent="0.2">
      <c r="A123" s="114"/>
      <c r="B123" s="92" t="s">
        <v>305</v>
      </c>
      <c r="C123" s="101"/>
      <c r="D123" s="41"/>
      <c r="E123" s="105"/>
      <c r="F123" s="105"/>
      <c r="G123" s="105"/>
      <c r="H123" s="105"/>
      <c r="I123" s="98">
        <f t="shared" si="103"/>
        <v>0</v>
      </c>
      <c r="J123" s="101"/>
      <c r="K123" s="41"/>
      <c r="L123" s="105"/>
      <c r="M123" s="41"/>
      <c r="N123" s="138">
        <f t="shared" si="104"/>
        <v>0</v>
      </c>
      <c r="O123" s="115"/>
      <c r="P123" s="106"/>
      <c r="Q123" s="141">
        <f t="shared" si="105"/>
        <v>0</v>
      </c>
      <c r="R123" s="107" t="e">
        <f t="shared" si="96"/>
        <v>#DIV/0!</v>
      </c>
      <c r="S123" s="65"/>
      <c r="T123" s="65"/>
      <c r="U123" s="65"/>
      <c r="V123" s="65"/>
      <c r="W123" s="65"/>
    </row>
    <row r="124" spans="1:23" ht="11.25" hidden="1" customHeight="1" x14ac:dyDescent="0.2">
      <c r="A124" s="114"/>
      <c r="B124" s="92" t="s">
        <v>306</v>
      </c>
      <c r="C124" s="101"/>
      <c r="D124" s="41"/>
      <c r="E124" s="105"/>
      <c r="F124" s="105"/>
      <c r="G124" s="105"/>
      <c r="H124" s="105"/>
      <c r="I124" s="98">
        <f t="shared" si="103"/>
        <v>0</v>
      </c>
      <c r="J124" s="101"/>
      <c r="K124" s="41"/>
      <c r="L124" s="105"/>
      <c r="M124" s="41"/>
      <c r="N124" s="138">
        <f t="shared" si="104"/>
        <v>0</v>
      </c>
      <c r="O124" s="115"/>
      <c r="P124" s="106"/>
      <c r="Q124" s="141">
        <f t="shared" si="105"/>
        <v>0</v>
      </c>
      <c r="R124" s="107" t="e">
        <f t="shared" si="96"/>
        <v>#DIV/0!</v>
      </c>
      <c r="S124" s="65"/>
      <c r="T124" s="65"/>
      <c r="U124" s="65"/>
      <c r="V124" s="65"/>
      <c r="W124" s="65"/>
    </row>
    <row r="125" spans="1:23" ht="20.25" hidden="1" customHeight="1" x14ac:dyDescent="0.2">
      <c r="A125" s="140" t="s">
        <v>307</v>
      </c>
      <c r="B125" s="108"/>
      <c r="C125" s="109">
        <f t="shared" ref="C125:Q125" si="106">C126</f>
        <v>0</v>
      </c>
      <c r="D125" s="110">
        <f t="shared" si="106"/>
        <v>0</v>
      </c>
      <c r="E125" s="110">
        <f t="shared" si="106"/>
        <v>0</v>
      </c>
      <c r="F125" s="110">
        <f t="shared" si="106"/>
        <v>0</v>
      </c>
      <c r="G125" s="110">
        <f t="shared" si="106"/>
        <v>0</v>
      </c>
      <c r="H125" s="110">
        <f t="shared" si="106"/>
        <v>0</v>
      </c>
      <c r="I125" s="88">
        <f t="shared" si="106"/>
        <v>0</v>
      </c>
      <c r="J125" s="109">
        <f t="shared" si="106"/>
        <v>0</v>
      </c>
      <c r="K125" s="110">
        <f t="shared" si="106"/>
        <v>0</v>
      </c>
      <c r="L125" s="110">
        <f t="shared" si="106"/>
        <v>0</v>
      </c>
      <c r="M125" s="110">
        <f t="shared" si="106"/>
        <v>0</v>
      </c>
      <c r="N125" s="86">
        <f t="shared" si="106"/>
        <v>0</v>
      </c>
      <c r="O125" s="111">
        <f t="shared" si="106"/>
        <v>0</v>
      </c>
      <c r="P125" s="112">
        <f t="shared" si="106"/>
        <v>0</v>
      </c>
      <c r="Q125" s="89">
        <f t="shared" si="106"/>
        <v>0</v>
      </c>
      <c r="R125" s="116" t="e">
        <f t="shared" si="96"/>
        <v>#DIV/0!</v>
      </c>
      <c r="S125" s="65"/>
      <c r="T125" s="65"/>
      <c r="U125" s="65"/>
      <c r="V125" s="65"/>
      <c r="W125" s="65"/>
    </row>
    <row r="126" spans="1:23" ht="11.25" hidden="1" customHeight="1" x14ac:dyDescent="0.2">
      <c r="A126" s="117"/>
      <c r="B126" s="118" t="s">
        <v>308</v>
      </c>
      <c r="C126" s="119"/>
      <c r="D126" s="120"/>
      <c r="E126" s="120"/>
      <c r="F126" s="120"/>
      <c r="G126" s="120"/>
      <c r="H126" s="120"/>
      <c r="I126" s="139">
        <f>+SUM(C126:H126)</f>
        <v>0</v>
      </c>
      <c r="J126" s="122"/>
      <c r="K126" s="123"/>
      <c r="L126" s="94"/>
      <c r="M126" s="123"/>
      <c r="N126" s="138">
        <f>+SUM(J126:M126)</f>
        <v>0</v>
      </c>
      <c r="O126" s="124"/>
      <c r="P126" s="125"/>
      <c r="Q126" s="141">
        <f>+I126+N126</f>
        <v>0</v>
      </c>
      <c r="R126" s="126" t="e">
        <f t="shared" si="96"/>
        <v>#DIV/0!</v>
      </c>
      <c r="S126" s="65"/>
      <c r="T126" s="65"/>
      <c r="U126" s="65"/>
      <c r="V126" s="65"/>
      <c r="W126" s="65"/>
    </row>
    <row r="127" spans="1:23" ht="22.5" hidden="1" customHeight="1" x14ac:dyDescent="0.2">
      <c r="A127" s="142" t="s">
        <v>309</v>
      </c>
      <c r="B127" s="143" t="s">
        <v>309</v>
      </c>
      <c r="C127" s="127">
        <f t="shared" ref="C127:Q127" si="107">C125+C121+C119+C117+C112</f>
        <v>0</v>
      </c>
      <c r="D127" s="128">
        <f t="shared" si="107"/>
        <v>0</v>
      </c>
      <c r="E127" s="128">
        <f t="shared" si="107"/>
        <v>0</v>
      </c>
      <c r="F127" s="128">
        <f t="shared" si="107"/>
        <v>0</v>
      </c>
      <c r="G127" s="128">
        <f t="shared" si="107"/>
        <v>0</v>
      </c>
      <c r="H127" s="128">
        <f t="shared" si="107"/>
        <v>0</v>
      </c>
      <c r="I127" s="129">
        <f t="shared" si="107"/>
        <v>0</v>
      </c>
      <c r="J127" s="127">
        <f t="shared" si="107"/>
        <v>0</v>
      </c>
      <c r="K127" s="128">
        <f t="shared" si="107"/>
        <v>0</v>
      </c>
      <c r="L127" s="128">
        <f t="shared" si="107"/>
        <v>0</v>
      </c>
      <c r="M127" s="128">
        <f t="shared" si="107"/>
        <v>0</v>
      </c>
      <c r="N127" s="129">
        <f t="shared" si="107"/>
        <v>0</v>
      </c>
      <c r="O127" s="127">
        <f t="shared" si="107"/>
        <v>0</v>
      </c>
      <c r="P127" s="129">
        <f t="shared" si="107"/>
        <v>0</v>
      </c>
      <c r="Q127" s="130">
        <f t="shared" si="107"/>
        <v>0</v>
      </c>
      <c r="R127" s="131">
        <v>1</v>
      </c>
      <c r="S127" s="65"/>
      <c r="T127" s="65"/>
      <c r="U127" s="65"/>
      <c r="V127" s="65"/>
      <c r="W127" s="65"/>
    </row>
  </sheetData>
  <mergeCells count="41">
    <mergeCell ref="A110:A111"/>
    <mergeCell ref="B110:B111"/>
    <mergeCell ref="C68:I68"/>
    <mergeCell ref="J68:N68"/>
    <mergeCell ref="Q68:R68"/>
    <mergeCell ref="Q110:R110"/>
    <mergeCell ref="C110:I110"/>
    <mergeCell ref="J110:N110"/>
    <mergeCell ref="O110:P110"/>
    <mergeCell ref="A85:B85"/>
    <mergeCell ref="A106:B106"/>
    <mergeCell ref="A89:A90"/>
    <mergeCell ref="B89:B90"/>
    <mergeCell ref="C26:I26"/>
    <mergeCell ref="Q26:R26"/>
    <mergeCell ref="A64:B64"/>
    <mergeCell ref="B68:B69"/>
    <mergeCell ref="Q47:R47"/>
    <mergeCell ref="Q89:R89"/>
    <mergeCell ref="J5:N5"/>
    <mergeCell ref="O5:P5"/>
    <mergeCell ref="Q5:R5"/>
    <mergeCell ref="C5:I5"/>
    <mergeCell ref="J26:N26"/>
    <mergeCell ref="O26:P26"/>
    <mergeCell ref="C47:I47"/>
    <mergeCell ref="J47:N47"/>
    <mergeCell ref="O47:P47"/>
    <mergeCell ref="O68:P68"/>
    <mergeCell ref="C89:I89"/>
    <mergeCell ref="J89:N89"/>
    <mergeCell ref="O89:P89"/>
    <mergeCell ref="A5:A6"/>
    <mergeCell ref="B5:B6"/>
    <mergeCell ref="A22:B22"/>
    <mergeCell ref="A43:B43"/>
    <mergeCell ref="A68:A69"/>
    <mergeCell ref="A26:A27"/>
    <mergeCell ref="B26:B27"/>
    <mergeCell ref="A47:A48"/>
    <mergeCell ref="B47:B48"/>
  </mergeCells>
  <printOptions horizontalCentered="1"/>
  <pageMargins left="0.23622047244094491" right="0.23622047244094491" top="0.55118110236220474" bottom="0.55118110236220474" header="0" footer="0"/>
  <pageSetup paperSize="9" orientation="landscape"/>
  <headerFooter>
    <oddHeader>&amp;CPROYECTO DE PRESUPUESTO 2021</oddHeader>
    <oddFooter>&amp;LPROYECTO DE PRESUPUESTO PARA EL AÑO FISCAL 2020 INFORMACIÓN PARA LA COMISIÓN DE PRESUPUESTO Y CUENTA GENERAL DE LA REPÚBLICA DEL CONGRESO DE LA REPÚBLICA</oddFooter>
  </headerFooter>
  <rowBreaks count="4" manualBreakCount="4">
    <brk id="65" man="1"/>
    <brk id="86" man="1"/>
    <brk id="23" man="1"/>
    <brk id="4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K100"/>
  <sheetViews>
    <sheetView showGridLines="0" workbookViewId="0"/>
  </sheetViews>
  <sheetFormatPr baseColWidth="10" defaultColWidth="14.42578125" defaultRowHeight="15" customHeight="1" x14ac:dyDescent="0.2"/>
  <cols>
    <col min="1" max="1" width="57.42578125" customWidth="1"/>
    <col min="2" max="4" width="15" customWidth="1"/>
    <col min="5" max="11" width="11.28515625" customWidth="1"/>
  </cols>
  <sheetData>
    <row r="1" spans="1:11" ht="12.75" customHeight="1" x14ac:dyDescent="0.2">
      <c r="A1" s="36" t="s">
        <v>315</v>
      </c>
      <c r="B1" s="47"/>
      <c r="C1" s="47"/>
      <c r="D1" s="47"/>
      <c r="E1" s="47"/>
      <c r="F1" s="47"/>
      <c r="G1" s="47"/>
      <c r="H1" s="47"/>
      <c r="I1" s="47"/>
      <c r="J1" s="47"/>
      <c r="K1" s="47"/>
    </row>
    <row r="2" spans="1:11" ht="12.75" customHeight="1" x14ac:dyDescent="0.2">
      <c r="A2" s="17" t="s">
        <v>316</v>
      </c>
      <c r="B2" s="47"/>
      <c r="C2" s="47"/>
      <c r="D2" s="47"/>
      <c r="E2" s="47"/>
      <c r="F2" s="47"/>
      <c r="G2" s="47"/>
      <c r="H2" s="47"/>
      <c r="I2" s="47"/>
      <c r="J2" s="47"/>
      <c r="K2" s="47"/>
    </row>
    <row r="3" spans="1:11" ht="6" customHeight="1" x14ac:dyDescent="0.2">
      <c r="A3" s="144"/>
      <c r="B3" s="47"/>
      <c r="C3" s="47"/>
      <c r="D3" s="47"/>
      <c r="E3" s="47"/>
      <c r="F3" s="47"/>
      <c r="G3" s="47"/>
      <c r="H3" s="47"/>
      <c r="I3" s="47"/>
      <c r="J3" s="47"/>
      <c r="K3" s="47"/>
    </row>
    <row r="4" spans="1:11" ht="27.75" customHeight="1" x14ac:dyDescent="0.2">
      <c r="A4" s="145" t="s">
        <v>317</v>
      </c>
      <c r="B4" s="146">
        <v>2019</v>
      </c>
      <c r="C4" s="146">
        <v>2020</v>
      </c>
      <c r="D4" s="146">
        <v>2021</v>
      </c>
      <c r="E4" s="51"/>
      <c r="F4" s="51"/>
      <c r="G4" s="51"/>
      <c r="H4" s="51"/>
      <c r="I4" s="51"/>
      <c r="J4" s="51"/>
      <c r="K4" s="51"/>
    </row>
    <row r="5" spans="1:11" ht="28.5" customHeight="1" x14ac:dyDescent="0.2">
      <c r="A5" s="19" t="s">
        <v>318</v>
      </c>
      <c r="B5" s="41">
        <v>52488860</v>
      </c>
      <c r="C5" s="41">
        <v>55626209</v>
      </c>
      <c r="D5" s="41">
        <v>45797466</v>
      </c>
      <c r="E5" s="37"/>
      <c r="F5" s="37"/>
      <c r="G5" s="37"/>
      <c r="H5" s="37"/>
      <c r="I5" s="37"/>
      <c r="J5" s="37"/>
      <c r="K5" s="37"/>
    </row>
    <row r="6" spans="1:11" ht="28.5" customHeight="1" x14ac:dyDescent="0.2">
      <c r="A6" s="19" t="s">
        <v>319</v>
      </c>
      <c r="B6" s="41">
        <v>268832686</v>
      </c>
      <c r="C6" s="41">
        <v>504023991</v>
      </c>
      <c r="D6" s="41">
        <v>253985026</v>
      </c>
      <c r="E6" s="37"/>
      <c r="F6" s="37"/>
      <c r="G6" s="37"/>
      <c r="H6" s="37"/>
      <c r="I6" s="37"/>
      <c r="J6" s="37"/>
      <c r="K6" s="37"/>
    </row>
    <row r="7" spans="1:11" ht="19.5" customHeight="1" x14ac:dyDescent="0.2">
      <c r="A7" s="19" t="s">
        <v>320</v>
      </c>
      <c r="B7" s="41">
        <v>1685538899</v>
      </c>
      <c r="C7" s="41">
        <v>1347333159</v>
      </c>
      <c r="D7" s="41">
        <v>1331356168</v>
      </c>
      <c r="E7" s="37"/>
      <c r="F7" s="37"/>
      <c r="G7" s="37"/>
      <c r="H7" s="37"/>
      <c r="I7" s="37"/>
      <c r="J7" s="37"/>
      <c r="K7" s="37"/>
    </row>
    <row r="8" spans="1:11" ht="19.5" customHeight="1" x14ac:dyDescent="0.2">
      <c r="A8" s="19" t="s">
        <v>321</v>
      </c>
      <c r="B8" s="41">
        <v>911602124</v>
      </c>
      <c r="C8" s="41">
        <v>793254789</v>
      </c>
      <c r="D8" s="41">
        <v>426521081</v>
      </c>
      <c r="E8" s="37"/>
      <c r="F8" s="37"/>
      <c r="G8" s="37"/>
      <c r="H8" s="37"/>
      <c r="I8" s="37"/>
      <c r="J8" s="37"/>
      <c r="K8" s="37"/>
    </row>
    <row r="9" spans="1:11" ht="19.5" customHeight="1" x14ac:dyDescent="0.2">
      <c r="A9" s="19" t="s">
        <v>322</v>
      </c>
      <c r="B9" s="41">
        <v>62314168</v>
      </c>
      <c r="C9" s="41">
        <v>34401314</v>
      </c>
      <c r="D9" s="41">
        <v>15741317</v>
      </c>
      <c r="E9" s="37"/>
      <c r="F9" s="37"/>
      <c r="G9" s="37"/>
      <c r="H9" s="37"/>
      <c r="I9" s="37"/>
      <c r="J9" s="37"/>
      <c r="K9" s="37"/>
    </row>
    <row r="10" spans="1:11" ht="19.5" customHeight="1" x14ac:dyDescent="0.2">
      <c r="A10" s="19" t="s">
        <v>323</v>
      </c>
      <c r="B10" s="41">
        <v>5447166</v>
      </c>
      <c r="C10" s="41">
        <v>4639240</v>
      </c>
      <c r="D10" s="41">
        <v>3374311</v>
      </c>
      <c r="E10" s="37"/>
      <c r="F10" s="37"/>
      <c r="G10" s="37"/>
      <c r="H10" s="37"/>
      <c r="I10" s="37"/>
      <c r="J10" s="37"/>
      <c r="K10" s="37"/>
    </row>
    <row r="11" spans="1:11" ht="28.5" customHeight="1" x14ac:dyDescent="0.2">
      <c r="A11" s="19" t="s">
        <v>324</v>
      </c>
      <c r="B11" s="41">
        <v>1092938095</v>
      </c>
      <c r="C11" s="41">
        <v>656301461</v>
      </c>
      <c r="D11" s="41">
        <v>858230688</v>
      </c>
      <c r="E11" s="37"/>
      <c r="F11" s="37"/>
      <c r="G11" s="37"/>
      <c r="H11" s="37"/>
      <c r="I11" s="37"/>
      <c r="J11" s="37"/>
      <c r="K11" s="37"/>
    </row>
    <row r="12" spans="1:11" ht="22.5" customHeight="1" x14ac:dyDescent="0.2">
      <c r="A12" s="147" t="s">
        <v>247</v>
      </c>
      <c r="B12" s="43">
        <f t="shared" ref="B12:D12" si="0">SUM(B5:B11)</f>
        <v>4079161998</v>
      </c>
      <c r="C12" s="43">
        <f t="shared" si="0"/>
        <v>3395580163</v>
      </c>
      <c r="D12" s="43">
        <f t="shared" si="0"/>
        <v>2935006057</v>
      </c>
      <c r="E12" s="12"/>
      <c r="F12" s="12"/>
      <c r="G12" s="12"/>
      <c r="H12" s="12"/>
      <c r="I12" s="12"/>
      <c r="J12" s="12"/>
      <c r="K12" s="12"/>
    </row>
    <row r="13" spans="1:11" ht="12.75" customHeight="1" x14ac:dyDescent="0.2">
      <c r="A13" s="47"/>
      <c r="B13" s="47"/>
      <c r="C13" s="47"/>
      <c r="D13" s="47"/>
      <c r="E13" s="47"/>
      <c r="F13" s="47"/>
      <c r="G13" s="47"/>
      <c r="H13" s="47"/>
      <c r="I13" s="47"/>
      <c r="J13" s="47"/>
      <c r="K13" s="47"/>
    </row>
    <row r="14" spans="1:11" ht="27.75" customHeight="1" x14ac:dyDescent="0.2">
      <c r="A14" s="145" t="s">
        <v>325</v>
      </c>
      <c r="B14" s="146">
        <v>2019</v>
      </c>
      <c r="C14" s="146" t="s">
        <v>249</v>
      </c>
      <c r="D14" s="146" t="s">
        <v>250</v>
      </c>
      <c r="E14" s="51"/>
      <c r="F14" s="51"/>
      <c r="G14" s="51"/>
      <c r="H14" s="51"/>
      <c r="I14" s="51"/>
      <c r="J14" s="51"/>
      <c r="K14" s="51"/>
    </row>
    <row r="15" spans="1:11" ht="28.5" customHeight="1" x14ac:dyDescent="0.2">
      <c r="A15" s="19" t="s">
        <v>318</v>
      </c>
      <c r="B15" s="41">
        <v>53219792</v>
      </c>
      <c r="C15" s="41">
        <v>50011352</v>
      </c>
      <c r="D15" s="41">
        <v>45797466</v>
      </c>
      <c r="E15" s="37"/>
      <c r="F15" s="37"/>
      <c r="G15" s="37"/>
      <c r="H15" s="37"/>
      <c r="I15" s="37"/>
      <c r="J15" s="37"/>
      <c r="K15" s="37"/>
    </row>
    <row r="16" spans="1:11" ht="28.5" customHeight="1" x14ac:dyDescent="0.2">
      <c r="A16" s="19" t="s">
        <v>319</v>
      </c>
      <c r="B16" s="41">
        <v>309947642</v>
      </c>
      <c r="C16" s="41">
        <v>578369740</v>
      </c>
      <c r="D16" s="41">
        <v>253985026</v>
      </c>
      <c r="E16" s="37"/>
      <c r="F16" s="37"/>
      <c r="G16" s="37"/>
      <c r="H16" s="37"/>
      <c r="I16" s="37"/>
      <c r="J16" s="37"/>
      <c r="K16" s="37"/>
    </row>
    <row r="17" spans="1:11" ht="19.5" customHeight="1" x14ac:dyDescent="0.2">
      <c r="A17" s="19" t="s">
        <v>320</v>
      </c>
      <c r="B17" s="41">
        <v>1006807492</v>
      </c>
      <c r="C17" s="41">
        <v>999596189</v>
      </c>
      <c r="D17" s="41">
        <v>1331356168</v>
      </c>
      <c r="E17" s="37"/>
      <c r="F17" s="37"/>
      <c r="G17" s="37"/>
      <c r="H17" s="37"/>
      <c r="I17" s="37"/>
      <c r="J17" s="37"/>
      <c r="K17" s="37"/>
    </row>
    <row r="18" spans="1:11" ht="19.5" customHeight="1" x14ac:dyDescent="0.2">
      <c r="A18" s="19" t="s">
        <v>321</v>
      </c>
      <c r="B18" s="41">
        <v>683379815</v>
      </c>
      <c r="C18" s="41">
        <v>468280440</v>
      </c>
      <c r="D18" s="41">
        <v>426521081</v>
      </c>
      <c r="E18" s="37"/>
      <c r="F18" s="37"/>
      <c r="G18" s="37"/>
      <c r="H18" s="37"/>
      <c r="I18" s="37"/>
      <c r="J18" s="37"/>
      <c r="K18" s="37"/>
    </row>
    <row r="19" spans="1:11" ht="19.5" customHeight="1" x14ac:dyDescent="0.2">
      <c r="A19" s="19" t="s">
        <v>322</v>
      </c>
      <c r="B19" s="41">
        <v>60226725</v>
      </c>
      <c r="C19" s="41">
        <v>17099713</v>
      </c>
      <c r="D19" s="41">
        <v>15741317</v>
      </c>
      <c r="E19" s="37"/>
      <c r="F19" s="37"/>
      <c r="G19" s="37"/>
      <c r="H19" s="37"/>
      <c r="I19" s="37"/>
      <c r="J19" s="37"/>
      <c r="K19" s="37"/>
    </row>
    <row r="20" spans="1:11" ht="19.5" customHeight="1" x14ac:dyDescent="0.2">
      <c r="A20" s="19" t="s">
        <v>323</v>
      </c>
      <c r="B20" s="41">
        <v>69047962</v>
      </c>
      <c r="C20" s="41">
        <v>10542448</v>
      </c>
      <c r="D20" s="41">
        <v>3374311</v>
      </c>
      <c r="E20" s="37"/>
      <c r="F20" s="37"/>
      <c r="G20" s="37"/>
      <c r="H20" s="37"/>
      <c r="I20" s="37"/>
      <c r="J20" s="37"/>
      <c r="K20" s="37"/>
    </row>
    <row r="21" spans="1:11" ht="28.5" customHeight="1" x14ac:dyDescent="0.2">
      <c r="A21" s="19" t="s">
        <v>324</v>
      </c>
      <c r="B21" s="41">
        <v>1526619108</v>
      </c>
      <c r="C21" s="41">
        <v>1267280381</v>
      </c>
      <c r="D21" s="41">
        <v>858230688</v>
      </c>
      <c r="E21" s="37"/>
      <c r="F21" s="37"/>
      <c r="G21" s="37"/>
      <c r="H21" s="37"/>
      <c r="I21" s="37"/>
      <c r="J21" s="37"/>
      <c r="K21" s="37"/>
    </row>
    <row r="22" spans="1:11" ht="22.5" customHeight="1" x14ac:dyDescent="0.2">
      <c r="A22" s="147" t="s">
        <v>247</v>
      </c>
      <c r="B22" s="43">
        <f t="shared" ref="B22:D22" si="1">SUM(B15:B21)</f>
        <v>3709248536</v>
      </c>
      <c r="C22" s="43">
        <f t="shared" si="1"/>
        <v>3391180263</v>
      </c>
      <c r="D22" s="43">
        <f t="shared" si="1"/>
        <v>2935006057</v>
      </c>
      <c r="E22" s="12"/>
      <c r="F22" s="12"/>
      <c r="G22" s="12"/>
      <c r="H22" s="12"/>
      <c r="I22" s="12"/>
      <c r="J22" s="12"/>
      <c r="K22" s="12"/>
    </row>
    <row r="23" spans="1:11" ht="12.75" customHeight="1" x14ac:dyDescent="0.2">
      <c r="A23" s="47"/>
      <c r="B23" s="47"/>
      <c r="C23" s="47"/>
      <c r="D23" s="47"/>
      <c r="E23" s="59"/>
      <c r="F23" s="47"/>
      <c r="G23" s="47"/>
      <c r="H23" s="47"/>
      <c r="I23" s="47"/>
      <c r="J23" s="47"/>
      <c r="K23" s="47"/>
    </row>
    <row r="24" spans="1:11" ht="27.75" customHeight="1" x14ac:dyDescent="0.2">
      <c r="A24" s="145" t="s">
        <v>326</v>
      </c>
      <c r="B24" s="146">
        <v>2019</v>
      </c>
      <c r="C24" s="146" t="s">
        <v>249</v>
      </c>
      <c r="D24" s="146" t="s">
        <v>250</v>
      </c>
      <c r="E24" s="51"/>
      <c r="F24" s="51"/>
      <c r="G24" s="51"/>
      <c r="H24" s="51"/>
      <c r="I24" s="51"/>
      <c r="J24" s="51"/>
      <c r="K24" s="51"/>
    </row>
    <row r="25" spans="1:11" ht="28.5" customHeight="1" x14ac:dyDescent="0.2">
      <c r="A25" s="19" t="s">
        <v>318</v>
      </c>
      <c r="B25" s="41">
        <v>46602569.979999997</v>
      </c>
      <c r="C25" s="41">
        <v>45405494.62999998</v>
      </c>
      <c r="D25" s="41">
        <v>45797466</v>
      </c>
      <c r="E25" s="37"/>
      <c r="F25" s="37"/>
      <c r="G25" s="37"/>
      <c r="H25" s="37"/>
      <c r="I25" s="37"/>
      <c r="J25" s="37"/>
      <c r="K25" s="37"/>
    </row>
    <row r="26" spans="1:11" ht="28.5" customHeight="1" x14ac:dyDescent="0.2">
      <c r="A26" s="19" t="s">
        <v>319</v>
      </c>
      <c r="B26" s="41">
        <v>254063304.22000012</v>
      </c>
      <c r="C26" s="41">
        <v>535247984.08899999</v>
      </c>
      <c r="D26" s="41">
        <v>253985026</v>
      </c>
      <c r="E26" s="37"/>
      <c r="F26" s="37"/>
      <c r="G26" s="37"/>
      <c r="H26" s="37"/>
      <c r="I26" s="37"/>
      <c r="J26" s="37"/>
      <c r="K26" s="37"/>
    </row>
    <row r="27" spans="1:11" ht="19.5" customHeight="1" x14ac:dyDescent="0.2">
      <c r="A27" s="19" t="s">
        <v>320</v>
      </c>
      <c r="B27" s="41">
        <v>751557969.07000005</v>
      </c>
      <c r="C27" s="41">
        <v>824096177.76884997</v>
      </c>
      <c r="D27" s="41">
        <v>1331356168</v>
      </c>
      <c r="E27" s="37"/>
      <c r="F27" s="37"/>
      <c r="G27" s="37"/>
      <c r="H27" s="37"/>
      <c r="I27" s="37"/>
      <c r="J27" s="37"/>
      <c r="K27" s="37"/>
    </row>
    <row r="28" spans="1:11" ht="19.5" customHeight="1" x14ac:dyDescent="0.2">
      <c r="A28" s="19" t="s">
        <v>321</v>
      </c>
      <c r="B28" s="41">
        <v>553950821.93000066</v>
      </c>
      <c r="C28" s="41">
        <f>346237661.904592-50707629</f>
        <v>295530032.90459198</v>
      </c>
      <c r="D28" s="41">
        <v>426521081</v>
      </c>
      <c r="E28" s="37"/>
      <c r="F28" s="37"/>
      <c r="G28" s="37"/>
      <c r="H28" s="37"/>
      <c r="I28" s="37"/>
      <c r="J28" s="37"/>
      <c r="K28" s="37"/>
    </row>
    <row r="29" spans="1:11" ht="19.5" customHeight="1" x14ac:dyDescent="0.2">
      <c r="A29" s="19" t="s">
        <v>322</v>
      </c>
      <c r="B29" s="41">
        <v>38580231.850000009</v>
      </c>
      <c r="C29" s="41">
        <v>15311041.499150002</v>
      </c>
      <c r="D29" s="41">
        <v>15741317</v>
      </c>
      <c r="E29" s="37"/>
      <c r="F29" s="37"/>
      <c r="G29" s="37"/>
      <c r="H29" s="37"/>
      <c r="I29" s="37"/>
      <c r="J29" s="37"/>
      <c r="K29" s="37"/>
    </row>
    <row r="30" spans="1:11" ht="19.5" customHeight="1" x14ac:dyDescent="0.2">
      <c r="A30" s="19" t="s">
        <v>323</v>
      </c>
      <c r="B30" s="41">
        <v>55092078.050000012</v>
      </c>
      <c r="C30" s="41">
        <v>8545005.8200000003</v>
      </c>
      <c r="D30" s="41">
        <v>3374311</v>
      </c>
      <c r="E30" s="37"/>
      <c r="F30" s="37"/>
      <c r="G30" s="37"/>
      <c r="H30" s="37"/>
      <c r="I30" s="37"/>
      <c r="J30" s="37"/>
      <c r="K30" s="37"/>
    </row>
    <row r="31" spans="1:11" ht="28.5" customHeight="1" x14ac:dyDescent="0.2">
      <c r="A31" s="19" t="s">
        <v>324</v>
      </c>
      <c r="B31" s="41">
        <v>1472504039.99</v>
      </c>
      <c r="C31" s="41">
        <v>1205238687.425</v>
      </c>
      <c r="D31" s="41">
        <v>858230688</v>
      </c>
      <c r="E31" s="37"/>
      <c r="F31" s="37"/>
      <c r="G31" s="37"/>
      <c r="H31" s="37"/>
      <c r="I31" s="37"/>
      <c r="J31" s="37"/>
      <c r="K31" s="37"/>
    </row>
    <row r="32" spans="1:11" ht="22.5" customHeight="1" x14ac:dyDescent="0.2">
      <c r="A32" s="147" t="s">
        <v>247</v>
      </c>
      <c r="B32" s="43">
        <f t="shared" ref="B32:D32" si="2">SUM(B25:B31)</f>
        <v>3172351015.0900006</v>
      </c>
      <c r="C32" s="43">
        <f t="shared" si="2"/>
        <v>2929374424.1365919</v>
      </c>
      <c r="D32" s="43">
        <f t="shared" si="2"/>
        <v>2935006057</v>
      </c>
      <c r="E32" s="12"/>
      <c r="F32" s="12"/>
      <c r="G32" s="12"/>
      <c r="H32" s="12"/>
      <c r="I32" s="12"/>
      <c r="J32" s="12"/>
      <c r="K32" s="12"/>
    </row>
    <row r="33" spans="1:11" ht="12.75" customHeight="1" x14ac:dyDescent="0.2">
      <c r="A33" s="148" t="s">
        <v>254</v>
      </c>
      <c r="B33" s="47"/>
      <c r="C33" s="47"/>
      <c r="D33" s="47"/>
      <c r="E33" s="47"/>
      <c r="F33" s="47"/>
      <c r="G33" s="47"/>
      <c r="H33" s="47"/>
      <c r="I33" s="47"/>
      <c r="J33" s="47"/>
      <c r="K33" s="47"/>
    </row>
    <row r="34" spans="1:11" ht="12.75" customHeight="1" x14ac:dyDescent="0.2">
      <c r="A34" s="37" t="s">
        <v>255</v>
      </c>
      <c r="B34" s="47"/>
      <c r="C34" s="59"/>
      <c r="D34" s="59"/>
      <c r="E34" s="47"/>
      <c r="F34" s="47"/>
      <c r="G34" s="47"/>
      <c r="H34" s="47"/>
      <c r="I34" s="47"/>
      <c r="J34" s="47"/>
      <c r="K34" s="47"/>
    </row>
    <row r="35" spans="1:11" ht="12.75" customHeight="1" x14ac:dyDescent="0.2">
      <c r="A35" s="47"/>
      <c r="B35" s="47"/>
      <c r="C35" s="47"/>
      <c r="D35" s="47"/>
      <c r="E35" s="47"/>
      <c r="F35" s="47"/>
      <c r="G35" s="47"/>
      <c r="H35" s="47"/>
      <c r="I35" s="47"/>
      <c r="J35" s="47"/>
      <c r="K35" s="47"/>
    </row>
    <row r="36" spans="1:11" ht="12.75" customHeight="1" x14ac:dyDescent="0.2">
      <c r="A36" s="47"/>
      <c r="B36" s="47"/>
      <c r="C36" s="59"/>
      <c r="D36" s="47"/>
      <c r="E36" s="47"/>
      <c r="F36" s="47"/>
      <c r="G36" s="47"/>
      <c r="H36" s="47"/>
      <c r="I36" s="47"/>
      <c r="J36" s="47"/>
      <c r="K36" s="47"/>
    </row>
    <row r="37" spans="1:11" ht="12.75" customHeight="1" x14ac:dyDescent="0.2">
      <c r="A37" s="47"/>
      <c r="B37" s="47"/>
      <c r="C37" s="47"/>
      <c r="D37" s="47"/>
      <c r="E37" s="47"/>
      <c r="F37" s="47"/>
      <c r="G37" s="47"/>
      <c r="H37" s="47"/>
      <c r="I37" s="47"/>
      <c r="J37" s="47"/>
      <c r="K37" s="47"/>
    </row>
    <row r="38" spans="1:11" ht="12.75" customHeight="1" x14ac:dyDescent="0.2">
      <c r="A38" s="47"/>
      <c r="B38" s="47"/>
      <c r="C38" s="47"/>
      <c r="D38" s="47"/>
      <c r="E38" s="47"/>
      <c r="F38" s="47"/>
      <c r="G38" s="47"/>
      <c r="H38" s="47"/>
      <c r="I38" s="47"/>
      <c r="J38" s="47"/>
      <c r="K38" s="47"/>
    </row>
    <row r="39" spans="1:11" ht="12.75" customHeight="1" x14ac:dyDescent="0.2">
      <c r="A39" s="47"/>
      <c r="B39" s="47"/>
      <c r="C39" s="47"/>
      <c r="D39" s="47"/>
      <c r="E39" s="47"/>
      <c r="F39" s="47"/>
      <c r="G39" s="47"/>
      <c r="H39" s="47"/>
      <c r="I39" s="47"/>
      <c r="J39" s="47"/>
      <c r="K39" s="47"/>
    </row>
    <row r="40" spans="1:11" ht="12.75" customHeight="1" x14ac:dyDescent="0.2">
      <c r="A40" s="47"/>
      <c r="B40" s="47"/>
      <c r="C40" s="47"/>
      <c r="D40" s="47"/>
      <c r="E40" s="47"/>
      <c r="F40" s="47"/>
      <c r="G40" s="47"/>
      <c r="H40" s="47"/>
      <c r="I40" s="47"/>
      <c r="J40" s="47"/>
      <c r="K40" s="47"/>
    </row>
    <row r="41" spans="1:11" ht="12.75" customHeight="1" x14ac:dyDescent="0.2">
      <c r="A41" s="47"/>
      <c r="B41" s="47"/>
      <c r="C41" s="47"/>
      <c r="D41" s="47"/>
      <c r="E41" s="47"/>
      <c r="F41" s="47"/>
      <c r="G41" s="47"/>
      <c r="H41" s="47"/>
      <c r="I41" s="47"/>
      <c r="J41" s="47"/>
      <c r="K41" s="47"/>
    </row>
    <row r="42" spans="1:11" ht="12.75" customHeight="1" x14ac:dyDescent="0.2">
      <c r="A42" s="47"/>
      <c r="B42" s="47"/>
      <c r="C42" s="47"/>
      <c r="D42" s="47"/>
      <c r="E42" s="47"/>
      <c r="F42" s="47"/>
      <c r="G42" s="47"/>
      <c r="H42" s="47"/>
      <c r="I42" s="47"/>
      <c r="J42" s="47"/>
      <c r="K42" s="47"/>
    </row>
    <row r="43" spans="1:11" ht="12.75" customHeight="1" x14ac:dyDescent="0.2">
      <c r="A43" s="47"/>
      <c r="B43" s="47"/>
      <c r="C43" s="47"/>
      <c r="D43" s="47"/>
      <c r="E43" s="47"/>
      <c r="F43" s="47"/>
      <c r="G43" s="47"/>
      <c r="H43" s="47"/>
      <c r="I43" s="47"/>
      <c r="J43" s="47"/>
      <c r="K43" s="47"/>
    </row>
    <row r="44" spans="1:11" ht="12.75" customHeight="1" x14ac:dyDescent="0.2">
      <c r="A44" s="47"/>
      <c r="B44" s="47"/>
      <c r="C44" s="47"/>
      <c r="D44" s="47"/>
      <c r="E44" s="47"/>
      <c r="F44" s="47"/>
      <c r="G44" s="47"/>
      <c r="H44" s="47"/>
      <c r="I44" s="47"/>
      <c r="J44" s="47"/>
      <c r="K44" s="47"/>
    </row>
    <row r="45" spans="1:11" ht="12.75" customHeight="1" x14ac:dyDescent="0.2">
      <c r="A45" s="47"/>
      <c r="B45" s="47"/>
      <c r="C45" s="47"/>
      <c r="D45" s="47"/>
      <c r="E45" s="47"/>
      <c r="F45" s="47"/>
      <c r="G45" s="47"/>
      <c r="H45" s="47"/>
      <c r="I45" s="47"/>
      <c r="J45" s="47"/>
      <c r="K45" s="47"/>
    </row>
    <row r="46" spans="1:11" ht="12.75" customHeight="1" x14ac:dyDescent="0.2">
      <c r="A46" s="47"/>
      <c r="B46" s="47"/>
      <c r="C46" s="47"/>
      <c r="D46" s="47"/>
      <c r="E46" s="47"/>
      <c r="F46" s="47"/>
      <c r="G46" s="47"/>
      <c r="H46" s="47"/>
      <c r="I46" s="47"/>
      <c r="J46" s="47"/>
      <c r="K46" s="47"/>
    </row>
    <row r="47" spans="1:11" ht="12.75" customHeight="1" x14ac:dyDescent="0.2">
      <c r="A47" s="47"/>
      <c r="B47" s="47"/>
      <c r="C47" s="47"/>
      <c r="D47" s="47"/>
      <c r="E47" s="47"/>
      <c r="F47" s="47"/>
      <c r="G47" s="47"/>
      <c r="H47" s="47"/>
      <c r="I47" s="47"/>
      <c r="J47" s="47"/>
      <c r="K47" s="47"/>
    </row>
    <row r="48" spans="1:11" ht="12.75" customHeight="1" x14ac:dyDescent="0.2">
      <c r="A48" s="47"/>
      <c r="B48" s="47"/>
      <c r="C48" s="47"/>
      <c r="D48" s="47"/>
      <c r="E48" s="47"/>
      <c r="F48" s="47"/>
      <c r="G48" s="47"/>
      <c r="H48" s="47"/>
      <c r="I48" s="47"/>
      <c r="J48" s="47"/>
      <c r="K48" s="47"/>
    </row>
    <row r="49" spans="1:11" ht="12.75" customHeight="1" x14ac:dyDescent="0.2">
      <c r="A49" s="47"/>
      <c r="B49" s="47"/>
      <c r="C49" s="47"/>
      <c r="D49" s="47"/>
      <c r="E49" s="47"/>
      <c r="F49" s="47"/>
      <c r="G49" s="47"/>
      <c r="H49" s="47"/>
      <c r="I49" s="47"/>
      <c r="J49" s="47"/>
      <c r="K49" s="47"/>
    </row>
    <row r="50" spans="1:11" ht="12.75" customHeight="1" x14ac:dyDescent="0.2">
      <c r="A50" s="47"/>
      <c r="B50" s="47"/>
      <c r="C50" s="47"/>
      <c r="D50" s="47"/>
      <c r="E50" s="47"/>
      <c r="F50" s="47"/>
      <c r="G50" s="47"/>
      <c r="H50" s="47"/>
      <c r="I50" s="47"/>
      <c r="J50" s="47"/>
      <c r="K50" s="47"/>
    </row>
    <row r="51" spans="1:11" ht="12.75" customHeight="1" x14ac:dyDescent="0.2">
      <c r="A51" s="47"/>
      <c r="B51" s="47"/>
      <c r="C51" s="47"/>
      <c r="D51" s="47"/>
      <c r="E51" s="47"/>
      <c r="F51" s="47"/>
      <c r="G51" s="47"/>
      <c r="H51" s="47"/>
      <c r="I51" s="47"/>
      <c r="J51" s="47"/>
      <c r="K51" s="47"/>
    </row>
    <row r="52" spans="1:11" ht="12.75" customHeight="1" x14ac:dyDescent="0.2">
      <c r="A52" s="47"/>
      <c r="B52" s="47"/>
      <c r="C52" s="47"/>
      <c r="D52" s="47"/>
      <c r="E52" s="47"/>
      <c r="F52" s="47"/>
      <c r="G52" s="47"/>
      <c r="H52" s="47"/>
      <c r="I52" s="47"/>
      <c r="J52" s="47"/>
      <c r="K52" s="47"/>
    </row>
    <row r="53" spans="1:11" ht="12.75" customHeight="1" x14ac:dyDescent="0.2">
      <c r="A53" s="47"/>
      <c r="B53" s="47"/>
      <c r="C53" s="47"/>
      <c r="D53" s="47"/>
      <c r="E53" s="47"/>
      <c r="F53" s="47"/>
      <c r="G53" s="47"/>
      <c r="H53" s="47"/>
      <c r="I53" s="47"/>
      <c r="J53" s="47"/>
      <c r="K53" s="47"/>
    </row>
    <row r="54" spans="1:11" ht="12.75" customHeight="1" x14ac:dyDescent="0.2">
      <c r="A54" s="47"/>
      <c r="B54" s="47"/>
      <c r="C54" s="47"/>
      <c r="D54" s="47"/>
      <c r="E54" s="47"/>
      <c r="F54" s="47"/>
      <c r="G54" s="47"/>
      <c r="H54" s="47"/>
      <c r="I54" s="47"/>
      <c r="J54" s="47"/>
      <c r="K54" s="47"/>
    </row>
    <row r="55" spans="1:11" ht="12.75" customHeight="1" x14ac:dyDescent="0.2">
      <c r="A55" s="47"/>
      <c r="B55" s="47"/>
      <c r="C55" s="47"/>
      <c r="D55" s="47"/>
      <c r="E55" s="47"/>
      <c r="F55" s="47"/>
      <c r="G55" s="47"/>
      <c r="H55" s="47"/>
      <c r="I55" s="47"/>
      <c r="J55" s="47"/>
      <c r="K55" s="47"/>
    </row>
    <row r="56" spans="1:11" ht="12.75" customHeight="1" x14ac:dyDescent="0.2">
      <c r="A56" s="47"/>
      <c r="B56" s="47"/>
      <c r="C56" s="47"/>
      <c r="D56" s="47"/>
      <c r="E56" s="47"/>
      <c r="F56" s="47"/>
      <c r="G56" s="47"/>
      <c r="H56" s="47"/>
      <c r="I56" s="47"/>
      <c r="J56" s="47"/>
      <c r="K56" s="47"/>
    </row>
    <row r="57" spans="1:11" ht="12.75" customHeight="1" x14ac:dyDescent="0.2">
      <c r="A57" s="47"/>
      <c r="B57" s="47"/>
      <c r="C57" s="47"/>
      <c r="D57" s="47"/>
      <c r="E57" s="47"/>
      <c r="F57" s="47"/>
      <c r="G57" s="47"/>
      <c r="H57" s="47"/>
      <c r="I57" s="47"/>
      <c r="J57" s="47"/>
      <c r="K57" s="47"/>
    </row>
    <row r="58" spans="1:11" ht="12.75" customHeight="1" x14ac:dyDescent="0.2">
      <c r="A58" s="47"/>
      <c r="B58" s="47"/>
      <c r="C58" s="47"/>
      <c r="D58" s="47"/>
      <c r="E58" s="47"/>
      <c r="F58" s="47"/>
      <c r="G58" s="47"/>
      <c r="H58" s="47"/>
      <c r="I58" s="47"/>
      <c r="J58" s="47"/>
      <c r="K58" s="47"/>
    </row>
    <row r="59" spans="1:11" ht="12.75" customHeight="1" x14ac:dyDescent="0.2">
      <c r="A59" s="47"/>
      <c r="B59" s="47"/>
      <c r="C59" s="47"/>
      <c r="D59" s="47"/>
      <c r="E59" s="47"/>
      <c r="F59" s="47"/>
      <c r="G59" s="47"/>
      <c r="H59" s="47"/>
      <c r="I59" s="47"/>
      <c r="J59" s="47"/>
      <c r="K59" s="47"/>
    </row>
    <row r="60" spans="1:11" ht="12.75" customHeight="1" x14ac:dyDescent="0.2">
      <c r="A60" s="47"/>
      <c r="B60" s="47"/>
      <c r="C60" s="47"/>
      <c r="D60" s="47"/>
      <c r="E60" s="47"/>
      <c r="F60" s="47"/>
      <c r="G60" s="47"/>
      <c r="H60" s="47"/>
      <c r="I60" s="47"/>
      <c r="J60" s="47"/>
      <c r="K60" s="47"/>
    </row>
    <row r="61" spans="1:11" ht="12.75" customHeight="1" x14ac:dyDescent="0.2">
      <c r="A61" s="47"/>
      <c r="B61" s="47"/>
      <c r="C61" s="47"/>
      <c r="D61" s="47"/>
      <c r="E61" s="47"/>
      <c r="F61" s="47"/>
      <c r="G61" s="47"/>
      <c r="H61" s="47"/>
      <c r="I61" s="47"/>
      <c r="J61" s="47"/>
      <c r="K61" s="47"/>
    </row>
    <row r="62" spans="1:11" ht="12.75" customHeight="1" x14ac:dyDescent="0.2">
      <c r="A62" s="47"/>
      <c r="B62" s="47"/>
      <c r="C62" s="47"/>
      <c r="D62" s="47"/>
      <c r="E62" s="47"/>
      <c r="F62" s="47"/>
      <c r="G62" s="47"/>
      <c r="H62" s="47"/>
      <c r="I62" s="47"/>
      <c r="J62" s="47"/>
      <c r="K62" s="47"/>
    </row>
    <row r="63" spans="1:11" ht="12.75" customHeight="1" x14ac:dyDescent="0.2">
      <c r="A63" s="47"/>
      <c r="B63" s="47"/>
      <c r="C63" s="47"/>
      <c r="D63" s="47"/>
      <c r="E63" s="47"/>
      <c r="F63" s="47"/>
      <c r="G63" s="47"/>
      <c r="H63" s="47"/>
      <c r="I63" s="47"/>
      <c r="J63" s="47"/>
      <c r="K63" s="47"/>
    </row>
    <row r="64" spans="1:11" ht="12.75" customHeight="1" x14ac:dyDescent="0.2">
      <c r="A64" s="47"/>
      <c r="B64" s="47"/>
      <c r="C64" s="47"/>
      <c r="D64" s="47"/>
      <c r="E64" s="47"/>
      <c r="F64" s="47"/>
      <c r="G64" s="47"/>
      <c r="H64" s="47"/>
      <c r="I64" s="47"/>
      <c r="J64" s="47"/>
      <c r="K64" s="47"/>
    </row>
    <row r="65" spans="1:11" ht="12.75" customHeight="1" x14ac:dyDescent="0.2">
      <c r="A65" s="47"/>
      <c r="B65" s="47"/>
      <c r="C65" s="47"/>
      <c r="D65" s="47"/>
      <c r="E65" s="47"/>
      <c r="F65" s="47"/>
      <c r="G65" s="47"/>
      <c r="H65" s="47"/>
      <c r="I65" s="47"/>
      <c r="J65" s="47"/>
      <c r="K65" s="47"/>
    </row>
    <row r="66" spans="1:11" ht="12.75" customHeight="1" x14ac:dyDescent="0.2">
      <c r="A66" s="47"/>
      <c r="B66" s="47"/>
      <c r="C66" s="47"/>
      <c r="D66" s="47"/>
      <c r="E66" s="47"/>
      <c r="F66" s="47"/>
      <c r="G66" s="47"/>
      <c r="H66" s="47"/>
      <c r="I66" s="47"/>
      <c r="J66" s="47"/>
      <c r="K66" s="47"/>
    </row>
    <row r="67" spans="1:11" ht="12.75" customHeight="1" x14ac:dyDescent="0.2">
      <c r="A67" s="47"/>
      <c r="B67" s="47"/>
      <c r="C67" s="47"/>
      <c r="D67" s="47"/>
      <c r="E67" s="47"/>
      <c r="F67" s="47"/>
      <c r="G67" s="47"/>
      <c r="H67" s="47"/>
      <c r="I67" s="47"/>
      <c r="J67" s="47"/>
      <c r="K67" s="47"/>
    </row>
    <row r="68" spans="1:11" ht="12.75" customHeight="1" x14ac:dyDescent="0.2">
      <c r="A68" s="47"/>
      <c r="B68" s="47"/>
      <c r="C68" s="47"/>
      <c r="D68" s="47"/>
      <c r="E68" s="47"/>
      <c r="F68" s="47"/>
      <c r="G68" s="47"/>
      <c r="H68" s="47"/>
      <c r="I68" s="47"/>
      <c r="J68" s="47"/>
      <c r="K68" s="47"/>
    </row>
    <row r="69" spans="1:11" ht="12.75" customHeight="1" x14ac:dyDescent="0.2">
      <c r="A69" s="47"/>
      <c r="B69" s="47"/>
      <c r="C69" s="47"/>
      <c r="D69" s="47"/>
      <c r="E69" s="47"/>
      <c r="F69" s="47"/>
      <c r="G69" s="47"/>
      <c r="H69" s="47"/>
      <c r="I69" s="47"/>
      <c r="J69" s="47"/>
      <c r="K69" s="47"/>
    </row>
    <row r="70" spans="1:11" ht="12.75" customHeight="1" x14ac:dyDescent="0.2">
      <c r="A70" s="47"/>
      <c r="B70" s="47"/>
      <c r="C70" s="47"/>
      <c r="D70" s="47"/>
      <c r="E70" s="47"/>
      <c r="F70" s="47"/>
      <c r="G70" s="47"/>
      <c r="H70" s="47"/>
      <c r="I70" s="47"/>
      <c r="J70" s="47"/>
      <c r="K70" s="47"/>
    </row>
    <row r="71" spans="1:11" ht="12.75" customHeight="1" x14ac:dyDescent="0.2">
      <c r="A71" s="47"/>
      <c r="B71" s="47"/>
      <c r="C71" s="47"/>
      <c r="D71" s="47"/>
      <c r="E71" s="47"/>
      <c r="F71" s="47"/>
      <c r="G71" s="47"/>
      <c r="H71" s="47"/>
      <c r="I71" s="47"/>
      <c r="J71" s="47"/>
      <c r="K71" s="47"/>
    </row>
    <row r="72" spans="1:11" ht="12.75" customHeight="1" x14ac:dyDescent="0.2">
      <c r="A72" s="47"/>
      <c r="B72" s="47"/>
      <c r="C72" s="47"/>
      <c r="D72" s="47"/>
      <c r="E72" s="47"/>
      <c r="F72" s="47"/>
      <c r="G72" s="47"/>
      <c r="H72" s="47"/>
      <c r="I72" s="47"/>
      <c r="J72" s="47"/>
      <c r="K72" s="47"/>
    </row>
    <row r="73" spans="1:11" ht="12.75" customHeight="1" x14ac:dyDescent="0.2">
      <c r="A73" s="47"/>
      <c r="B73" s="47"/>
      <c r="C73" s="47"/>
      <c r="D73" s="47"/>
      <c r="E73" s="47"/>
      <c r="F73" s="47"/>
      <c r="G73" s="47"/>
      <c r="H73" s="47"/>
      <c r="I73" s="47"/>
      <c r="J73" s="47"/>
      <c r="K73" s="47"/>
    </row>
    <row r="74" spans="1:11" ht="12.75" customHeight="1" x14ac:dyDescent="0.2">
      <c r="A74" s="47"/>
      <c r="B74" s="47"/>
      <c r="C74" s="47"/>
      <c r="D74" s="47"/>
      <c r="E74" s="47"/>
      <c r="F74" s="47"/>
      <c r="G74" s="47"/>
      <c r="H74" s="47"/>
      <c r="I74" s="47"/>
      <c r="J74" s="47"/>
      <c r="K74" s="47"/>
    </row>
    <row r="75" spans="1:11" ht="12.75" customHeight="1" x14ac:dyDescent="0.2">
      <c r="A75" s="47"/>
      <c r="B75" s="47"/>
      <c r="C75" s="47"/>
      <c r="D75" s="47"/>
      <c r="E75" s="47"/>
      <c r="F75" s="47"/>
      <c r="G75" s="47"/>
      <c r="H75" s="47"/>
      <c r="I75" s="47"/>
      <c r="J75" s="47"/>
      <c r="K75" s="47"/>
    </row>
    <row r="76" spans="1:11" ht="12.75" customHeight="1" x14ac:dyDescent="0.2">
      <c r="A76" s="47"/>
      <c r="B76" s="47"/>
      <c r="C76" s="47"/>
      <c r="D76" s="47"/>
      <c r="E76" s="47"/>
      <c r="F76" s="47"/>
      <c r="G76" s="47"/>
      <c r="H76" s="47"/>
      <c r="I76" s="47"/>
      <c r="J76" s="47"/>
      <c r="K76" s="47"/>
    </row>
    <row r="77" spans="1:11" ht="12.75" customHeight="1" x14ac:dyDescent="0.2">
      <c r="A77" s="47"/>
      <c r="B77" s="47"/>
      <c r="C77" s="47"/>
      <c r="D77" s="47"/>
      <c r="E77" s="47"/>
      <c r="F77" s="47"/>
      <c r="G77" s="47"/>
      <c r="H77" s="47"/>
      <c r="I77" s="47"/>
      <c r="J77" s="47"/>
      <c r="K77" s="47"/>
    </row>
    <row r="78" spans="1:11" ht="12.75" customHeight="1" x14ac:dyDescent="0.2">
      <c r="A78" s="47"/>
      <c r="B78" s="47"/>
      <c r="C78" s="47"/>
      <c r="D78" s="47"/>
      <c r="E78" s="47"/>
      <c r="F78" s="47"/>
      <c r="G78" s="47"/>
      <c r="H78" s="47"/>
      <c r="I78" s="47"/>
      <c r="J78" s="47"/>
      <c r="K78" s="47"/>
    </row>
    <row r="79" spans="1:11" ht="12.75" customHeight="1" x14ac:dyDescent="0.2">
      <c r="A79" s="47"/>
      <c r="B79" s="47"/>
      <c r="C79" s="47"/>
      <c r="D79" s="47"/>
      <c r="E79" s="47"/>
      <c r="F79" s="47"/>
      <c r="G79" s="47"/>
      <c r="H79" s="47"/>
      <c r="I79" s="47"/>
      <c r="J79" s="47"/>
      <c r="K79" s="47"/>
    </row>
    <row r="80" spans="1:11" ht="12.75" customHeight="1" x14ac:dyDescent="0.2">
      <c r="A80" s="47"/>
      <c r="B80" s="47"/>
      <c r="C80" s="47"/>
      <c r="D80" s="47"/>
      <c r="E80" s="47"/>
      <c r="F80" s="47"/>
      <c r="G80" s="47"/>
      <c r="H80" s="47"/>
      <c r="I80" s="47"/>
      <c r="J80" s="47"/>
      <c r="K80" s="47"/>
    </row>
    <row r="81" spans="1:11" ht="12.75" customHeight="1" x14ac:dyDescent="0.2">
      <c r="A81" s="47"/>
      <c r="B81" s="47"/>
      <c r="C81" s="47"/>
      <c r="D81" s="47"/>
      <c r="E81" s="47"/>
      <c r="F81" s="47"/>
      <c r="G81" s="47"/>
      <c r="H81" s="47"/>
      <c r="I81" s="47"/>
      <c r="J81" s="47"/>
      <c r="K81" s="47"/>
    </row>
    <row r="82" spans="1:11" ht="12.75" customHeight="1" x14ac:dyDescent="0.2">
      <c r="A82" s="47"/>
      <c r="B82" s="47"/>
      <c r="C82" s="47"/>
      <c r="D82" s="47"/>
      <c r="E82" s="47"/>
      <c r="F82" s="47"/>
      <c r="G82" s="47"/>
      <c r="H82" s="47"/>
      <c r="I82" s="47"/>
      <c r="J82" s="47"/>
      <c r="K82" s="47"/>
    </row>
    <row r="83" spans="1:11" ht="12.75" customHeight="1" x14ac:dyDescent="0.2">
      <c r="A83" s="47"/>
      <c r="B83" s="47"/>
      <c r="C83" s="47"/>
      <c r="D83" s="47"/>
      <c r="E83" s="47"/>
      <c r="F83" s="47"/>
      <c r="G83" s="47"/>
      <c r="H83" s="47"/>
      <c r="I83" s="47"/>
      <c r="J83" s="47"/>
      <c r="K83" s="47"/>
    </row>
    <row r="84" spans="1:11" ht="12.75" customHeight="1" x14ac:dyDescent="0.2">
      <c r="A84" s="47"/>
      <c r="B84" s="47"/>
      <c r="C84" s="47"/>
      <c r="D84" s="47"/>
      <c r="E84" s="47"/>
      <c r="F84" s="47"/>
      <c r="G84" s="47"/>
      <c r="H84" s="47"/>
      <c r="I84" s="47"/>
      <c r="J84" s="47"/>
      <c r="K84" s="47"/>
    </row>
    <row r="85" spans="1:11" ht="12.75" customHeight="1" x14ac:dyDescent="0.2">
      <c r="A85" s="47"/>
      <c r="B85" s="47"/>
      <c r="C85" s="47"/>
      <c r="D85" s="47"/>
      <c r="E85" s="47"/>
      <c r="F85" s="47"/>
      <c r="G85" s="47"/>
      <c r="H85" s="47"/>
      <c r="I85" s="47"/>
      <c r="J85" s="47"/>
      <c r="K85" s="47"/>
    </row>
    <row r="86" spans="1:11" ht="12.75" customHeight="1" x14ac:dyDescent="0.2">
      <c r="A86" s="47"/>
      <c r="B86" s="47"/>
      <c r="C86" s="47"/>
      <c r="D86" s="47"/>
      <c r="E86" s="47"/>
      <c r="F86" s="47"/>
      <c r="G86" s="47"/>
      <c r="H86" s="47"/>
      <c r="I86" s="47"/>
      <c r="J86" s="47"/>
      <c r="K86" s="47"/>
    </row>
    <row r="87" spans="1:11" ht="12.75" customHeight="1" x14ac:dyDescent="0.2">
      <c r="A87" s="47"/>
      <c r="B87" s="47"/>
      <c r="C87" s="47"/>
      <c r="D87" s="47"/>
      <c r="E87" s="47"/>
      <c r="F87" s="47"/>
      <c r="G87" s="47"/>
      <c r="H87" s="47"/>
      <c r="I87" s="47"/>
      <c r="J87" s="47"/>
      <c r="K87" s="47"/>
    </row>
    <row r="88" spans="1:11" ht="12.75" customHeight="1" x14ac:dyDescent="0.2">
      <c r="A88" s="47"/>
      <c r="B88" s="47"/>
      <c r="C88" s="47"/>
      <c r="D88" s="47"/>
      <c r="E88" s="47"/>
      <c r="F88" s="47"/>
      <c r="G88" s="47"/>
      <c r="H88" s="47"/>
      <c r="I88" s="47"/>
      <c r="J88" s="47"/>
      <c r="K88" s="47"/>
    </row>
    <row r="89" spans="1:11" ht="12.75" customHeight="1" x14ac:dyDescent="0.2">
      <c r="A89" s="47"/>
      <c r="B89" s="47"/>
      <c r="C89" s="47"/>
      <c r="D89" s="47"/>
      <c r="E89" s="47"/>
      <c r="F89" s="47"/>
      <c r="G89" s="47"/>
      <c r="H89" s="47"/>
      <c r="I89" s="47"/>
      <c r="J89" s="47"/>
      <c r="K89" s="47"/>
    </row>
    <row r="90" spans="1:11" ht="12.75" customHeight="1" x14ac:dyDescent="0.2">
      <c r="A90" s="47"/>
      <c r="B90" s="47"/>
      <c r="C90" s="47"/>
      <c r="D90" s="47"/>
      <c r="E90" s="47"/>
      <c r="F90" s="47"/>
      <c r="G90" s="47"/>
      <c r="H90" s="47"/>
      <c r="I90" s="47"/>
      <c r="J90" s="47"/>
      <c r="K90" s="47"/>
    </row>
    <row r="91" spans="1:11" ht="12.75" customHeight="1" x14ac:dyDescent="0.2">
      <c r="A91" s="47"/>
      <c r="B91" s="47"/>
      <c r="C91" s="47"/>
      <c r="D91" s="47"/>
      <c r="E91" s="47"/>
      <c r="F91" s="47"/>
      <c r="G91" s="47"/>
      <c r="H91" s="47"/>
      <c r="I91" s="47"/>
      <c r="J91" s="47"/>
      <c r="K91" s="47"/>
    </row>
    <row r="92" spans="1:11" ht="12.75" customHeight="1" x14ac:dyDescent="0.2">
      <c r="A92" s="47"/>
      <c r="B92" s="47"/>
      <c r="C92" s="47"/>
      <c r="D92" s="47"/>
      <c r="E92" s="47"/>
      <c r="F92" s="47"/>
      <c r="G92" s="47"/>
      <c r="H92" s="47"/>
      <c r="I92" s="47"/>
      <c r="J92" s="47"/>
      <c r="K92" s="47"/>
    </row>
    <row r="93" spans="1:11" ht="12.75" customHeight="1" x14ac:dyDescent="0.2">
      <c r="A93" s="47"/>
      <c r="B93" s="47"/>
      <c r="C93" s="47"/>
      <c r="D93" s="47"/>
      <c r="E93" s="47"/>
      <c r="F93" s="47"/>
      <c r="G93" s="47"/>
      <c r="H93" s="47"/>
      <c r="I93" s="47"/>
      <c r="J93" s="47"/>
      <c r="K93" s="47"/>
    </row>
    <row r="94" spans="1:11" ht="12.75" customHeight="1" x14ac:dyDescent="0.2">
      <c r="A94" s="47"/>
      <c r="B94" s="47"/>
      <c r="C94" s="47"/>
      <c r="D94" s="47"/>
      <c r="E94" s="47"/>
      <c r="F94" s="47"/>
      <c r="G94" s="47"/>
      <c r="H94" s="47"/>
      <c r="I94" s="47"/>
      <c r="J94" s="47"/>
      <c r="K94" s="47"/>
    </row>
    <row r="95" spans="1:11" ht="12.75" customHeight="1" x14ac:dyDescent="0.2">
      <c r="A95" s="47"/>
      <c r="B95" s="47"/>
      <c r="C95" s="47"/>
      <c r="D95" s="47"/>
      <c r="E95" s="47"/>
      <c r="F95" s="47"/>
      <c r="G95" s="47"/>
      <c r="H95" s="47"/>
      <c r="I95" s="47"/>
      <c r="J95" s="47"/>
      <c r="K95" s="47"/>
    </row>
    <row r="96" spans="1:11" ht="12.75" customHeight="1" x14ac:dyDescent="0.2">
      <c r="A96" s="47"/>
      <c r="B96" s="47"/>
      <c r="C96" s="47"/>
      <c r="D96" s="47"/>
      <c r="E96" s="47"/>
      <c r="F96" s="47"/>
      <c r="G96" s="47"/>
      <c r="H96" s="47"/>
      <c r="I96" s="47"/>
      <c r="J96" s="47"/>
      <c r="K96" s="47"/>
    </row>
    <row r="97" spans="1:11" ht="12.75" customHeight="1" x14ac:dyDescent="0.2">
      <c r="A97" s="47"/>
      <c r="B97" s="47"/>
      <c r="C97" s="47"/>
      <c r="D97" s="47"/>
      <c r="E97" s="47"/>
      <c r="F97" s="47"/>
      <c r="G97" s="47"/>
      <c r="H97" s="47"/>
      <c r="I97" s="47"/>
      <c r="J97" s="47"/>
      <c r="K97" s="47"/>
    </row>
    <row r="98" spans="1:11" ht="12.75" customHeight="1" x14ac:dyDescent="0.2">
      <c r="A98" s="47"/>
      <c r="B98" s="47"/>
      <c r="C98" s="47"/>
      <c r="D98" s="47"/>
      <c r="E98" s="47"/>
      <c r="F98" s="47"/>
      <c r="G98" s="47"/>
      <c r="H98" s="47"/>
      <c r="I98" s="47"/>
      <c r="J98" s="47"/>
      <c r="K98" s="47"/>
    </row>
    <row r="99" spans="1:11" ht="12.75" customHeight="1" x14ac:dyDescent="0.2">
      <c r="A99" s="47"/>
      <c r="B99" s="47"/>
      <c r="C99" s="47"/>
      <c r="D99" s="47"/>
      <c r="E99" s="47"/>
      <c r="F99" s="47"/>
      <c r="G99" s="47"/>
      <c r="H99" s="47"/>
      <c r="I99" s="47"/>
      <c r="J99" s="47"/>
      <c r="K99" s="47"/>
    </row>
    <row r="100" spans="1:11" ht="12.75" customHeight="1" x14ac:dyDescent="0.2">
      <c r="A100" s="47"/>
      <c r="B100" s="47"/>
      <c r="C100" s="47"/>
      <c r="D100" s="47"/>
      <c r="E100" s="47"/>
      <c r="F100" s="47"/>
      <c r="G100" s="47"/>
      <c r="H100" s="47"/>
      <c r="I100" s="47"/>
      <c r="J100" s="47"/>
      <c r="K100" s="47"/>
    </row>
  </sheetData>
  <pageMargins left="0.47244094488188981" right="0.51181102362204722" top="0.74803149606299213" bottom="0.74803149606299213" header="0" footer="0"/>
  <pageSetup paperSize="9" orientation="portrait"/>
  <headerFooter>
    <oddHeader>&amp;CPROYECTO DE PRESUPUESTO 2021</oddHeader>
    <oddFooter>&amp;LPROYECTO DE PRESUPUESTO PARA EL AÑO FISCAL 2021 INFORMACIÓN PARA LA COMISIÓN DE PRESUPUESTO Y CUENTA GENERAL DE LA REPÚBLICA DEL CONGRESO DE LA REPÚBLICA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N100"/>
  <sheetViews>
    <sheetView showGridLines="0" workbookViewId="0"/>
  </sheetViews>
  <sheetFormatPr baseColWidth="10" defaultColWidth="14.42578125" defaultRowHeight="15" customHeight="1" x14ac:dyDescent="0.2"/>
  <cols>
    <col min="1" max="1" width="30.7109375" customWidth="1"/>
    <col min="2" max="14" width="6.5703125" customWidth="1"/>
  </cols>
  <sheetData>
    <row r="1" spans="1:14" ht="14.25" customHeight="1" x14ac:dyDescent="0.2">
      <c r="A1" s="46" t="s">
        <v>241</v>
      </c>
      <c r="B1" s="149"/>
      <c r="C1" s="149"/>
      <c r="D1" s="149"/>
      <c r="E1" s="149"/>
      <c r="F1" s="149"/>
      <c r="G1" s="149"/>
      <c r="H1" s="149"/>
      <c r="I1" s="149"/>
      <c r="J1" s="149"/>
      <c r="K1" s="149"/>
      <c r="L1" s="149"/>
      <c r="M1" s="149"/>
      <c r="N1" s="149"/>
    </row>
    <row r="2" spans="1:14" ht="11.25" customHeight="1" x14ac:dyDescent="0.2">
      <c r="A2" s="7" t="s">
        <v>242</v>
      </c>
      <c r="B2" s="17"/>
      <c r="C2" s="17"/>
      <c r="D2" s="17"/>
      <c r="E2" s="17"/>
      <c r="F2" s="17"/>
      <c r="G2" s="17"/>
      <c r="H2" s="17"/>
      <c r="I2" s="17"/>
      <c r="J2" s="17"/>
      <c r="K2" s="17"/>
      <c r="L2" s="17"/>
      <c r="M2" s="17"/>
      <c r="N2" s="17"/>
    </row>
    <row r="3" spans="1:14" ht="11.25" customHeight="1" x14ac:dyDescent="0.2">
      <c r="A3" s="7"/>
      <c r="B3" s="17"/>
      <c r="C3" s="17"/>
      <c r="D3" s="17"/>
      <c r="E3" s="17"/>
      <c r="F3" s="17"/>
      <c r="G3" s="17"/>
      <c r="H3" s="17"/>
      <c r="I3" s="17"/>
      <c r="J3" s="17"/>
      <c r="K3" s="17"/>
      <c r="L3" s="17"/>
      <c r="M3" s="17"/>
      <c r="N3" s="17"/>
    </row>
    <row r="4" spans="1:14" ht="12.75" customHeight="1" x14ac:dyDescent="0.2">
      <c r="A4" s="819" t="s">
        <v>327</v>
      </c>
      <c r="B4" s="821" t="s">
        <v>328</v>
      </c>
      <c r="C4" s="818"/>
      <c r="D4" s="818"/>
      <c r="E4" s="822"/>
      <c r="F4" s="823" t="s">
        <v>329</v>
      </c>
      <c r="G4" s="824"/>
      <c r="H4" s="814"/>
      <c r="I4" s="823" t="s">
        <v>330</v>
      </c>
      <c r="J4" s="824"/>
      <c r="K4" s="824"/>
      <c r="L4" s="824"/>
      <c r="M4" s="824"/>
      <c r="N4" s="814"/>
    </row>
    <row r="5" spans="1:14" ht="84.75" customHeight="1" x14ac:dyDescent="0.2">
      <c r="A5" s="820"/>
      <c r="B5" s="150">
        <v>2019</v>
      </c>
      <c r="C5" s="151">
        <v>2020</v>
      </c>
      <c r="D5" s="151" t="s">
        <v>331</v>
      </c>
      <c r="E5" s="152" t="s">
        <v>332</v>
      </c>
      <c r="F5" s="150">
        <v>2019</v>
      </c>
      <c r="G5" s="151">
        <v>2020</v>
      </c>
      <c r="H5" s="151" t="s">
        <v>331</v>
      </c>
      <c r="I5" s="150">
        <v>2019</v>
      </c>
      <c r="J5" s="151" t="s">
        <v>249</v>
      </c>
      <c r="K5" s="151" t="s">
        <v>331</v>
      </c>
      <c r="L5" s="153" t="s">
        <v>333</v>
      </c>
      <c r="M5" s="153" t="s">
        <v>332</v>
      </c>
      <c r="N5" s="152" t="s">
        <v>334</v>
      </c>
    </row>
    <row r="6" spans="1:14" ht="11.25" customHeight="1" x14ac:dyDescent="0.2">
      <c r="A6" s="154"/>
      <c r="B6" s="155"/>
      <c r="C6" s="156"/>
      <c r="D6" s="156"/>
      <c r="E6" s="157"/>
      <c r="F6" s="155"/>
      <c r="G6" s="156"/>
      <c r="H6" s="158"/>
      <c r="I6" s="155"/>
      <c r="J6" s="156"/>
      <c r="K6" s="158"/>
      <c r="L6" s="157"/>
      <c r="M6" s="157"/>
      <c r="N6" s="158"/>
    </row>
    <row r="7" spans="1:14" ht="11.25" customHeight="1" x14ac:dyDescent="0.2">
      <c r="A7" s="159" t="s">
        <v>335</v>
      </c>
      <c r="B7" s="160"/>
      <c r="C7" s="161"/>
      <c r="D7" s="161"/>
      <c r="E7" s="162"/>
      <c r="F7" s="160"/>
      <c r="G7" s="161"/>
      <c r="H7" s="163"/>
      <c r="I7" s="160"/>
      <c r="J7" s="161"/>
      <c r="K7" s="163"/>
      <c r="L7" s="162"/>
      <c r="M7" s="162"/>
      <c r="N7" s="163"/>
    </row>
    <row r="8" spans="1:14" ht="11.25" customHeight="1" x14ac:dyDescent="0.2">
      <c r="A8" s="164" t="s">
        <v>336</v>
      </c>
      <c r="B8" s="165"/>
      <c r="C8" s="166"/>
      <c r="D8" s="166"/>
      <c r="E8" s="167"/>
      <c r="F8" s="165"/>
      <c r="G8" s="166"/>
      <c r="H8" s="168"/>
      <c r="I8" s="165"/>
      <c r="J8" s="166"/>
      <c r="K8" s="168"/>
      <c r="L8" s="167"/>
      <c r="M8" s="167"/>
      <c r="N8" s="168"/>
    </row>
    <row r="9" spans="1:14" ht="11.25" customHeight="1" x14ac:dyDescent="0.2">
      <c r="A9" s="169"/>
      <c r="B9" s="165"/>
      <c r="C9" s="166"/>
      <c r="D9" s="166"/>
      <c r="E9" s="167"/>
      <c r="F9" s="165"/>
      <c r="G9" s="166"/>
      <c r="H9" s="168"/>
      <c r="I9" s="165"/>
      <c r="J9" s="166"/>
      <c r="K9" s="168"/>
      <c r="L9" s="167"/>
      <c r="M9" s="167"/>
      <c r="N9" s="168"/>
    </row>
    <row r="10" spans="1:14" ht="11.25" customHeight="1" x14ac:dyDescent="0.2">
      <c r="A10" s="159" t="s">
        <v>337</v>
      </c>
      <c r="B10" s="165"/>
      <c r="C10" s="166"/>
      <c r="D10" s="166"/>
      <c r="E10" s="167"/>
      <c r="F10" s="165"/>
      <c r="G10" s="166"/>
      <c r="H10" s="168"/>
      <c r="I10" s="165"/>
      <c r="J10" s="166"/>
      <c r="K10" s="168"/>
      <c r="L10" s="167"/>
      <c r="M10" s="167"/>
      <c r="N10" s="168"/>
    </row>
    <row r="11" spans="1:14" ht="11.25" customHeight="1" x14ac:dyDescent="0.2">
      <c r="A11" s="170" t="s">
        <v>338</v>
      </c>
      <c r="B11" s="165"/>
      <c r="C11" s="166"/>
      <c r="D11" s="166"/>
      <c r="E11" s="167"/>
      <c r="F11" s="165"/>
      <c r="G11" s="166"/>
      <c r="H11" s="168"/>
      <c r="I11" s="165"/>
      <c r="J11" s="166"/>
      <c r="K11" s="168"/>
      <c r="L11" s="167"/>
      <c r="M11" s="167"/>
      <c r="N11" s="168"/>
    </row>
    <row r="12" spans="1:14" ht="11.25" customHeight="1" x14ac:dyDescent="0.2">
      <c r="A12" s="170" t="s">
        <v>339</v>
      </c>
      <c r="B12" s="165"/>
      <c r="C12" s="166"/>
      <c r="D12" s="166"/>
      <c r="E12" s="167"/>
      <c r="F12" s="165"/>
      <c r="G12" s="166"/>
      <c r="H12" s="168"/>
      <c r="I12" s="165"/>
      <c r="J12" s="166"/>
      <c r="K12" s="168"/>
      <c r="L12" s="167"/>
      <c r="M12" s="167"/>
      <c r="N12" s="168"/>
    </row>
    <row r="13" spans="1:14" ht="11.25" customHeight="1" x14ac:dyDescent="0.2">
      <c r="A13" s="170" t="s">
        <v>340</v>
      </c>
      <c r="B13" s="165"/>
      <c r="C13" s="166"/>
      <c r="D13" s="166"/>
      <c r="E13" s="167"/>
      <c r="F13" s="165"/>
      <c r="G13" s="166"/>
      <c r="H13" s="168"/>
      <c r="I13" s="165"/>
      <c r="J13" s="166"/>
      <c r="K13" s="168"/>
      <c r="L13" s="167"/>
      <c r="M13" s="167"/>
      <c r="N13" s="168"/>
    </row>
    <row r="14" spans="1:14" ht="11.25" customHeight="1" x14ac:dyDescent="0.2">
      <c r="A14" s="170" t="s">
        <v>341</v>
      </c>
      <c r="B14" s="165"/>
      <c r="C14" s="166"/>
      <c r="D14" s="166"/>
      <c r="E14" s="167"/>
      <c r="F14" s="165"/>
      <c r="G14" s="166"/>
      <c r="H14" s="168"/>
      <c r="I14" s="165"/>
      <c r="J14" s="166"/>
      <c r="K14" s="168"/>
      <c r="L14" s="167"/>
      <c r="M14" s="167"/>
      <c r="N14" s="168"/>
    </row>
    <row r="15" spans="1:14" ht="11.25" customHeight="1" x14ac:dyDescent="0.2">
      <c r="A15" s="170"/>
      <c r="B15" s="160"/>
      <c r="C15" s="161"/>
      <c r="D15" s="161"/>
      <c r="E15" s="162"/>
      <c r="F15" s="160"/>
      <c r="G15" s="161"/>
      <c r="H15" s="163"/>
      <c r="I15" s="160"/>
      <c r="J15" s="161"/>
      <c r="K15" s="163"/>
      <c r="L15" s="162"/>
      <c r="M15" s="162"/>
      <c r="N15" s="163"/>
    </row>
    <row r="16" spans="1:14" ht="11.25" customHeight="1" x14ac:dyDescent="0.2">
      <c r="A16" s="159" t="s">
        <v>342</v>
      </c>
      <c r="B16" s="165"/>
      <c r="C16" s="166"/>
      <c r="D16" s="166"/>
      <c r="E16" s="167"/>
      <c r="F16" s="165"/>
      <c r="G16" s="166"/>
      <c r="H16" s="168"/>
      <c r="I16" s="165"/>
      <c r="J16" s="166"/>
      <c r="K16" s="168"/>
      <c r="L16" s="167"/>
      <c r="M16" s="167"/>
      <c r="N16" s="168"/>
    </row>
    <row r="17" spans="1:14" ht="11.25" customHeight="1" x14ac:dyDescent="0.2">
      <c r="A17" s="170" t="s">
        <v>343</v>
      </c>
      <c r="B17" s="165"/>
      <c r="C17" s="166"/>
      <c r="D17" s="166"/>
      <c r="E17" s="167"/>
      <c r="F17" s="165"/>
      <c r="G17" s="166"/>
      <c r="H17" s="168"/>
      <c r="I17" s="165"/>
      <c r="J17" s="166"/>
      <c r="K17" s="168"/>
      <c r="L17" s="167"/>
      <c r="M17" s="167"/>
      <c r="N17" s="168"/>
    </row>
    <row r="18" spans="1:14" ht="11.25" customHeight="1" x14ac:dyDescent="0.2">
      <c r="A18" s="170" t="s">
        <v>344</v>
      </c>
      <c r="B18" s="165"/>
      <c r="C18" s="166"/>
      <c r="D18" s="166"/>
      <c r="E18" s="167"/>
      <c r="F18" s="165"/>
      <c r="G18" s="166"/>
      <c r="H18" s="168"/>
      <c r="I18" s="165"/>
      <c r="J18" s="166"/>
      <c r="K18" s="168"/>
      <c r="L18" s="167"/>
      <c r="M18" s="167"/>
      <c r="N18" s="168"/>
    </row>
    <row r="19" spans="1:14" ht="11.25" customHeight="1" x14ac:dyDescent="0.2">
      <c r="A19" s="170" t="s">
        <v>345</v>
      </c>
      <c r="B19" s="165"/>
      <c r="C19" s="166"/>
      <c r="D19" s="166"/>
      <c r="E19" s="167"/>
      <c r="F19" s="165"/>
      <c r="G19" s="166"/>
      <c r="H19" s="168"/>
      <c r="I19" s="165"/>
      <c r="J19" s="166"/>
      <c r="K19" s="168"/>
      <c r="L19" s="167"/>
      <c r="M19" s="167"/>
      <c r="N19" s="168"/>
    </row>
    <row r="20" spans="1:14" ht="11.25" customHeight="1" x14ac:dyDescent="0.2">
      <c r="A20" s="170" t="s">
        <v>346</v>
      </c>
      <c r="B20" s="165"/>
      <c r="C20" s="166"/>
      <c r="D20" s="166"/>
      <c r="E20" s="167"/>
      <c r="F20" s="165"/>
      <c r="G20" s="166"/>
      <c r="H20" s="168"/>
      <c r="I20" s="165"/>
      <c r="J20" s="166"/>
      <c r="K20" s="168"/>
      <c r="L20" s="167"/>
      <c r="M20" s="167"/>
      <c r="N20" s="168"/>
    </row>
    <row r="21" spans="1:14" ht="11.25" customHeight="1" x14ac:dyDescent="0.2">
      <c r="A21" s="170" t="s">
        <v>347</v>
      </c>
      <c r="B21" s="165"/>
      <c r="C21" s="166"/>
      <c r="D21" s="166"/>
      <c r="E21" s="167"/>
      <c r="F21" s="165"/>
      <c r="G21" s="166"/>
      <c r="H21" s="168"/>
      <c r="I21" s="165"/>
      <c r="J21" s="166"/>
      <c r="K21" s="168"/>
      <c r="L21" s="167"/>
      <c r="M21" s="167"/>
      <c r="N21" s="168"/>
    </row>
    <row r="22" spans="1:14" ht="11.25" customHeight="1" x14ac:dyDescent="0.2">
      <c r="A22" s="170"/>
      <c r="B22" s="165"/>
      <c r="C22" s="166"/>
      <c r="D22" s="166"/>
      <c r="E22" s="167"/>
      <c r="F22" s="165"/>
      <c r="G22" s="166"/>
      <c r="H22" s="168"/>
      <c r="I22" s="165"/>
      <c r="J22" s="166"/>
      <c r="K22" s="168"/>
      <c r="L22" s="167"/>
      <c r="M22" s="167"/>
      <c r="N22" s="168"/>
    </row>
    <row r="23" spans="1:14" ht="11.25" customHeight="1" x14ac:dyDescent="0.2">
      <c r="A23" s="171" t="s">
        <v>348</v>
      </c>
      <c r="B23" s="165"/>
      <c r="C23" s="166"/>
      <c r="D23" s="166"/>
      <c r="E23" s="167"/>
      <c r="F23" s="165"/>
      <c r="G23" s="166"/>
      <c r="H23" s="168"/>
      <c r="I23" s="165"/>
      <c r="J23" s="166"/>
      <c r="K23" s="168"/>
      <c r="L23" s="167"/>
      <c r="M23" s="167"/>
      <c r="N23" s="168"/>
    </row>
    <row r="24" spans="1:14" ht="11.25" customHeight="1" x14ac:dyDescent="0.2">
      <c r="A24" s="170" t="s">
        <v>349</v>
      </c>
      <c r="B24" s="165"/>
      <c r="C24" s="166"/>
      <c r="D24" s="166"/>
      <c r="E24" s="167"/>
      <c r="F24" s="165"/>
      <c r="G24" s="166"/>
      <c r="H24" s="168"/>
      <c r="I24" s="165"/>
      <c r="J24" s="166"/>
      <c r="K24" s="168"/>
      <c r="L24" s="167"/>
      <c r="M24" s="167"/>
      <c r="N24" s="168"/>
    </row>
    <row r="25" spans="1:14" ht="11.25" customHeight="1" x14ac:dyDescent="0.2">
      <c r="A25" s="170" t="s">
        <v>350</v>
      </c>
      <c r="B25" s="165"/>
      <c r="C25" s="166"/>
      <c r="D25" s="166"/>
      <c r="E25" s="167"/>
      <c r="F25" s="165"/>
      <c r="G25" s="166"/>
      <c r="H25" s="168"/>
      <c r="I25" s="165"/>
      <c r="J25" s="166"/>
      <c r="K25" s="168"/>
      <c r="L25" s="167"/>
      <c r="M25" s="167"/>
      <c r="N25" s="168"/>
    </row>
    <row r="26" spans="1:14" ht="11.25" customHeight="1" x14ac:dyDescent="0.2">
      <c r="A26" s="170" t="s">
        <v>351</v>
      </c>
      <c r="B26" s="165"/>
      <c r="C26" s="166"/>
      <c r="D26" s="166"/>
      <c r="E26" s="167"/>
      <c r="F26" s="165"/>
      <c r="G26" s="166"/>
      <c r="H26" s="168"/>
      <c r="I26" s="165"/>
      <c r="J26" s="166"/>
      <c r="K26" s="168"/>
      <c r="L26" s="167"/>
      <c r="M26" s="167"/>
      <c r="N26" s="168"/>
    </row>
    <row r="27" spans="1:14" ht="11.25" customHeight="1" x14ac:dyDescent="0.2">
      <c r="A27" s="170"/>
      <c r="B27" s="165"/>
      <c r="C27" s="166"/>
      <c r="D27" s="166"/>
      <c r="E27" s="167"/>
      <c r="F27" s="165"/>
      <c r="G27" s="166"/>
      <c r="H27" s="168"/>
      <c r="I27" s="165"/>
      <c r="J27" s="166"/>
      <c r="K27" s="168"/>
      <c r="L27" s="167"/>
      <c r="M27" s="167"/>
      <c r="N27" s="168"/>
    </row>
    <row r="28" spans="1:14" ht="11.25" customHeight="1" x14ac:dyDescent="0.2">
      <c r="A28" s="171" t="s">
        <v>352</v>
      </c>
      <c r="B28" s="165"/>
      <c r="C28" s="166"/>
      <c r="D28" s="166"/>
      <c r="E28" s="167"/>
      <c r="F28" s="165"/>
      <c r="G28" s="166"/>
      <c r="H28" s="168"/>
      <c r="I28" s="165"/>
      <c r="J28" s="166"/>
      <c r="K28" s="168"/>
      <c r="L28" s="167"/>
      <c r="M28" s="167"/>
      <c r="N28" s="168"/>
    </row>
    <row r="29" spans="1:14" ht="11.25" customHeight="1" x14ac:dyDescent="0.2">
      <c r="A29" s="170" t="s">
        <v>353</v>
      </c>
      <c r="B29" s="165"/>
      <c r="C29" s="166"/>
      <c r="D29" s="166"/>
      <c r="E29" s="167"/>
      <c r="F29" s="165"/>
      <c r="G29" s="166"/>
      <c r="H29" s="168"/>
      <c r="I29" s="165"/>
      <c r="J29" s="166"/>
      <c r="K29" s="168"/>
      <c r="L29" s="167"/>
      <c r="M29" s="167"/>
      <c r="N29" s="168"/>
    </row>
    <row r="30" spans="1:14" ht="11.25" customHeight="1" x14ac:dyDescent="0.2">
      <c r="A30" s="170" t="s">
        <v>350</v>
      </c>
      <c r="B30" s="165"/>
      <c r="C30" s="166"/>
      <c r="D30" s="166"/>
      <c r="E30" s="167"/>
      <c r="F30" s="165"/>
      <c r="G30" s="166"/>
      <c r="H30" s="168"/>
      <c r="I30" s="165"/>
      <c r="J30" s="166"/>
      <c r="K30" s="168"/>
      <c r="L30" s="167"/>
      <c r="M30" s="167"/>
      <c r="N30" s="168"/>
    </row>
    <row r="31" spans="1:14" ht="11.25" customHeight="1" x14ac:dyDescent="0.2">
      <c r="A31" s="170"/>
      <c r="B31" s="165"/>
      <c r="C31" s="166"/>
      <c r="D31" s="166"/>
      <c r="E31" s="167"/>
      <c r="F31" s="165"/>
      <c r="G31" s="166"/>
      <c r="H31" s="168"/>
      <c r="I31" s="165"/>
      <c r="J31" s="166"/>
      <c r="K31" s="168"/>
      <c r="L31" s="167"/>
      <c r="M31" s="167"/>
      <c r="N31" s="168"/>
    </row>
    <row r="32" spans="1:14" ht="11.25" customHeight="1" x14ac:dyDescent="0.2">
      <c r="A32" s="171" t="s">
        <v>354</v>
      </c>
      <c r="B32" s="165"/>
      <c r="C32" s="166"/>
      <c r="D32" s="166"/>
      <c r="E32" s="167"/>
      <c r="F32" s="165"/>
      <c r="G32" s="166"/>
      <c r="H32" s="168"/>
      <c r="I32" s="165"/>
      <c r="J32" s="166"/>
      <c r="K32" s="168"/>
      <c r="L32" s="167"/>
      <c r="M32" s="167"/>
      <c r="N32" s="168"/>
    </row>
    <row r="33" spans="1:14" ht="11.25" customHeight="1" x14ac:dyDescent="0.2">
      <c r="A33" s="170" t="s">
        <v>355</v>
      </c>
      <c r="B33" s="165"/>
      <c r="C33" s="166"/>
      <c r="D33" s="166"/>
      <c r="E33" s="167"/>
      <c r="F33" s="165"/>
      <c r="G33" s="166"/>
      <c r="H33" s="168"/>
      <c r="I33" s="165"/>
      <c r="J33" s="166"/>
      <c r="K33" s="168"/>
      <c r="L33" s="167"/>
      <c r="M33" s="167"/>
      <c r="N33" s="168"/>
    </row>
    <row r="34" spans="1:14" ht="11.25" customHeight="1" x14ac:dyDescent="0.2">
      <c r="A34" s="170" t="s">
        <v>351</v>
      </c>
      <c r="B34" s="165"/>
      <c r="C34" s="166"/>
      <c r="D34" s="166"/>
      <c r="E34" s="167"/>
      <c r="F34" s="165"/>
      <c r="G34" s="166"/>
      <c r="H34" s="168"/>
      <c r="I34" s="165"/>
      <c r="J34" s="166"/>
      <c r="K34" s="168"/>
      <c r="L34" s="167"/>
      <c r="M34" s="167"/>
      <c r="N34" s="168"/>
    </row>
    <row r="35" spans="1:14" ht="11.25" customHeight="1" x14ac:dyDescent="0.2">
      <c r="A35" s="170" t="s">
        <v>356</v>
      </c>
      <c r="B35" s="165"/>
      <c r="C35" s="166"/>
      <c r="D35" s="166"/>
      <c r="E35" s="167"/>
      <c r="F35" s="165"/>
      <c r="G35" s="166"/>
      <c r="H35" s="168"/>
      <c r="I35" s="165"/>
      <c r="J35" s="166"/>
      <c r="K35" s="168"/>
      <c r="L35" s="167"/>
      <c r="M35" s="167"/>
      <c r="N35" s="168"/>
    </row>
    <row r="36" spans="1:14" ht="11.25" customHeight="1" x14ac:dyDescent="0.2">
      <c r="A36" s="170" t="s">
        <v>357</v>
      </c>
      <c r="B36" s="165"/>
      <c r="C36" s="166"/>
      <c r="D36" s="166"/>
      <c r="E36" s="167"/>
      <c r="F36" s="165"/>
      <c r="G36" s="166"/>
      <c r="H36" s="168"/>
      <c r="I36" s="165"/>
      <c r="J36" s="166"/>
      <c r="K36" s="168"/>
      <c r="L36" s="167"/>
      <c r="M36" s="167"/>
      <c r="N36" s="168"/>
    </row>
    <row r="37" spans="1:14" ht="11.25" customHeight="1" x14ac:dyDescent="0.2">
      <c r="A37" s="170"/>
      <c r="B37" s="165"/>
      <c r="C37" s="166"/>
      <c r="D37" s="166"/>
      <c r="E37" s="167"/>
      <c r="F37" s="165"/>
      <c r="G37" s="166"/>
      <c r="H37" s="168"/>
      <c r="I37" s="165"/>
      <c r="J37" s="166"/>
      <c r="K37" s="168"/>
      <c r="L37" s="167"/>
      <c r="M37" s="167"/>
      <c r="N37" s="168"/>
    </row>
    <row r="38" spans="1:14" ht="11.25" customHeight="1" x14ac:dyDescent="0.2">
      <c r="A38" s="171" t="s">
        <v>358</v>
      </c>
      <c r="B38" s="165"/>
      <c r="C38" s="166"/>
      <c r="D38" s="166"/>
      <c r="E38" s="167"/>
      <c r="F38" s="165"/>
      <c r="G38" s="166"/>
      <c r="H38" s="168"/>
      <c r="I38" s="165"/>
      <c r="J38" s="166"/>
      <c r="K38" s="168"/>
      <c r="L38" s="167"/>
      <c r="M38" s="167"/>
      <c r="N38" s="168"/>
    </row>
    <row r="39" spans="1:14" ht="11.25" customHeight="1" x14ac:dyDescent="0.2">
      <c r="A39" s="170" t="s">
        <v>359</v>
      </c>
      <c r="B39" s="165"/>
      <c r="C39" s="166"/>
      <c r="D39" s="166"/>
      <c r="E39" s="167"/>
      <c r="F39" s="165"/>
      <c r="G39" s="166"/>
      <c r="H39" s="168"/>
      <c r="I39" s="165"/>
      <c r="J39" s="166"/>
      <c r="K39" s="168"/>
      <c r="L39" s="167"/>
      <c r="M39" s="167"/>
      <c r="N39" s="168"/>
    </row>
    <row r="40" spans="1:14" ht="11.25" customHeight="1" x14ac:dyDescent="0.2">
      <c r="A40" s="170" t="s">
        <v>360</v>
      </c>
      <c r="B40" s="165"/>
      <c r="C40" s="166"/>
      <c r="D40" s="166"/>
      <c r="E40" s="167"/>
      <c r="F40" s="165"/>
      <c r="G40" s="166"/>
      <c r="H40" s="168"/>
      <c r="I40" s="165"/>
      <c r="J40" s="166"/>
      <c r="K40" s="168"/>
      <c r="L40" s="167"/>
      <c r="M40" s="167"/>
      <c r="N40" s="168"/>
    </row>
    <row r="41" spans="1:14" ht="11.25" customHeight="1" x14ac:dyDescent="0.2">
      <c r="A41" s="170" t="s">
        <v>361</v>
      </c>
      <c r="B41" s="165"/>
      <c r="C41" s="166"/>
      <c r="D41" s="166"/>
      <c r="E41" s="167"/>
      <c r="F41" s="165"/>
      <c r="G41" s="166"/>
      <c r="H41" s="168"/>
      <c r="I41" s="165"/>
      <c r="J41" s="166"/>
      <c r="K41" s="168"/>
      <c r="L41" s="167"/>
      <c r="M41" s="167"/>
      <c r="N41" s="168"/>
    </row>
    <row r="42" spans="1:14" ht="11.25" customHeight="1" x14ac:dyDescent="0.2">
      <c r="A42" s="170" t="s">
        <v>362</v>
      </c>
      <c r="B42" s="165"/>
      <c r="C42" s="166"/>
      <c r="D42" s="166"/>
      <c r="E42" s="167"/>
      <c r="F42" s="165"/>
      <c r="G42" s="166"/>
      <c r="H42" s="168"/>
      <c r="I42" s="165"/>
      <c r="J42" s="166"/>
      <c r="K42" s="168"/>
      <c r="L42" s="167"/>
      <c r="M42" s="167"/>
      <c r="N42" s="168"/>
    </row>
    <row r="43" spans="1:14" ht="11.25" customHeight="1" x14ac:dyDescent="0.2">
      <c r="A43" s="170"/>
      <c r="B43" s="165"/>
      <c r="C43" s="166"/>
      <c r="D43" s="166"/>
      <c r="E43" s="167"/>
      <c r="F43" s="165"/>
      <c r="G43" s="166"/>
      <c r="H43" s="168"/>
      <c r="I43" s="165"/>
      <c r="J43" s="166"/>
      <c r="K43" s="168"/>
      <c r="L43" s="167"/>
      <c r="M43" s="167"/>
      <c r="N43" s="168"/>
    </row>
    <row r="44" spans="1:14" ht="11.25" customHeight="1" x14ac:dyDescent="0.2">
      <c r="A44" s="171" t="s">
        <v>363</v>
      </c>
      <c r="B44" s="165"/>
      <c r="C44" s="166"/>
      <c r="D44" s="166"/>
      <c r="E44" s="167"/>
      <c r="F44" s="165"/>
      <c r="G44" s="166"/>
      <c r="H44" s="168"/>
      <c r="I44" s="165"/>
      <c r="J44" s="166"/>
      <c r="K44" s="168"/>
      <c r="L44" s="167"/>
      <c r="M44" s="167"/>
      <c r="N44" s="168"/>
    </row>
    <row r="45" spans="1:14" ht="11.25" customHeight="1" x14ac:dyDescent="0.2">
      <c r="A45" s="170" t="s">
        <v>364</v>
      </c>
      <c r="B45" s="165"/>
      <c r="C45" s="166"/>
      <c r="D45" s="166"/>
      <c r="E45" s="167"/>
      <c r="F45" s="165"/>
      <c r="G45" s="166"/>
      <c r="H45" s="168"/>
      <c r="I45" s="165"/>
      <c r="J45" s="166"/>
      <c r="K45" s="168"/>
      <c r="L45" s="167"/>
      <c r="M45" s="167"/>
      <c r="N45" s="168"/>
    </row>
    <row r="46" spans="1:14" ht="11.25" customHeight="1" x14ac:dyDescent="0.2">
      <c r="A46" s="170" t="s">
        <v>365</v>
      </c>
      <c r="B46" s="165"/>
      <c r="C46" s="166"/>
      <c r="D46" s="166"/>
      <c r="E46" s="167"/>
      <c r="F46" s="165"/>
      <c r="G46" s="166"/>
      <c r="H46" s="168"/>
      <c r="I46" s="165"/>
      <c r="J46" s="166"/>
      <c r="K46" s="168"/>
      <c r="L46" s="167"/>
      <c r="M46" s="167"/>
      <c r="N46" s="168"/>
    </row>
    <row r="47" spans="1:14" ht="11.25" customHeight="1" x14ac:dyDescent="0.2">
      <c r="A47" s="172"/>
      <c r="B47" s="165"/>
      <c r="C47" s="166"/>
      <c r="D47" s="166"/>
      <c r="E47" s="167"/>
      <c r="F47" s="165"/>
      <c r="G47" s="166"/>
      <c r="H47" s="168"/>
      <c r="I47" s="165"/>
      <c r="J47" s="166"/>
      <c r="K47" s="168"/>
      <c r="L47" s="167"/>
      <c r="M47" s="167"/>
      <c r="N47" s="168"/>
    </row>
    <row r="48" spans="1:14" ht="11.25" customHeight="1" x14ac:dyDescent="0.2">
      <c r="A48" s="173"/>
      <c r="B48" s="174"/>
      <c r="C48" s="175"/>
      <c r="D48" s="176"/>
      <c r="E48" s="177"/>
      <c r="F48" s="174"/>
      <c r="G48" s="178"/>
      <c r="H48" s="177"/>
      <c r="I48" s="174"/>
      <c r="J48" s="175"/>
      <c r="K48" s="179"/>
      <c r="L48" s="178"/>
      <c r="M48" s="178"/>
      <c r="N48" s="177"/>
    </row>
    <row r="49" spans="1:14" ht="11.25" customHeight="1" x14ac:dyDescent="0.2">
      <c r="A49" s="180" t="s">
        <v>284</v>
      </c>
      <c r="B49" s="181"/>
      <c r="C49" s="182"/>
      <c r="D49" s="183"/>
      <c r="E49" s="184"/>
      <c r="F49" s="181"/>
      <c r="G49" s="185"/>
      <c r="H49" s="184"/>
      <c r="I49" s="181"/>
      <c r="J49" s="182"/>
      <c r="K49" s="186"/>
      <c r="L49" s="185"/>
      <c r="M49" s="185"/>
      <c r="N49" s="184"/>
    </row>
    <row r="50" spans="1:14" ht="11.25" customHeight="1" x14ac:dyDescent="0.2">
      <c r="A50" s="187" t="s">
        <v>366</v>
      </c>
      <c r="B50" s="188"/>
      <c r="C50" s="189"/>
      <c r="D50" s="190"/>
      <c r="E50" s="191"/>
      <c r="F50" s="188"/>
      <c r="G50" s="192"/>
      <c r="H50" s="191"/>
      <c r="I50" s="188"/>
      <c r="J50" s="189"/>
      <c r="K50" s="193"/>
      <c r="L50" s="192"/>
      <c r="M50" s="192"/>
      <c r="N50" s="191"/>
    </row>
    <row r="51" spans="1:14" ht="11.25" customHeight="1" x14ac:dyDescent="0.2">
      <c r="A51" s="37" t="s">
        <v>367</v>
      </c>
      <c r="B51" s="37"/>
      <c r="C51" s="37"/>
      <c r="D51" s="37"/>
      <c r="E51" s="37"/>
      <c r="F51" s="37"/>
      <c r="G51" s="37"/>
      <c r="H51" s="37"/>
      <c r="I51" s="37"/>
      <c r="J51" s="37"/>
      <c r="K51" s="37"/>
      <c r="L51" s="37"/>
      <c r="M51" s="37"/>
      <c r="N51" s="37"/>
    </row>
    <row r="52" spans="1:14" ht="11.25" customHeight="1" x14ac:dyDescent="0.2">
      <c r="A52" s="37" t="s">
        <v>368</v>
      </c>
      <c r="B52" s="37"/>
      <c r="C52" s="37"/>
      <c r="D52" s="37"/>
      <c r="E52" s="37"/>
      <c r="F52" s="37"/>
      <c r="G52" s="37"/>
      <c r="H52" s="37"/>
      <c r="I52" s="37"/>
      <c r="J52" s="37"/>
      <c r="K52" s="37"/>
      <c r="L52" s="37"/>
      <c r="M52" s="37"/>
      <c r="N52" s="37"/>
    </row>
    <row r="53" spans="1:14" ht="11.25" customHeight="1" x14ac:dyDescent="0.2">
      <c r="A53" s="65"/>
      <c r="B53" s="65"/>
      <c r="C53" s="65"/>
      <c r="D53" s="65"/>
      <c r="E53" s="65"/>
      <c r="F53" s="65"/>
      <c r="G53" s="65"/>
      <c r="H53" s="65"/>
      <c r="I53" s="65"/>
      <c r="J53" s="65"/>
      <c r="K53" s="65"/>
      <c r="L53" s="65"/>
      <c r="M53" s="65"/>
      <c r="N53" s="65"/>
    </row>
    <row r="54" spans="1:14" ht="11.25" customHeight="1" x14ac:dyDescent="0.2">
      <c r="A54" s="65"/>
      <c r="B54" s="65"/>
      <c r="C54" s="65"/>
      <c r="D54" s="65"/>
      <c r="E54" s="65"/>
      <c r="F54" s="65"/>
      <c r="G54" s="65"/>
      <c r="H54" s="65"/>
      <c r="I54" s="65"/>
      <c r="J54" s="65"/>
      <c r="K54" s="65"/>
      <c r="L54" s="65"/>
      <c r="M54" s="65"/>
      <c r="N54" s="65"/>
    </row>
    <row r="55" spans="1:14" ht="11.25" customHeight="1" x14ac:dyDescent="0.2">
      <c r="A55" s="65"/>
      <c r="B55" s="65"/>
      <c r="C55" s="65"/>
      <c r="D55" s="65"/>
      <c r="E55" s="65"/>
      <c r="F55" s="65"/>
      <c r="G55" s="65"/>
      <c r="H55" s="65"/>
      <c r="I55" s="65"/>
      <c r="J55" s="65"/>
      <c r="K55" s="65"/>
      <c r="L55" s="65"/>
      <c r="M55" s="65"/>
      <c r="N55" s="65"/>
    </row>
    <row r="56" spans="1:14" ht="11.25" customHeight="1" x14ac:dyDescent="0.2">
      <c r="A56" s="65"/>
      <c r="B56" s="65"/>
      <c r="C56" s="65"/>
      <c r="D56" s="65"/>
      <c r="E56" s="65"/>
      <c r="F56" s="65"/>
      <c r="G56" s="65"/>
      <c r="H56" s="65"/>
      <c r="I56" s="65"/>
      <c r="J56" s="65"/>
      <c r="K56" s="65"/>
      <c r="L56" s="65"/>
      <c r="M56" s="65"/>
      <c r="N56" s="65"/>
    </row>
    <row r="57" spans="1:14" ht="11.25" customHeight="1" x14ac:dyDescent="0.2">
      <c r="A57" s="65"/>
      <c r="B57" s="65"/>
      <c r="C57" s="65"/>
      <c r="D57" s="65"/>
      <c r="E57" s="65"/>
      <c r="F57" s="65"/>
      <c r="G57" s="65"/>
      <c r="H57" s="65"/>
      <c r="I57" s="65"/>
      <c r="J57" s="65"/>
      <c r="K57" s="65"/>
      <c r="L57" s="65"/>
      <c r="M57" s="65"/>
      <c r="N57" s="65"/>
    </row>
    <row r="58" spans="1:14" ht="11.25" customHeight="1" x14ac:dyDescent="0.2">
      <c r="A58" s="65"/>
      <c r="B58" s="65"/>
      <c r="C58" s="65"/>
      <c r="D58" s="65"/>
      <c r="E58" s="65"/>
      <c r="F58" s="65"/>
      <c r="G58" s="65"/>
      <c r="H58" s="65"/>
      <c r="I58" s="65"/>
      <c r="J58" s="65"/>
      <c r="K58" s="65"/>
      <c r="L58" s="65"/>
      <c r="M58" s="65"/>
      <c r="N58" s="65"/>
    </row>
    <row r="59" spans="1:14" ht="11.25" customHeight="1" x14ac:dyDescent="0.2">
      <c r="A59" s="65"/>
      <c r="B59" s="65"/>
      <c r="C59" s="65"/>
      <c r="D59" s="65"/>
      <c r="E59" s="65"/>
      <c r="F59" s="65"/>
      <c r="G59" s="65"/>
      <c r="H59" s="65"/>
      <c r="I59" s="65"/>
      <c r="J59" s="65"/>
      <c r="K59" s="65"/>
      <c r="L59" s="65"/>
      <c r="M59" s="65"/>
      <c r="N59" s="65"/>
    </row>
    <row r="60" spans="1:14" ht="11.25" customHeight="1" x14ac:dyDescent="0.2">
      <c r="A60" s="65"/>
      <c r="B60" s="65"/>
      <c r="C60" s="65"/>
      <c r="D60" s="65"/>
      <c r="E60" s="65"/>
      <c r="F60" s="65"/>
      <c r="G60" s="65"/>
      <c r="H60" s="65"/>
      <c r="I60" s="65"/>
      <c r="J60" s="65"/>
      <c r="K60" s="65"/>
      <c r="L60" s="65"/>
      <c r="M60" s="65"/>
      <c r="N60" s="65"/>
    </row>
    <row r="61" spans="1:14" ht="11.25" customHeight="1" x14ac:dyDescent="0.2">
      <c r="A61" s="65"/>
      <c r="B61" s="65"/>
      <c r="C61" s="65"/>
      <c r="D61" s="65"/>
      <c r="E61" s="65"/>
      <c r="F61" s="65"/>
      <c r="G61" s="65"/>
      <c r="H61" s="65"/>
      <c r="I61" s="65"/>
      <c r="J61" s="65"/>
      <c r="K61" s="65"/>
      <c r="L61" s="65"/>
      <c r="M61" s="65"/>
      <c r="N61" s="65"/>
    </row>
    <row r="62" spans="1:14" ht="11.25" customHeight="1" x14ac:dyDescent="0.2">
      <c r="A62" s="65"/>
      <c r="B62" s="65"/>
      <c r="C62" s="65"/>
      <c r="D62" s="65"/>
      <c r="E62" s="65"/>
      <c r="F62" s="65"/>
      <c r="G62" s="65"/>
      <c r="H62" s="65"/>
      <c r="I62" s="65"/>
      <c r="J62" s="65"/>
      <c r="K62" s="65"/>
      <c r="L62" s="65"/>
      <c r="M62" s="65"/>
      <c r="N62" s="65"/>
    </row>
    <row r="63" spans="1:14" ht="11.25" customHeight="1" x14ac:dyDescent="0.2">
      <c r="A63" s="65"/>
      <c r="B63" s="65"/>
      <c r="C63" s="65"/>
      <c r="D63" s="65"/>
      <c r="E63" s="65"/>
      <c r="F63" s="65"/>
      <c r="G63" s="65"/>
      <c r="H63" s="65"/>
      <c r="I63" s="65"/>
      <c r="J63" s="65"/>
      <c r="K63" s="65"/>
      <c r="L63" s="65"/>
      <c r="M63" s="65"/>
      <c r="N63" s="65"/>
    </row>
    <row r="64" spans="1:14" ht="11.25" customHeight="1" x14ac:dyDescent="0.2">
      <c r="A64" s="65"/>
      <c r="B64" s="65"/>
      <c r="C64" s="65"/>
      <c r="D64" s="65"/>
      <c r="E64" s="65"/>
      <c r="F64" s="65"/>
      <c r="G64" s="65"/>
      <c r="H64" s="65"/>
      <c r="I64" s="65"/>
      <c r="J64" s="65"/>
      <c r="K64" s="65"/>
      <c r="L64" s="65"/>
      <c r="M64" s="65"/>
      <c r="N64" s="65"/>
    </row>
    <row r="65" spans="1:14" ht="11.25" customHeight="1" x14ac:dyDescent="0.2">
      <c r="A65" s="65"/>
      <c r="B65" s="65"/>
      <c r="C65" s="65"/>
      <c r="D65" s="65"/>
      <c r="E65" s="65"/>
      <c r="F65" s="65"/>
      <c r="G65" s="65"/>
      <c r="H65" s="65"/>
      <c r="I65" s="65"/>
      <c r="J65" s="65"/>
      <c r="K65" s="65"/>
      <c r="L65" s="65"/>
      <c r="M65" s="65"/>
      <c r="N65" s="65"/>
    </row>
    <row r="66" spans="1:14" ht="11.25" customHeight="1" x14ac:dyDescent="0.2">
      <c r="A66" s="65"/>
      <c r="B66" s="65"/>
      <c r="C66" s="65"/>
      <c r="D66" s="65"/>
      <c r="E66" s="65"/>
      <c r="F66" s="65"/>
      <c r="G66" s="65"/>
      <c r="H66" s="65"/>
      <c r="I66" s="65"/>
      <c r="J66" s="65"/>
      <c r="K66" s="65"/>
      <c r="L66" s="65"/>
      <c r="M66" s="65"/>
      <c r="N66" s="65"/>
    </row>
    <row r="67" spans="1:14" ht="11.25" customHeight="1" x14ac:dyDescent="0.2">
      <c r="A67" s="65"/>
      <c r="B67" s="65"/>
      <c r="C67" s="65"/>
      <c r="D67" s="65"/>
      <c r="E67" s="65"/>
      <c r="F67" s="65"/>
      <c r="G67" s="65"/>
      <c r="H67" s="65"/>
      <c r="I67" s="65"/>
      <c r="J67" s="65"/>
      <c r="K67" s="65"/>
      <c r="L67" s="65"/>
      <c r="M67" s="65"/>
      <c r="N67" s="65"/>
    </row>
    <row r="68" spans="1:14" ht="11.25" customHeight="1" x14ac:dyDescent="0.2">
      <c r="A68" s="65"/>
      <c r="B68" s="65"/>
      <c r="C68" s="65"/>
      <c r="D68" s="65"/>
      <c r="E68" s="65"/>
      <c r="F68" s="65"/>
      <c r="G68" s="65"/>
      <c r="H68" s="65"/>
      <c r="I68" s="65"/>
      <c r="J68" s="65"/>
      <c r="K68" s="65"/>
      <c r="L68" s="65"/>
      <c r="M68" s="65"/>
      <c r="N68" s="65"/>
    </row>
    <row r="69" spans="1:14" ht="11.25" customHeight="1" x14ac:dyDescent="0.2">
      <c r="A69" s="65"/>
      <c r="B69" s="65"/>
      <c r="C69" s="65"/>
      <c r="D69" s="65"/>
      <c r="E69" s="65"/>
      <c r="F69" s="65"/>
      <c r="G69" s="65"/>
      <c r="H69" s="65"/>
      <c r="I69" s="65"/>
      <c r="J69" s="65"/>
      <c r="K69" s="65"/>
      <c r="L69" s="65"/>
      <c r="M69" s="65"/>
      <c r="N69" s="65"/>
    </row>
    <row r="70" spans="1:14" ht="11.25" customHeight="1" x14ac:dyDescent="0.2">
      <c r="A70" s="65"/>
      <c r="B70" s="65"/>
      <c r="C70" s="65"/>
      <c r="D70" s="65"/>
      <c r="E70" s="65"/>
      <c r="F70" s="65"/>
      <c r="G70" s="65"/>
      <c r="H70" s="65"/>
      <c r="I70" s="65"/>
      <c r="J70" s="65"/>
      <c r="K70" s="65"/>
      <c r="L70" s="65"/>
      <c r="M70" s="65"/>
      <c r="N70" s="65"/>
    </row>
    <row r="71" spans="1:14" ht="11.25" customHeight="1" x14ac:dyDescent="0.2">
      <c r="A71" s="65"/>
      <c r="B71" s="65"/>
      <c r="C71" s="65"/>
      <c r="D71" s="65"/>
      <c r="E71" s="65"/>
      <c r="F71" s="65"/>
      <c r="G71" s="65"/>
      <c r="H71" s="65"/>
      <c r="I71" s="65"/>
      <c r="J71" s="65"/>
      <c r="K71" s="65"/>
      <c r="L71" s="65"/>
      <c r="M71" s="65"/>
      <c r="N71" s="65"/>
    </row>
    <row r="72" spans="1:14" ht="11.25" customHeight="1" x14ac:dyDescent="0.2">
      <c r="A72" s="65"/>
      <c r="B72" s="65"/>
      <c r="C72" s="65"/>
      <c r="D72" s="65"/>
      <c r="E72" s="65"/>
      <c r="F72" s="65"/>
      <c r="G72" s="65"/>
      <c r="H72" s="65"/>
      <c r="I72" s="65"/>
      <c r="J72" s="65"/>
      <c r="K72" s="65"/>
      <c r="L72" s="65"/>
      <c r="M72" s="65"/>
      <c r="N72" s="65"/>
    </row>
    <row r="73" spans="1:14" ht="11.25" customHeight="1" x14ac:dyDescent="0.2">
      <c r="A73" s="65"/>
      <c r="B73" s="65"/>
      <c r="C73" s="65"/>
      <c r="D73" s="65"/>
      <c r="E73" s="65"/>
      <c r="F73" s="65"/>
      <c r="G73" s="65"/>
      <c r="H73" s="65"/>
      <c r="I73" s="65"/>
      <c r="J73" s="65"/>
      <c r="K73" s="65"/>
      <c r="L73" s="65"/>
      <c r="M73" s="65"/>
      <c r="N73" s="65"/>
    </row>
    <row r="74" spans="1:14" ht="11.25" customHeight="1" x14ac:dyDescent="0.2">
      <c r="A74" s="65"/>
      <c r="B74" s="65"/>
      <c r="C74" s="65"/>
      <c r="D74" s="65"/>
      <c r="E74" s="65"/>
      <c r="F74" s="65"/>
      <c r="G74" s="65"/>
      <c r="H74" s="65"/>
      <c r="I74" s="65"/>
      <c r="J74" s="65"/>
      <c r="K74" s="65"/>
      <c r="L74" s="65"/>
      <c r="M74" s="65"/>
      <c r="N74" s="65"/>
    </row>
    <row r="75" spans="1:14" ht="11.25" customHeight="1" x14ac:dyDescent="0.2">
      <c r="A75" s="65"/>
      <c r="B75" s="65"/>
      <c r="C75" s="65"/>
      <c r="D75" s="65"/>
      <c r="E75" s="65"/>
      <c r="F75" s="65"/>
      <c r="G75" s="65"/>
      <c r="H75" s="65"/>
      <c r="I75" s="65"/>
      <c r="J75" s="65"/>
      <c r="K75" s="65"/>
      <c r="L75" s="65"/>
      <c r="M75" s="65"/>
      <c r="N75" s="65"/>
    </row>
    <row r="76" spans="1:14" ht="11.25" customHeight="1" x14ac:dyDescent="0.2">
      <c r="A76" s="65"/>
      <c r="B76" s="65"/>
      <c r="C76" s="65"/>
      <c r="D76" s="65"/>
      <c r="E76" s="65"/>
      <c r="F76" s="65"/>
      <c r="G76" s="65"/>
      <c r="H76" s="65"/>
      <c r="I76" s="65"/>
      <c r="J76" s="65"/>
      <c r="K76" s="65"/>
      <c r="L76" s="65"/>
      <c r="M76" s="65"/>
      <c r="N76" s="65"/>
    </row>
    <row r="77" spans="1:14" ht="11.25" customHeight="1" x14ac:dyDescent="0.2">
      <c r="A77" s="65"/>
      <c r="B77" s="65"/>
      <c r="C77" s="65"/>
      <c r="D77" s="65"/>
      <c r="E77" s="65"/>
      <c r="F77" s="65"/>
      <c r="G77" s="65"/>
      <c r="H77" s="65"/>
      <c r="I77" s="65"/>
      <c r="J77" s="65"/>
      <c r="K77" s="65"/>
      <c r="L77" s="65"/>
      <c r="M77" s="65"/>
      <c r="N77" s="65"/>
    </row>
    <row r="78" spans="1:14" ht="11.25" customHeight="1" x14ac:dyDescent="0.2">
      <c r="A78" s="65"/>
      <c r="B78" s="65"/>
      <c r="C78" s="65"/>
      <c r="D78" s="65"/>
      <c r="E78" s="65"/>
      <c r="F78" s="65"/>
      <c r="G78" s="65"/>
      <c r="H78" s="65"/>
      <c r="I78" s="65"/>
      <c r="J78" s="65"/>
      <c r="K78" s="65"/>
      <c r="L78" s="65"/>
      <c r="M78" s="65"/>
      <c r="N78" s="65"/>
    </row>
    <row r="79" spans="1:14" ht="11.25" customHeight="1" x14ac:dyDescent="0.2">
      <c r="A79" s="65"/>
      <c r="B79" s="65"/>
      <c r="C79" s="65"/>
      <c r="D79" s="65"/>
      <c r="E79" s="65"/>
      <c r="F79" s="65"/>
      <c r="G79" s="65"/>
      <c r="H79" s="65"/>
      <c r="I79" s="65"/>
      <c r="J79" s="65"/>
      <c r="K79" s="65"/>
      <c r="L79" s="65"/>
      <c r="M79" s="65"/>
      <c r="N79" s="65"/>
    </row>
    <row r="80" spans="1:14" ht="11.25" customHeight="1" x14ac:dyDescent="0.2">
      <c r="A80" s="65"/>
      <c r="B80" s="65"/>
      <c r="C80" s="65"/>
      <c r="D80" s="65"/>
      <c r="E80" s="65"/>
      <c r="F80" s="65"/>
      <c r="G80" s="65"/>
      <c r="H80" s="65"/>
      <c r="I80" s="65"/>
      <c r="J80" s="65"/>
      <c r="K80" s="65"/>
      <c r="L80" s="65"/>
      <c r="M80" s="65"/>
      <c r="N80" s="65"/>
    </row>
    <row r="81" spans="1:14" ht="11.25" customHeight="1" x14ac:dyDescent="0.2">
      <c r="A81" s="65"/>
      <c r="B81" s="65"/>
      <c r="C81" s="65"/>
      <c r="D81" s="65"/>
      <c r="E81" s="65"/>
      <c r="F81" s="65"/>
      <c r="G81" s="65"/>
      <c r="H81" s="65"/>
      <c r="I81" s="65"/>
      <c r="J81" s="65"/>
      <c r="K81" s="65"/>
      <c r="L81" s="65"/>
      <c r="M81" s="65"/>
      <c r="N81" s="65"/>
    </row>
    <row r="82" spans="1:14" ht="11.25" customHeight="1" x14ac:dyDescent="0.2">
      <c r="A82" s="65"/>
      <c r="B82" s="65"/>
      <c r="C82" s="65"/>
      <c r="D82" s="65"/>
      <c r="E82" s="65"/>
      <c r="F82" s="65"/>
      <c r="G82" s="65"/>
      <c r="H82" s="65"/>
      <c r="I82" s="65"/>
      <c r="J82" s="65"/>
      <c r="K82" s="65"/>
      <c r="L82" s="65"/>
      <c r="M82" s="65"/>
      <c r="N82" s="65"/>
    </row>
    <row r="83" spans="1:14" ht="11.25" customHeight="1" x14ac:dyDescent="0.2">
      <c r="A83" s="65"/>
      <c r="B83" s="65"/>
      <c r="C83" s="65"/>
      <c r="D83" s="65"/>
      <c r="E83" s="65"/>
      <c r="F83" s="65"/>
      <c r="G83" s="65"/>
      <c r="H83" s="65"/>
      <c r="I83" s="65"/>
      <c r="J83" s="65"/>
      <c r="K83" s="65"/>
      <c r="L83" s="65"/>
      <c r="M83" s="65"/>
      <c r="N83" s="65"/>
    </row>
    <row r="84" spans="1:14" ht="11.25" customHeight="1" x14ac:dyDescent="0.2">
      <c r="A84" s="65"/>
      <c r="B84" s="65"/>
      <c r="C84" s="65"/>
      <c r="D84" s="65"/>
      <c r="E84" s="65"/>
      <c r="F84" s="65"/>
      <c r="G84" s="65"/>
      <c r="H84" s="65"/>
      <c r="I84" s="65"/>
      <c r="J84" s="65"/>
      <c r="K84" s="65"/>
      <c r="L84" s="65"/>
      <c r="M84" s="65"/>
      <c r="N84" s="65"/>
    </row>
    <row r="85" spans="1:14" ht="11.25" customHeight="1" x14ac:dyDescent="0.2">
      <c r="A85" s="65"/>
      <c r="B85" s="65"/>
      <c r="C85" s="65"/>
      <c r="D85" s="65"/>
      <c r="E85" s="65"/>
      <c r="F85" s="65"/>
      <c r="G85" s="65"/>
      <c r="H85" s="65"/>
      <c r="I85" s="65"/>
      <c r="J85" s="65"/>
      <c r="K85" s="65"/>
      <c r="L85" s="65"/>
      <c r="M85" s="65"/>
      <c r="N85" s="65"/>
    </row>
    <row r="86" spans="1:14" ht="11.25" customHeight="1" x14ac:dyDescent="0.2">
      <c r="A86" s="65"/>
      <c r="B86" s="65"/>
      <c r="C86" s="65"/>
      <c r="D86" s="65"/>
      <c r="E86" s="65"/>
      <c r="F86" s="65"/>
      <c r="G86" s="65"/>
      <c r="H86" s="65"/>
      <c r="I86" s="65"/>
      <c r="J86" s="65"/>
      <c r="K86" s="65"/>
      <c r="L86" s="65"/>
      <c r="M86" s="65"/>
      <c r="N86" s="65"/>
    </row>
    <row r="87" spans="1:14" ht="11.25" customHeight="1" x14ac:dyDescent="0.2">
      <c r="A87" s="65"/>
      <c r="B87" s="65"/>
      <c r="C87" s="65"/>
      <c r="D87" s="65"/>
      <c r="E87" s="65"/>
      <c r="F87" s="65"/>
      <c r="G87" s="65"/>
      <c r="H87" s="65"/>
      <c r="I87" s="65"/>
      <c r="J87" s="65"/>
      <c r="K87" s="65"/>
      <c r="L87" s="65"/>
      <c r="M87" s="65"/>
      <c r="N87" s="65"/>
    </row>
    <row r="88" spans="1:14" ht="11.25" customHeight="1" x14ac:dyDescent="0.2">
      <c r="A88" s="65"/>
      <c r="B88" s="65"/>
      <c r="C88" s="65"/>
      <c r="D88" s="65"/>
      <c r="E88" s="65"/>
      <c r="F88" s="65"/>
      <c r="G88" s="65"/>
      <c r="H88" s="65"/>
      <c r="I88" s="65"/>
      <c r="J88" s="65"/>
      <c r="K88" s="65"/>
      <c r="L88" s="65"/>
      <c r="M88" s="65"/>
      <c r="N88" s="65"/>
    </row>
    <row r="89" spans="1:14" ht="11.25" customHeight="1" x14ac:dyDescent="0.2">
      <c r="A89" s="65"/>
      <c r="B89" s="65"/>
      <c r="C89" s="65"/>
      <c r="D89" s="65"/>
      <c r="E89" s="65"/>
      <c r="F89" s="65"/>
      <c r="G89" s="65"/>
      <c r="H89" s="65"/>
      <c r="I89" s="65"/>
      <c r="J89" s="65"/>
      <c r="K89" s="65"/>
      <c r="L89" s="65"/>
      <c r="M89" s="65"/>
      <c r="N89" s="65"/>
    </row>
    <row r="90" spans="1:14" ht="11.25" customHeight="1" x14ac:dyDescent="0.2">
      <c r="A90" s="65"/>
      <c r="B90" s="65"/>
      <c r="C90" s="65"/>
      <c r="D90" s="65"/>
      <c r="E90" s="65"/>
      <c r="F90" s="65"/>
      <c r="G90" s="65"/>
      <c r="H90" s="65"/>
      <c r="I90" s="65"/>
      <c r="J90" s="65"/>
      <c r="K90" s="65"/>
      <c r="L90" s="65"/>
      <c r="M90" s="65"/>
      <c r="N90" s="65"/>
    </row>
    <row r="91" spans="1:14" ht="11.25" customHeight="1" x14ac:dyDescent="0.2">
      <c r="A91" s="65"/>
      <c r="B91" s="65"/>
      <c r="C91" s="65"/>
      <c r="D91" s="65"/>
      <c r="E91" s="65"/>
      <c r="F91" s="65"/>
      <c r="G91" s="65"/>
      <c r="H91" s="65"/>
      <c r="I91" s="65"/>
      <c r="J91" s="65"/>
      <c r="K91" s="65"/>
      <c r="L91" s="65"/>
      <c r="M91" s="65"/>
      <c r="N91" s="65"/>
    </row>
    <row r="92" spans="1:14" ht="11.25" customHeight="1" x14ac:dyDescent="0.2">
      <c r="A92" s="65"/>
      <c r="B92" s="65"/>
      <c r="C92" s="65"/>
      <c r="D92" s="65"/>
      <c r="E92" s="65"/>
      <c r="F92" s="65"/>
      <c r="G92" s="65"/>
      <c r="H92" s="65"/>
      <c r="I92" s="65"/>
      <c r="J92" s="65"/>
      <c r="K92" s="65"/>
      <c r="L92" s="65"/>
      <c r="M92" s="65"/>
      <c r="N92" s="65"/>
    </row>
    <row r="93" spans="1:14" ht="11.25" customHeight="1" x14ac:dyDescent="0.2">
      <c r="A93" s="65"/>
      <c r="B93" s="65"/>
      <c r="C93" s="65"/>
      <c r="D93" s="65"/>
      <c r="E93" s="65"/>
      <c r="F93" s="65"/>
      <c r="G93" s="65"/>
      <c r="H93" s="65"/>
      <c r="I93" s="65"/>
      <c r="J93" s="65"/>
      <c r="K93" s="65"/>
      <c r="L93" s="65"/>
      <c r="M93" s="65"/>
      <c r="N93" s="65"/>
    </row>
    <row r="94" spans="1:14" ht="11.25" customHeight="1" x14ac:dyDescent="0.2">
      <c r="A94" s="65"/>
      <c r="B94" s="65"/>
      <c r="C94" s="65"/>
      <c r="D94" s="65"/>
      <c r="E94" s="65"/>
      <c r="F94" s="65"/>
      <c r="G94" s="65"/>
      <c r="H94" s="65"/>
      <c r="I94" s="65"/>
      <c r="J94" s="65"/>
      <c r="K94" s="65"/>
      <c r="L94" s="65"/>
      <c r="M94" s="65"/>
      <c r="N94" s="65"/>
    </row>
    <row r="95" spans="1:14" ht="11.25" customHeight="1" x14ac:dyDescent="0.2">
      <c r="A95" s="65"/>
      <c r="B95" s="65"/>
      <c r="C95" s="65"/>
      <c r="D95" s="65"/>
      <c r="E95" s="65"/>
      <c r="F95" s="65"/>
      <c r="G95" s="65"/>
      <c r="H95" s="65"/>
      <c r="I95" s="65"/>
      <c r="J95" s="65"/>
      <c r="K95" s="65"/>
      <c r="L95" s="65"/>
      <c r="M95" s="65"/>
      <c r="N95" s="65"/>
    </row>
    <row r="96" spans="1:14" ht="11.25" customHeight="1" x14ac:dyDescent="0.2">
      <c r="A96" s="65"/>
      <c r="B96" s="65"/>
      <c r="C96" s="65"/>
      <c r="D96" s="65"/>
      <c r="E96" s="65"/>
      <c r="F96" s="65"/>
      <c r="G96" s="65"/>
      <c r="H96" s="65"/>
      <c r="I96" s="65"/>
      <c r="J96" s="65"/>
      <c r="K96" s="65"/>
      <c r="L96" s="65"/>
      <c r="M96" s="65"/>
      <c r="N96" s="65"/>
    </row>
    <row r="97" spans="1:14" ht="11.25" customHeight="1" x14ac:dyDescent="0.2">
      <c r="A97" s="65"/>
      <c r="B97" s="65"/>
      <c r="C97" s="65"/>
      <c r="D97" s="65"/>
      <c r="E97" s="65"/>
      <c r="F97" s="65"/>
      <c r="G97" s="65"/>
      <c r="H97" s="65"/>
      <c r="I97" s="65"/>
      <c r="J97" s="65"/>
      <c r="K97" s="65"/>
      <c r="L97" s="65"/>
      <c r="M97" s="65"/>
      <c r="N97" s="65"/>
    </row>
    <row r="98" spans="1:14" ht="11.25" customHeight="1" x14ac:dyDescent="0.2">
      <c r="A98" s="65"/>
      <c r="B98" s="65"/>
      <c r="C98" s="65"/>
      <c r="D98" s="65"/>
      <c r="E98" s="65"/>
      <c r="F98" s="65"/>
      <c r="G98" s="65"/>
      <c r="H98" s="65"/>
      <c r="I98" s="65"/>
      <c r="J98" s="65"/>
      <c r="K98" s="65"/>
      <c r="L98" s="65"/>
      <c r="M98" s="65"/>
      <c r="N98" s="65"/>
    </row>
    <row r="99" spans="1:14" ht="11.25" customHeight="1" x14ac:dyDescent="0.2">
      <c r="A99" s="65"/>
      <c r="B99" s="65"/>
      <c r="C99" s="65"/>
      <c r="D99" s="65"/>
      <c r="E99" s="65"/>
      <c r="F99" s="65"/>
      <c r="G99" s="65"/>
      <c r="H99" s="65"/>
      <c r="I99" s="65"/>
      <c r="J99" s="65"/>
      <c r="K99" s="65"/>
      <c r="L99" s="65"/>
      <c r="M99" s="65"/>
      <c r="N99" s="65"/>
    </row>
    <row r="100" spans="1:14" ht="11.25" customHeight="1" x14ac:dyDescent="0.2">
      <c r="A100" s="65"/>
      <c r="B100" s="65"/>
      <c r="C100" s="65"/>
      <c r="D100" s="65"/>
      <c r="E100" s="65"/>
      <c r="F100" s="65"/>
      <c r="G100" s="65"/>
      <c r="H100" s="65"/>
      <c r="I100" s="65"/>
      <c r="J100" s="65"/>
      <c r="K100" s="65"/>
      <c r="L100" s="65"/>
      <c r="M100" s="65"/>
      <c r="N100" s="65"/>
    </row>
  </sheetData>
  <mergeCells count="4">
    <mergeCell ref="A4:A5"/>
    <mergeCell ref="B4:E4"/>
    <mergeCell ref="F4:H4"/>
    <mergeCell ref="I4:N4"/>
  </mergeCells>
  <pageMargins left="0.23622047244094491" right="0.23622047244094491" top="0.74803149606299213" bottom="0.74803149606299213" header="0" footer="0"/>
  <pageSetup paperSize="9" orientation="portrait"/>
  <headerFooter>
    <oddHeader>&amp;CPROYECTO DE PRESUPUESTO 2021</oddHeader>
    <oddFooter>&amp;LPROYECTO DE PRESUPUESTO PARA EL AÑO FISCAL 2021 INFORMACIÓN PARA LA COMISIÓN DE PRESUPUESTO Y CUENTA GENERAL DE LA REPÚBLICA DEL CONGRESO DE LA REPÚBLICA</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V100"/>
  <sheetViews>
    <sheetView showGridLines="0" workbookViewId="0"/>
  </sheetViews>
  <sheetFormatPr baseColWidth="10" defaultColWidth="14.42578125" defaultRowHeight="15" customHeight="1" x14ac:dyDescent="0.2"/>
  <cols>
    <col min="1" max="1" width="31.140625" customWidth="1"/>
    <col min="2" max="2" width="5.42578125" customWidth="1"/>
    <col min="3" max="3" width="9.42578125" customWidth="1"/>
    <col min="4" max="4" width="9" customWidth="1"/>
    <col min="5" max="5" width="10" customWidth="1"/>
    <col min="6" max="6" width="9.28515625" customWidth="1"/>
    <col min="7" max="7" width="10" customWidth="1"/>
    <col min="8" max="8" width="10.42578125" customWidth="1"/>
    <col min="9" max="9" width="11.140625" customWidth="1"/>
    <col min="10" max="10" width="5.28515625" customWidth="1"/>
    <col min="11" max="11" width="11.42578125" customWidth="1"/>
    <col min="12" max="12" width="5.28515625" customWidth="1"/>
    <col min="13" max="13" width="11.5703125" customWidth="1"/>
    <col min="14" max="15" width="6.5703125" customWidth="1"/>
    <col min="16" max="16" width="11.42578125" customWidth="1"/>
    <col min="17" max="17" width="7" customWidth="1"/>
    <col min="18" max="22" width="11.28515625" customWidth="1"/>
  </cols>
  <sheetData>
    <row r="1" spans="1:22" ht="11.25" customHeight="1" x14ac:dyDescent="0.25">
      <c r="A1" s="194" t="s">
        <v>369</v>
      </c>
      <c r="B1" s="195"/>
      <c r="C1" s="195"/>
      <c r="D1" s="195"/>
      <c r="E1" s="195"/>
      <c r="F1" s="65"/>
      <c r="G1" s="65"/>
      <c r="H1" s="65"/>
      <c r="I1" s="65"/>
      <c r="J1" s="65"/>
      <c r="K1" s="65"/>
      <c r="L1" s="65"/>
      <c r="M1" s="65"/>
      <c r="N1" s="65"/>
      <c r="O1" s="65"/>
      <c r="P1" s="65"/>
      <c r="Q1" s="65"/>
      <c r="R1" s="65"/>
      <c r="S1" s="65"/>
      <c r="T1" s="65"/>
      <c r="U1" s="65"/>
      <c r="V1" s="65"/>
    </row>
    <row r="2" spans="1:22" ht="11.25" customHeight="1" x14ac:dyDescent="0.2">
      <c r="A2" s="16" t="s">
        <v>242</v>
      </c>
      <c r="B2" s="66"/>
      <c r="C2" s="66"/>
      <c r="D2" s="66"/>
      <c r="E2" s="66"/>
      <c r="F2" s="66"/>
      <c r="G2" s="66"/>
      <c r="H2" s="66"/>
      <c r="I2" s="66"/>
      <c r="J2" s="66"/>
      <c r="K2" s="66"/>
      <c r="L2" s="66"/>
      <c r="M2" s="66"/>
      <c r="N2" s="66"/>
      <c r="O2" s="66"/>
      <c r="P2" s="66"/>
      <c r="Q2" s="66"/>
      <c r="R2" s="66"/>
      <c r="S2" s="66"/>
      <c r="T2" s="66"/>
      <c r="U2" s="66"/>
      <c r="V2" s="66"/>
    </row>
    <row r="3" spans="1:22" ht="8.25" customHeight="1" x14ac:dyDescent="0.2">
      <c r="A3" s="16"/>
      <c r="B3" s="66"/>
      <c r="C3" s="66"/>
      <c r="D3" s="66"/>
      <c r="E3" s="66"/>
      <c r="F3" s="66"/>
      <c r="G3" s="66"/>
      <c r="H3" s="66"/>
      <c r="I3" s="66"/>
      <c r="J3" s="66"/>
      <c r="K3" s="66"/>
      <c r="L3" s="66"/>
      <c r="M3" s="66"/>
      <c r="N3" s="66"/>
      <c r="O3" s="66"/>
      <c r="P3" s="66"/>
      <c r="Q3" s="66"/>
      <c r="R3" s="66"/>
      <c r="S3" s="66"/>
      <c r="T3" s="66"/>
      <c r="U3" s="66"/>
      <c r="V3" s="66"/>
    </row>
    <row r="4" spans="1:22" ht="27" customHeight="1" x14ac:dyDescent="0.2">
      <c r="A4" s="825" t="s">
        <v>370</v>
      </c>
      <c r="B4" s="826" t="s">
        <v>371</v>
      </c>
      <c r="C4" s="824"/>
      <c r="D4" s="824"/>
      <c r="E4" s="824"/>
      <c r="F4" s="824"/>
      <c r="G4" s="824"/>
      <c r="H4" s="814"/>
      <c r="I4" s="826" t="s">
        <v>372</v>
      </c>
      <c r="J4" s="824"/>
      <c r="K4" s="824"/>
      <c r="L4" s="824"/>
      <c r="M4" s="814"/>
      <c r="N4" s="827" t="s">
        <v>373</v>
      </c>
      <c r="O4" s="814"/>
      <c r="P4" s="826" t="s">
        <v>284</v>
      </c>
      <c r="Q4" s="814"/>
      <c r="R4" s="65"/>
      <c r="S4" s="65"/>
      <c r="T4" s="65"/>
      <c r="U4" s="65"/>
      <c r="V4" s="65"/>
    </row>
    <row r="5" spans="1:22" ht="88.5" customHeight="1" x14ac:dyDescent="0.2">
      <c r="A5" s="820"/>
      <c r="B5" s="196" t="s">
        <v>374</v>
      </c>
      <c r="C5" s="197" t="s">
        <v>375</v>
      </c>
      <c r="D5" s="196" t="s">
        <v>376</v>
      </c>
      <c r="E5" s="196" t="s">
        <v>377</v>
      </c>
      <c r="F5" s="196" t="s">
        <v>378</v>
      </c>
      <c r="G5" s="198" t="s">
        <v>379</v>
      </c>
      <c r="H5" s="198" t="s">
        <v>380</v>
      </c>
      <c r="I5" s="196" t="s">
        <v>381</v>
      </c>
      <c r="J5" s="198" t="s">
        <v>379</v>
      </c>
      <c r="K5" s="198" t="s">
        <v>382</v>
      </c>
      <c r="L5" s="198" t="s">
        <v>383</v>
      </c>
      <c r="M5" s="198" t="s">
        <v>384</v>
      </c>
      <c r="N5" s="198" t="s">
        <v>385</v>
      </c>
      <c r="O5" s="197" t="s">
        <v>386</v>
      </c>
      <c r="P5" s="196" t="s">
        <v>387</v>
      </c>
      <c r="Q5" s="198" t="s">
        <v>388</v>
      </c>
      <c r="R5" s="199"/>
      <c r="S5" s="199"/>
      <c r="T5" s="199"/>
      <c r="U5" s="199"/>
      <c r="V5" s="199"/>
    </row>
    <row r="6" spans="1:22" ht="11.25" customHeight="1" x14ac:dyDescent="0.2">
      <c r="A6" s="200"/>
      <c r="B6" s="201"/>
      <c r="C6" s="202"/>
      <c r="D6" s="201"/>
      <c r="E6" s="203"/>
      <c r="F6" s="203"/>
      <c r="G6" s="203"/>
      <c r="H6" s="204"/>
      <c r="I6" s="203"/>
      <c r="J6" s="203"/>
      <c r="K6" s="203"/>
      <c r="L6" s="203"/>
      <c r="M6" s="204"/>
      <c r="N6" s="203"/>
      <c r="O6" s="203"/>
      <c r="P6" s="205"/>
      <c r="Q6" s="200"/>
      <c r="R6" s="65"/>
      <c r="S6" s="65"/>
      <c r="T6" s="65"/>
      <c r="U6" s="65"/>
      <c r="V6" s="65"/>
    </row>
    <row r="7" spans="1:22" ht="15.75" customHeight="1" x14ac:dyDescent="0.2">
      <c r="A7" s="200" t="s">
        <v>389</v>
      </c>
      <c r="B7" s="201">
        <v>0</v>
      </c>
      <c r="C7" s="202">
        <v>29349478</v>
      </c>
      <c r="D7" s="201">
        <v>2701065</v>
      </c>
      <c r="E7" s="203">
        <v>452803292</v>
      </c>
      <c r="F7" s="203">
        <v>26303181</v>
      </c>
      <c r="G7" s="203">
        <v>229311000</v>
      </c>
      <c r="H7" s="204">
        <f>SUM(B7:G7)</f>
        <v>740468016</v>
      </c>
      <c r="I7" s="203">
        <v>843420800</v>
      </c>
      <c r="J7" s="203">
        <v>0</v>
      </c>
      <c r="K7" s="203">
        <v>117535819</v>
      </c>
      <c r="L7" s="203">
        <v>0</v>
      </c>
      <c r="M7" s="204">
        <f>SUM(I7:L7)</f>
        <v>960956619</v>
      </c>
      <c r="N7" s="203">
        <v>0</v>
      </c>
      <c r="O7" s="203">
        <v>0</v>
      </c>
      <c r="P7" s="205">
        <f>M7+H7</f>
        <v>1701424635</v>
      </c>
      <c r="Q7" s="206">
        <f>P7/P25</f>
        <v>0.5070925096929908</v>
      </c>
      <c r="R7" s="65"/>
      <c r="S7" s="65"/>
      <c r="T7" s="65"/>
      <c r="U7" s="65"/>
      <c r="V7" s="65"/>
    </row>
    <row r="8" spans="1:22" ht="11.25" customHeight="1" x14ac:dyDescent="0.2">
      <c r="A8" s="200"/>
      <c r="B8" s="201"/>
      <c r="C8" s="202"/>
      <c r="D8" s="201"/>
      <c r="E8" s="203"/>
      <c r="F8" s="203"/>
      <c r="G8" s="203"/>
      <c r="H8" s="204"/>
      <c r="I8" s="203"/>
      <c r="J8" s="203"/>
      <c r="K8" s="203"/>
      <c r="L8" s="203"/>
      <c r="M8" s="204"/>
      <c r="N8" s="203"/>
      <c r="O8" s="203"/>
      <c r="P8" s="205"/>
      <c r="Q8" s="200"/>
      <c r="R8" s="65"/>
      <c r="S8" s="65"/>
      <c r="T8" s="65"/>
      <c r="U8" s="65"/>
      <c r="V8" s="65"/>
    </row>
    <row r="9" spans="1:22" ht="15.75" customHeight="1" x14ac:dyDescent="0.2">
      <c r="A9" s="200" t="s">
        <v>390</v>
      </c>
      <c r="B9" s="201">
        <v>0</v>
      </c>
      <c r="C9" s="202">
        <v>12601944</v>
      </c>
      <c r="D9" s="201">
        <v>286767</v>
      </c>
      <c r="E9" s="203">
        <v>115434711</v>
      </c>
      <c r="F9" s="203">
        <v>121881</v>
      </c>
      <c r="G9" s="203">
        <v>749708</v>
      </c>
      <c r="H9" s="204">
        <f>SUM(B9:G9)</f>
        <v>129195011</v>
      </c>
      <c r="I9" s="203">
        <v>0</v>
      </c>
      <c r="J9" s="203">
        <v>0</v>
      </c>
      <c r="K9" s="203">
        <v>34576749</v>
      </c>
      <c r="L9" s="203">
        <v>0</v>
      </c>
      <c r="M9" s="204">
        <f>SUM(I9:L9)</f>
        <v>34576749</v>
      </c>
      <c r="N9" s="203">
        <v>0</v>
      </c>
      <c r="O9" s="203">
        <v>0</v>
      </c>
      <c r="P9" s="205">
        <f>M9+H9</f>
        <v>163771760</v>
      </c>
      <c r="Q9" s="206">
        <f>P9/$P$25</f>
        <v>4.8810526829616618E-2</v>
      </c>
      <c r="R9" s="65"/>
      <c r="S9" s="65"/>
      <c r="T9" s="65"/>
      <c r="U9" s="65"/>
      <c r="V9" s="65"/>
    </row>
    <row r="10" spans="1:22" ht="11.25" customHeight="1" x14ac:dyDescent="0.2">
      <c r="A10" s="200"/>
      <c r="B10" s="201"/>
      <c r="C10" s="202"/>
      <c r="D10" s="201"/>
      <c r="E10" s="203"/>
      <c r="F10" s="203"/>
      <c r="G10" s="203"/>
      <c r="H10" s="204"/>
      <c r="I10" s="203"/>
      <c r="J10" s="203"/>
      <c r="K10" s="203"/>
      <c r="L10" s="203"/>
      <c r="M10" s="204"/>
      <c r="N10" s="203"/>
      <c r="O10" s="203"/>
      <c r="P10" s="205"/>
      <c r="Q10" s="200"/>
      <c r="R10" s="65"/>
      <c r="S10" s="65"/>
      <c r="T10" s="65"/>
      <c r="U10" s="65"/>
      <c r="V10" s="65"/>
    </row>
    <row r="11" spans="1:22" ht="15.75" customHeight="1" x14ac:dyDescent="0.2">
      <c r="A11" s="200" t="s">
        <v>391</v>
      </c>
      <c r="B11" s="201">
        <v>0</v>
      </c>
      <c r="C11" s="202">
        <v>0</v>
      </c>
      <c r="D11" s="201">
        <v>0</v>
      </c>
      <c r="E11" s="203">
        <v>0</v>
      </c>
      <c r="F11" s="203">
        <v>0</v>
      </c>
      <c r="G11" s="203">
        <v>0</v>
      </c>
      <c r="H11" s="204">
        <f>SUM(B11:G11)</f>
        <v>0</v>
      </c>
      <c r="I11" s="203">
        <v>200000000</v>
      </c>
      <c r="J11" s="203">
        <v>0</v>
      </c>
      <c r="K11" s="203">
        <v>1284404957</v>
      </c>
      <c r="L11" s="203">
        <v>0</v>
      </c>
      <c r="M11" s="204">
        <f>SUM(I11:L11)</f>
        <v>1484404957</v>
      </c>
      <c r="N11" s="203">
        <v>0</v>
      </c>
      <c r="O11" s="203">
        <v>0</v>
      </c>
      <c r="P11" s="205">
        <f>M11+H11</f>
        <v>1484404957</v>
      </c>
      <c r="Q11" s="206">
        <f>P11/$P$25</f>
        <v>0.44241197615305838</v>
      </c>
      <c r="R11" s="65"/>
      <c r="S11" s="65"/>
      <c r="T11" s="65"/>
      <c r="U11" s="65"/>
      <c r="V11" s="65"/>
    </row>
    <row r="12" spans="1:22" ht="11.25" customHeight="1" x14ac:dyDescent="0.2">
      <c r="A12" s="200" t="s">
        <v>392</v>
      </c>
      <c r="B12" s="201"/>
      <c r="C12" s="202"/>
      <c r="D12" s="201"/>
      <c r="E12" s="203"/>
      <c r="F12" s="203"/>
      <c r="G12" s="203"/>
      <c r="H12" s="204"/>
      <c r="I12" s="203"/>
      <c r="J12" s="203"/>
      <c r="K12" s="203"/>
      <c r="L12" s="203"/>
      <c r="M12" s="204"/>
      <c r="N12" s="203"/>
      <c r="O12" s="203"/>
      <c r="P12" s="205"/>
      <c r="Q12" s="200"/>
      <c r="R12" s="65"/>
      <c r="S12" s="65"/>
      <c r="T12" s="65"/>
      <c r="U12" s="65"/>
      <c r="V12" s="65"/>
    </row>
    <row r="13" spans="1:22" ht="11.25" customHeight="1" x14ac:dyDescent="0.2">
      <c r="A13" s="207"/>
      <c r="B13" s="201"/>
      <c r="C13" s="202"/>
      <c r="D13" s="201"/>
      <c r="E13" s="203"/>
      <c r="F13" s="203"/>
      <c r="G13" s="203"/>
      <c r="H13" s="204"/>
      <c r="I13" s="203"/>
      <c r="J13" s="203"/>
      <c r="K13" s="203"/>
      <c r="L13" s="203"/>
      <c r="M13" s="204"/>
      <c r="N13" s="203"/>
      <c r="O13" s="203"/>
      <c r="P13" s="205"/>
      <c r="Q13" s="200"/>
      <c r="R13" s="65"/>
      <c r="S13" s="65"/>
      <c r="T13" s="65"/>
      <c r="U13" s="65"/>
      <c r="V13" s="65"/>
    </row>
    <row r="14" spans="1:22" ht="15.75" customHeight="1" x14ac:dyDescent="0.2">
      <c r="A14" s="200" t="s">
        <v>393</v>
      </c>
      <c r="B14" s="201">
        <v>0</v>
      </c>
      <c r="C14" s="202">
        <v>0</v>
      </c>
      <c r="D14" s="201">
        <v>0</v>
      </c>
      <c r="E14" s="203">
        <v>5653562</v>
      </c>
      <c r="F14" s="203">
        <v>0</v>
      </c>
      <c r="G14" s="203">
        <v>0</v>
      </c>
      <c r="H14" s="204">
        <f>SUM(B14:G14)</f>
        <v>5653562</v>
      </c>
      <c r="I14" s="203">
        <v>0</v>
      </c>
      <c r="J14" s="203">
        <v>0</v>
      </c>
      <c r="K14" s="203">
        <v>0</v>
      </c>
      <c r="L14" s="203">
        <v>0</v>
      </c>
      <c r="M14" s="204">
        <f>SUM(I14:L14)</f>
        <v>0</v>
      </c>
      <c r="N14" s="203">
        <v>0</v>
      </c>
      <c r="O14" s="203">
        <v>0</v>
      </c>
      <c r="P14" s="205">
        <f>M14+H14</f>
        <v>5653562</v>
      </c>
      <c r="Q14" s="206">
        <f>P14/$P$25</f>
        <v>1.6849873243341893E-3</v>
      </c>
      <c r="R14" s="65"/>
      <c r="S14" s="65"/>
      <c r="T14" s="65"/>
      <c r="U14" s="65"/>
      <c r="V14" s="65"/>
    </row>
    <row r="15" spans="1:22" ht="11.25" customHeight="1" x14ac:dyDescent="0.2">
      <c r="A15" s="200"/>
      <c r="B15" s="201"/>
      <c r="C15" s="202"/>
      <c r="D15" s="201"/>
      <c r="E15" s="203"/>
      <c r="F15" s="203"/>
      <c r="G15" s="203"/>
      <c r="H15" s="204"/>
      <c r="I15" s="203"/>
      <c r="J15" s="203"/>
      <c r="K15" s="203"/>
      <c r="L15" s="203"/>
      <c r="M15" s="204"/>
      <c r="N15" s="203"/>
      <c r="O15" s="203"/>
      <c r="P15" s="205"/>
      <c r="Q15" s="200"/>
      <c r="R15" s="65"/>
      <c r="S15" s="65"/>
      <c r="T15" s="65"/>
      <c r="U15" s="65"/>
      <c r="V15" s="65"/>
    </row>
    <row r="16" spans="1:22" ht="15.75" customHeight="1" x14ac:dyDescent="0.2">
      <c r="A16" s="200" t="s">
        <v>394</v>
      </c>
      <c r="B16" s="201">
        <v>0</v>
      </c>
      <c r="C16" s="202">
        <v>0</v>
      </c>
      <c r="D16" s="201">
        <v>0</v>
      </c>
      <c r="E16" s="203">
        <v>0</v>
      </c>
      <c r="F16" s="203">
        <v>0</v>
      </c>
      <c r="G16" s="203">
        <v>0</v>
      </c>
      <c r="H16" s="204">
        <f>SUM(B16:G16)</f>
        <v>0</v>
      </c>
      <c r="I16" s="203">
        <v>0</v>
      </c>
      <c r="J16" s="203">
        <v>0</v>
      </c>
      <c r="K16" s="203">
        <v>0</v>
      </c>
      <c r="L16" s="203">
        <v>0</v>
      </c>
      <c r="M16" s="204">
        <f>SUM(I16:L16)</f>
        <v>0</v>
      </c>
      <c r="N16" s="203">
        <v>0</v>
      </c>
      <c r="O16" s="203">
        <v>0</v>
      </c>
      <c r="P16" s="205">
        <f>M16+H16</f>
        <v>0</v>
      </c>
      <c r="Q16" s="206">
        <f>P16/$P$25</f>
        <v>0</v>
      </c>
      <c r="R16" s="65"/>
      <c r="S16" s="65"/>
      <c r="T16" s="65"/>
      <c r="U16" s="65"/>
      <c r="V16" s="65"/>
    </row>
    <row r="17" spans="1:22" ht="11.25" customHeight="1" x14ac:dyDescent="0.2">
      <c r="A17" s="200"/>
      <c r="B17" s="201"/>
      <c r="C17" s="202"/>
      <c r="D17" s="201"/>
      <c r="E17" s="203"/>
      <c r="F17" s="203"/>
      <c r="G17" s="203"/>
      <c r="H17" s="204"/>
      <c r="I17" s="203"/>
      <c r="J17" s="203"/>
      <c r="K17" s="203"/>
      <c r="L17" s="203"/>
      <c r="M17" s="204"/>
      <c r="N17" s="203"/>
      <c r="O17" s="203"/>
      <c r="P17" s="205"/>
      <c r="Q17" s="200"/>
      <c r="R17" s="65"/>
      <c r="S17" s="65"/>
      <c r="T17" s="65"/>
      <c r="U17" s="65"/>
      <c r="V17" s="65"/>
    </row>
    <row r="18" spans="1:22" ht="15.75" customHeight="1" x14ac:dyDescent="0.2">
      <c r="A18" s="200" t="s">
        <v>395</v>
      </c>
      <c r="B18" s="201">
        <v>0</v>
      </c>
      <c r="C18" s="202">
        <v>0</v>
      </c>
      <c r="D18" s="201">
        <v>0</v>
      </c>
      <c r="E18" s="203">
        <v>0</v>
      </c>
      <c r="F18" s="203">
        <v>0</v>
      </c>
      <c r="G18" s="203">
        <v>0</v>
      </c>
      <c r="H18" s="204">
        <f>SUM(B18:G18)</f>
        <v>0</v>
      </c>
      <c r="I18" s="203">
        <v>0</v>
      </c>
      <c r="J18" s="203">
        <v>0</v>
      </c>
      <c r="K18" s="203">
        <v>0</v>
      </c>
      <c r="L18" s="203">
        <v>0</v>
      </c>
      <c r="M18" s="204">
        <f>SUM(I18:L18)</f>
        <v>0</v>
      </c>
      <c r="N18" s="203">
        <v>0</v>
      </c>
      <c r="O18" s="203">
        <v>0</v>
      </c>
      <c r="P18" s="205">
        <f>M18+H18</f>
        <v>0</v>
      </c>
      <c r="Q18" s="206">
        <f>P18/$P$25</f>
        <v>0</v>
      </c>
      <c r="R18" s="65"/>
      <c r="S18" s="65"/>
      <c r="T18" s="65"/>
      <c r="U18" s="65"/>
      <c r="V18" s="65"/>
    </row>
    <row r="19" spans="1:22" ht="11.25" customHeight="1" x14ac:dyDescent="0.2">
      <c r="A19" s="200" t="s">
        <v>396</v>
      </c>
      <c r="B19" s="201"/>
      <c r="C19" s="202"/>
      <c r="D19" s="201"/>
      <c r="E19" s="203"/>
      <c r="F19" s="203"/>
      <c r="G19" s="203"/>
      <c r="H19" s="204"/>
      <c r="I19" s="203"/>
      <c r="J19" s="203"/>
      <c r="K19" s="203"/>
      <c r="L19" s="203"/>
      <c r="M19" s="204"/>
      <c r="N19" s="203"/>
      <c r="O19" s="203"/>
      <c r="P19" s="205"/>
      <c r="Q19" s="200"/>
      <c r="R19" s="65"/>
      <c r="S19" s="65"/>
      <c r="T19" s="65"/>
      <c r="U19" s="65"/>
      <c r="V19" s="65"/>
    </row>
    <row r="20" spans="1:22" ht="11.25" customHeight="1" x14ac:dyDescent="0.2">
      <c r="A20" s="200" t="s">
        <v>397</v>
      </c>
      <c r="B20" s="201"/>
      <c r="C20" s="202"/>
      <c r="D20" s="201"/>
      <c r="E20" s="203"/>
      <c r="F20" s="203"/>
      <c r="G20" s="203"/>
      <c r="H20" s="204"/>
      <c r="I20" s="203"/>
      <c r="J20" s="203"/>
      <c r="K20" s="203"/>
      <c r="L20" s="203"/>
      <c r="M20" s="204"/>
      <c r="N20" s="203"/>
      <c r="O20" s="203"/>
      <c r="P20" s="205"/>
      <c r="Q20" s="200"/>
      <c r="R20" s="65"/>
      <c r="S20" s="65"/>
      <c r="T20" s="65"/>
      <c r="U20" s="65"/>
      <c r="V20" s="65"/>
    </row>
    <row r="21" spans="1:22" ht="11.25" customHeight="1" x14ac:dyDescent="0.2">
      <c r="A21" s="200" t="s">
        <v>398</v>
      </c>
      <c r="B21" s="201"/>
      <c r="C21" s="202"/>
      <c r="D21" s="201"/>
      <c r="E21" s="203"/>
      <c r="F21" s="203"/>
      <c r="G21" s="203"/>
      <c r="H21" s="204"/>
      <c r="I21" s="203"/>
      <c r="J21" s="203"/>
      <c r="K21" s="203"/>
      <c r="L21" s="203"/>
      <c r="M21" s="204"/>
      <c r="N21" s="203"/>
      <c r="O21" s="203"/>
      <c r="P21" s="205"/>
      <c r="Q21" s="200"/>
      <c r="R21" s="65"/>
      <c r="S21" s="65"/>
      <c r="T21" s="65"/>
      <c r="U21" s="65"/>
      <c r="V21" s="65"/>
    </row>
    <row r="22" spans="1:22" ht="11.25" customHeight="1" x14ac:dyDescent="0.2">
      <c r="A22" s="200" t="s">
        <v>399</v>
      </c>
      <c r="B22" s="201"/>
      <c r="C22" s="202"/>
      <c r="D22" s="201"/>
      <c r="E22" s="203"/>
      <c r="F22" s="203"/>
      <c r="G22" s="203"/>
      <c r="H22" s="204"/>
      <c r="I22" s="203"/>
      <c r="J22" s="203"/>
      <c r="K22" s="203"/>
      <c r="L22" s="203"/>
      <c r="M22" s="204"/>
      <c r="N22" s="203"/>
      <c r="O22" s="203"/>
      <c r="P22" s="205"/>
      <c r="Q22" s="200"/>
      <c r="R22" s="65"/>
      <c r="S22" s="65"/>
      <c r="T22" s="65"/>
      <c r="U22" s="65"/>
      <c r="V22" s="65"/>
    </row>
    <row r="23" spans="1:22" ht="11.25" customHeight="1" x14ac:dyDescent="0.2">
      <c r="A23" s="200" t="s">
        <v>400</v>
      </c>
      <c r="B23" s="201"/>
      <c r="C23" s="202"/>
      <c r="D23" s="201"/>
      <c r="E23" s="203"/>
      <c r="F23" s="203"/>
      <c r="G23" s="203"/>
      <c r="H23" s="204"/>
      <c r="I23" s="203"/>
      <c r="J23" s="203"/>
      <c r="K23" s="203"/>
      <c r="L23" s="203"/>
      <c r="M23" s="204"/>
      <c r="N23" s="203"/>
      <c r="O23" s="203"/>
      <c r="P23" s="205"/>
      <c r="Q23" s="200"/>
      <c r="R23" s="65"/>
      <c r="S23" s="65"/>
      <c r="T23" s="65"/>
      <c r="U23" s="65"/>
      <c r="V23" s="65"/>
    </row>
    <row r="24" spans="1:22" ht="11.25" customHeight="1" x14ac:dyDescent="0.2">
      <c r="A24" s="208"/>
      <c r="B24" s="209"/>
      <c r="C24" s="202"/>
      <c r="D24" s="201"/>
      <c r="E24" s="203"/>
      <c r="F24" s="203"/>
      <c r="G24" s="203"/>
      <c r="H24" s="204"/>
      <c r="I24" s="203"/>
      <c r="J24" s="203"/>
      <c r="K24" s="203"/>
      <c r="L24" s="203"/>
      <c r="M24" s="204"/>
      <c r="N24" s="203"/>
      <c r="O24" s="203"/>
      <c r="P24" s="205"/>
      <c r="Q24" s="200"/>
      <c r="R24" s="65"/>
      <c r="S24" s="65"/>
      <c r="T24" s="65"/>
      <c r="U24" s="65"/>
      <c r="V24" s="65"/>
    </row>
    <row r="25" spans="1:22" ht="27.75" customHeight="1" x14ac:dyDescent="0.2">
      <c r="A25" s="210" t="s">
        <v>284</v>
      </c>
      <c r="B25" s="211">
        <f t="shared" ref="B25:P25" si="0">B16+B14+B11+B9+B7</f>
        <v>0</v>
      </c>
      <c r="C25" s="211">
        <f t="shared" si="0"/>
        <v>41951422</v>
      </c>
      <c r="D25" s="211">
        <f t="shared" si="0"/>
        <v>2987832</v>
      </c>
      <c r="E25" s="211">
        <f t="shared" si="0"/>
        <v>573891565</v>
      </c>
      <c r="F25" s="211">
        <f t="shared" si="0"/>
        <v>26425062</v>
      </c>
      <c r="G25" s="211">
        <f t="shared" si="0"/>
        <v>230060708</v>
      </c>
      <c r="H25" s="211">
        <f t="shared" si="0"/>
        <v>875316589</v>
      </c>
      <c r="I25" s="211">
        <f t="shared" si="0"/>
        <v>1043420800</v>
      </c>
      <c r="J25" s="211">
        <f t="shared" si="0"/>
        <v>0</v>
      </c>
      <c r="K25" s="211">
        <f t="shared" si="0"/>
        <v>1436517525</v>
      </c>
      <c r="L25" s="211">
        <f t="shared" si="0"/>
        <v>0</v>
      </c>
      <c r="M25" s="211">
        <f t="shared" si="0"/>
        <v>2479938325</v>
      </c>
      <c r="N25" s="211">
        <f t="shared" si="0"/>
        <v>0</v>
      </c>
      <c r="O25" s="211">
        <f t="shared" si="0"/>
        <v>0</v>
      </c>
      <c r="P25" s="211">
        <f t="shared" si="0"/>
        <v>3355254914</v>
      </c>
      <c r="Q25" s="212">
        <f>P25/$P$25</f>
        <v>1</v>
      </c>
      <c r="R25" s="65"/>
      <c r="S25" s="65"/>
      <c r="T25" s="65"/>
      <c r="U25" s="65"/>
      <c r="V25" s="65"/>
    </row>
    <row r="26" spans="1:22" ht="11.25" customHeight="1" x14ac:dyDescent="0.2">
      <c r="A26" s="132"/>
      <c r="B26" s="65"/>
      <c r="C26" s="65"/>
      <c r="D26" s="65"/>
      <c r="E26" s="65"/>
      <c r="F26" s="65"/>
      <c r="G26" s="65"/>
      <c r="H26" s="65"/>
      <c r="I26" s="65"/>
      <c r="J26" s="65"/>
      <c r="K26" s="65"/>
      <c r="L26" s="65"/>
      <c r="M26" s="65"/>
      <c r="N26" s="65"/>
      <c r="O26" s="65"/>
      <c r="P26" s="65"/>
      <c r="Q26" s="65"/>
      <c r="R26" s="65"/>
      <c r="S26" s="65"/>
      <c r="T26" s="65"/>
      <c r="U26" s="65"/>
      <c r="V26" s="65"/>
    </row>
    <row r="27" spans="1:22" ht="11.25" customHeight="1" x14ac:dyDescent="0.2">
      <c r="A27" s="65"/>
      <c r="B27" s="65"/>
      <c r="C27" s="65"/>
      <c r="D27" s="65"/>
      <c r="E27" s="65"/>
      <c r="F27" s="65"/>
      <c r="G27" s="65"/>
      <c r="H27" s="65"/>
      <c r="I27" s="65"/>
      <c r="J27" s="65"/>
      <c r="K27" s="65"/>
      <c r="L27" s="65"/>
      <c r="M27" s="65"/>
      <c r="N27" s="65"/>
      <c r="O27" s="65"/>
      <c r="P27" s="65"/>
      <c r="Q27" s="65"/>
      <c r="R27" s="65"/>
      <c r="S27" s="65"/>
      <c r="T27" s="65"/>
      <c r="U27" s="65"/>
      <c r="V27" s="65"/>
    </row>
    <row r="28" spans="1:22" ht="11.25" customHeight="1" x14ac:dyDescent="0.2">
      <c r="A28" s="65"/>
      <c r="B28" s="65"/>
      <c r="C28" s="65"/>
      <c r="D28" s="65"/>
      <c r="E28" s="65"/>
      <c r="F28" s="65"/>
      <c r="G28" s="65"/>
      <c r="H28" s="65"/>
      <c r="I28" s="65"/>
      <c r="J28" s="65"/>
      <c r="K28" s="65"/>
      <c r="L28" s="65"/>
      <c r="M28" s="65"/>
      <c r="N28" s="65"/>
      <c r="O28" s="65"/>
      <c r="P28" s="65"/>
      <c r="Q28" s="65"/>
      <c r="R28" s="65"/>
      <c r="S28" s="65"/>
      <c r="T28" s="65"/>
      <c r="U28" s="65"/>
      <c r="V28" s="65"/>
    </row>
    <row r="29" spans="1:22" ht="11.25" customHeight="1" x14ac:dyDescent="0.2">
      <c r="A29" s="65"/>
      <c r="B29" s="65"/>
      <c r="C29" s="65"/>
      <c r="D29" s="65"/>
      <c r="E29" s="65"/>
      <c r="F29" s="65"/>
      <c r="G29" s="65"/>
      <c r="H29" s="65"/>
      <c r="I29" s="65"/>
      <c r="J29" s="65"/>
      <c r="K29" s="65"/>
      <c r="L29" s="65"/>
      <c r="M29" s="65"/>
      <c r="N29" s="65"/>
      <c r="O29" s="65"/>
      <c r="P29" s="65"/>
      <c r="Q29" s="65"/>
      <c r="R29" s="65"/>
      <c r="S29" s="65"/>
      <c r="T29" s="65"/>
      <c r="U29" s="65"/>
      <c r="V29" s="65"/>
    </row>
    <row r="30" spans="1:22" ht="11.25" customHeight="1" x14ac:dyDescent="0.2">
      <c r="A30" s="65"/>
      <c r="B30" s="65"/>
      <c r="C30" s="65"/>
      <c r="D30" s="65"/>
      <c r="E30" s="65"/>
      <c r="F30" s="65"/>
      <c r="G30" s="65"/>
      <c r="H30" s="65"/>
      <c r="I30" s="65"/>
      <c r="J30" s="65"/>
      <c r="K30" s="65"/>
      <c r="L30" s="65"/>
      <c r="M30" s="65"/>
      <c r="N30" s="65"/>
      <c r="O30" s="65"/>
      <c r="P30" s="65"/>
      <c r="Q30" s="65"/>
      <c r="R30" s="65"/>
      <c r="S30" s="65"/>
      <c r="T30" s="65"/>
      <c r="U30" s="65"/>
      <c r="V30" s="65"/>
    </row>
    <row r="31" spans="1:22" ht="11.25" customHeight="1" x14ac:dyDescent="0.2">
      <c r="A31" s="65"/>
      <c r="B31" s="65"/>
      <c r="C31" s="65"/>
      <c r="D31" s="65"/>
      <c r="E31" s="65"/>
      <c r="F31" s="65"/>
      <c r="G31" s="65"/>
      <c r="H31" s="65"/>
      <c r="I31" s="65"/>
      <c r="J31" s="65"/>
      <c r="K31" s="65"/>
      <c r="L31" s="65"/>
      <c r="M31" s="65"/>
      <c r="N31" s="65"/>
      <c r="O31" s="65"/>
      <c r="P31" s="65"/>
      <c r="Q31" s="65"/>
      <c r="R31" s="65"/>
      <c r="S31" s="65"/>
      <c r="T31" s="65"/>
      <c r="U31" s="65"/>
      <c r="V31" s="65"/>
    </row>
    <row r="32" spans="1:22" ht="11.25" customHeight="1" x14ac:dyDescent="0.2">
      <c r="A32" s="65"/>
      <c r="B32" s="65"/>
      <c r="C32" s="65"/>
      <c r="D32" s="65"/>
      <c r="E32" s="65"/>
      <c r="F32" s="65"/>
      <c r="G32" s="65"/>
      <c r="H32" s="65"/>
      <c r="I32" s="65"/>
      <c r="J32" s="65"/>
      <c r="K32" s="65"/>
      <c r="L32" s="65"/>
      <c r="M32" s="65"/>
      <c r="N32" s="65"/>
      <c r="O32" s="65"/>
      <c r="P32" s="65"/>
      <c r="Q32" s="65"/>
      <c r="R32" s="65"/>
      <c r="S32" s="65"/>
      <c r="T32" s="65"/>
      <c r="U32" s="65"/>
      <c r="V32" s="65"/>
    </row>
    <row r="33" spans="1:22" ht="11.25" customHeight="1" x14ac:dyDescent="0.2">
      <c r="A33" s="65"/>
      <c r="B33" s="65"/>
      <c r="C33" s="65"/>
      <c r="D33" s="65"/>
      <c r="E33" s="65"/>
      <c r="F33" s="65"/>
      <c r="G33" s="65"/>
      <c r="H33" s="65"/>
      <c r="I33" s="65"/>
      <c r="J33" s="65"/>
      <c r="K33" s="65"/>
      <c r="L33" s="65"/>
      <c r="M33" s="65"/>
      <c r="N33" s="65"/>
      <c r="O33" s="65"/>
      <c r="P33" s="65"/>
      <c r="Q33" s="65"/>
      <c r="R33" s="65"/>
      <c r="S33" s="65"/>
      <c r="T33" s="65"/>
      <c r="U33" s="65"/>
      <c r="V33" s="65"/>
    </row>
    <row r="34" spans="1:22" ht="11.25" customHeight="1" x14ac:dyDescent="0.2">
      <c r="A34" s="65"/>
      <c r="B34" s="65"/>
      <c r="C34" s="65"/>
      <c r="D34" s="65"/>
      <c r="E34" s="65"/>
      <c r="F34" s="65"/>
      <c r="G34" s="65"/>
      <c r="H34" s="65"/>
      <c r="I34" s="65"/>
      <c r="J34" s="65"/>
      <c r="K34" s="65"/>
      <c r="L34" s="65"/>
      <c r="M34" s="65"/>
      <c r="N34" s="65"/>
      <c r="O34" s="65"/>
      <c r="P34" s="65"/>
      <c r="Q34" s="65"/>
      <c r="R34" s="65"/>
      <c r="S34" s="65"/>
      <c r="T34" s="65"/>
      <c r="U34" s="65"/>
      <c r="V34" s="65"/>
    </row>
    <row r="35" spans="1:22" ht="11.25" customHeight="1" x14ac:dyDescent="0.2">
      <c r="A35" s="65"/>
      <c r="B35" s="65"/>
      <c r="C35" s="65"/>
      <c r="D35" s="65"/>
      <c r="E35" s="65"/>
      <c r="F35" s="65"/>
      <c r="G35" s="65"/>
      <c r="H35" s="65"/>
      <c r="I35" s="65"/>
      <c r="J35" s="65"/>
      <c r="K35" s="65"/>
      <c r="L35" s="65"/>
      <c r="M35" s="65"/>
      <c r="N35" s="65"/>
      <c r="O35" s="65"/>
      <c r="P35" s="65"/>
      <c r="Q35" s="65"/>
      <c r="R35" s="65"/>
      <c r="S35" s="65"/>
      <c r="T35" s="65"/>
      <c r="U35" s="65"/>
      <c r="V35" s="65"/>
    </row>
    <row r="36" spans="1:22" ht="11.25" customHeight="1" x14ac:dyDescent="0.2">
      <c r="A36" s="65"/>
      <c r="B36" s="65"/>
      <c r="C36" s="65"/>
      <c r="D36" s="65"/>
      <c r="E36" s="65"/>
      <c r="F36" s="65"/>
      <c r="G36" s="65"/>
      <c r="H36" s="65"/>
      <c r="I36" s="65"/>
      <c r="J36" s="65"/>
      <c r="K36" s="65"/>
      <c r="L36" s="65"/>
      <c r="M36" s="65"/>
      <c r="N36" s="65"/>
      <c r="O36" s="65"/>
      <c r="P36" s="65"/>
      <c r="Q36" s="65"/>
      <c r="R36" s="65"/>
      <c r="S36" s="65"/>
      <c r="T36" s="65"/>
      <c r="U36" s="65"/>
      <c r="V36" s="65"/>
    </row>
    <row r="37" spans="1:22" ht="11.25" customHeight="1" x14ac:dyDescent="0.2">
      <c r="A37" s="65"/>
      <c r="B37" s="65"/>
      <c r="C37" s="65"/>
      <c r="D37" s="65"/>
      <c r="E37" s="65"/>
      <c r="F37" s="65"/>
      <c r="G37" s="65"/>
      <c r="H37" s="65"/>
      <c r="I37" s="65"/>
      <c r="J37" s="65"/>
      <c r="K37" s="65"/>
      <c r="L37" s="65"/>
      <c r="M37" s="65"/>
      <c r="N37" s="65"/>
      <c r="O37" s="65"/>
      <c r="P37" s="65"/>
      <c r="Q37" s="65"/>
      <c r="R37" s="65"/>
      <c r="S37" s="65"/>
      <c r="T37" s="65"/>
      <c r="U37" s="65"/>
      <c r="V37" s="65"/>
    </row>
    <row r="38" spans="1:22" ht="11.25" customHeight="1" x14ac:dyDescent="0.2">
      <c r="A38" s="65"/>
      <c r="B38" s="65"/>
      <c r="C38" s="65"/>
      <c r="D38" s="65"/>
      <c r="E38" s="65"/>
      <c r="F38" s="65"/>
      <c r="G38" s="65"/>
      <c r="H38" s="65"/>
      <c r="I38" s="65"/>
      <c r="J38" s="65"/>
      <c r="K38" s="65"/>
      <c r="L38" s="65"/>
      <c r="M38" s="65"/>
      <c r="N38" s="65"/>
      <c r="O38" s="65"/>
      <c r="P38" s="65"/>
      <c r="Q38" s="65"/>
      <c r="R38" s="65"/>
      <c r="S38" s="65"/>
      <c r="T38" s="65"/>
      <c r="U38" s="65"/>
      <c r="V38" s="65"/>
    </row>
    <row r="39" spans="1:22" ht="11.25" customHeight="1" x14ac:dyDescent="0.2">
      <c r="A39" s="65"/>
      <c r="B39" s="65"/>
      <c r="C39" s="65"/>
      <c r="D39" s="65"/>
      <c r="E39" s="65"/>
      <c r="F39" s="65"/>
      <c r="G39" s="65"/>
      <c r="H39" s="65"/>
      <c r="I39" s="65"/>
      <c r="J39" s="65"/>
      <c r="K39" s="65"/>
      <c r="L39" s="65"/>
      <c r="M39" s="65"/>
      <c r="N39" s="65"/>
      <c r="O39" s="65"/>
      <c r="P39" s="65"/>
      <c r="Q39" s="65"/>
      <c r="R39" s="65"/>
      <c r="S39" s="65"/>
      <c r="T39" s="65"/>
      <c r="U39" s="65"/>
      <c r="V39" s="65"/>
    </row>
    <row r="40" spans="1:22" ht="11.25" customHeight="1" x14ac:dyDescent="0.2">
      <c r="A40" s="65"/>
      <c r="B40" s="65"/>
      <c r="C40" s="65"/>
      <c r="D40" s="65"/>
      <c r="E40" s="65"/>
      <c r="F40" s="65"/>
      <c r="G40" s="65"/>
      <c r="H40" s="65"/>
      <c r="I40" s="65"/>
      <c r="J40" s="65"/>
      <c r="K40" s="65"/>
      <c r="L40" s="65"/>
      <c r="M40" s="65"/>
      <c r="N40" s="65"/>
      <c r="O40" s="65"/>
      <c r="P40" s="65"/>
      <c r="Q40" s="65"/>
      <c r="R40" s="65"/>
      <c r="S40" s="65"/>
      <c r="T40" s="65"/>
      <c r="U40" s="65"/>
      <c r="V40" s="65"/>
    </row>
    <row r="41" spans="1:22" ht="11.25" customHeight="1" x14ac:dyDescent="0.2">
      <c r="A41" s="65"/>
      <c r="B41" s="65"/>
      <c r="C41" s="65"/>
      <c r="D41" s="65"/>
      <c r="E41" s="65"/>
      <c r="F41" s="65"/>
      <c r="G41" s="65"/>
      <c r="H41" s="65"/>
      <c r="I41" s="65"/>
      <c r="J41" s="65"/>
      <c r="K41" s="65"/>
      <c r="L41" s="65"/>
      <c r="M41" s="65"/>
      <c r="N41" s="65"/>
      <c r="O41" s="65"/>
      <c r="P41" s="65"/>
      <c r="Q41" s="65"/>
      <c r="R41" s="65"/>
      <c r="S41" s="65"/>
      <c r="T41" s="65"/>
      <c r="U41" s="65"/>
      <c r="V41" s="65"/>
    </row>
    <row r="42" spans="1:22" ht="11.25" customHeight="1" x14ac:dyDescent="0.2">
      <c r="A42" s="65"/>
      <c r="B42" s="65"/>
      <c r="C42" s="65"/>
      <c r="D42" s="65"/>
      <c r="E42" s="65"/>
      <c r="F42" s="65"/>
      <c r="G42" s="65"/>
      <c r="H42" s="65"/>
      <c r="I42" s="65"/>
      <c r="J42" s="65"/>
      <c r="K42" s="65"/>
      <c r="L42" s="65"/>
      <c r="M42" s="65"/>
      <c r="N42" s="65"/>
      <c r="O42" s="65"/>
      <c r="P42" s="65"/>
      <c r="Q42" s="65"/>
      <c r="R42" s="65"/>
      <c r="S42" s="65"/>
      <c r="T42" s="65"/>
      <c r="U42" s="65"/>
      <c r="V42" s="65"/>
    </row>
    <row r="43" spans="1:22" ht="11.25" customHeight="1" x14ac:dyDescent="0.2">
      <c r="A43" s="65"/>
      <c r="B43" s="65"/>
      <c r="C43" s="65"/>
      <c r="D43" s="65"/>
      <c r="E43" s="65"/>
      <c r="F43" s="65"/>
      <c r="G43" s="65"/>
      <c r="H43" s="65"/>
      <c r="I43" s="65"/>
      <c r="J43" s="65"/>
      <c r="K43" s="65"/>
      <c r="L43" s="65"/>
      <c r="M43" s="65"/>
      <c r="N43" s="65"/>
      <c r="O43" s="65"/>
      <c r="P43" s="65"/>
      <c r="Q43" s="65"/>
      <c r="R43" s="65"/>
      <c r="S43" s="65"/>
      <c r="T43" s="65"/>
      <c r="U43" s="65"/>
      <c r="V43" s="65"/>
    </row>
    <row r="44" spans="1:22" ht="11.25" customHeight="1" x14ac:dyDescent="0.2">
      <c r="A44" s="65"/>
      <c r="B44" s="65"/>
      <c r="C44" s="65"/>
      <c r="D44" s="65"/>
      <c r="E44" s="65"/>
      <c r="F44" s="65"/>
      <c r="G44" s="65"/>
      <c r="H44" s="65"/>
      <c r="I44" s="65"/>
      <c r="J44" s="65"/>
      <c r="K44" s="65"/>
      <c r="L44" s="65"/>
      <c r="M44" s="65"/>
      <c r="N44" s="65"/>
      <c r="O44" s="65"/>
      <c r="P44" s="65"/>
      <c r="Q44" s="65"/>
      <c r="R44" s="65"/>
      <c r="S44" s="65"/>
      <c r="T44" s="65"/>
      <c r="U44" s="65"/>
      <c r="V44" s="65"/>
    </row>
    <row r="45" spans="1:22" ht="11.25" customHeight="1" x14ac:dyDescent="0.2">
      <c r="A45" s="65"/>
      <c r="B45" s="65"/>
      <c r="C45" s="65"/>
      <c r="D45" s="65"/>
      <c r="E45" s="65"/>
      <c r="F45" s="65"/>
      <c r="G45" s="65"/>
      <c r="H45" s="65"/>
      <c r="I45" s="65"/>
      <c r="J45" s="65"/>
      <c r="K45" s="65"/>
      <c r="L45" s="65"/>
      <c r="M45" s="65"/>
      <c r="N45" s="65"/>
      <c r="O45" s="65"/>
      <c r="P45" s="65"/>
      <c r="Q45" s="65"/>
      <c r="R45" s="65"/>
      <c r="S45" s="65"/>
      <c r="T45" s="65"/>
      <c r="U45" s="65"/>
      <c r="V45" s="65"/>
    </row>
    <row r="46" spans="1:22" ht="11.25" customHeight="1" x14ac:dyDescent="0.2">
      <c r="A46" s="65"/>
      <c r="B46" s="65"/>
      <c r="C46" s="65"/>
      <c r="D46" s="65"/>
      <c r="E46" s="65"/>
      <c r="F46" s="65"/>
      <c r="G46" s="65"/>
      <c r="H46" s="65"/>
      <c r="I46" s="65"/>
      <c r="J46" s="65"/>
      <c r="K46" s="65"/>
      <c r="L46" s="65"/>
      <c r="M46" s="65"/>
      <c r="N46" s="65"/>
      <c r="O46" s="65"/>
      <c r="P46" s="65"/>
      <c r="Q46" s="65"/>
      <c r="R46" s="65"/>
      <c r="S46" s="65"/>
      <c r="T46" s="65"/>
      <c r="U46" s="65"/>
      <c r="V46" s="65"/>
    </row>
    <row r="47" spans="1:22" ht="11.25" customHeight="1" x14ac:dyDescent="0.2">
      <c r="A47" s="65"/>
      <c r="B47" s="65"/>
      <c r="C47" s="65"/>
      <c r="D47" s="65"/>
      <c r="E47" s="65"/>
      <c r="F47" s="65"/>
      <c r="G47" s="65"/>
      <c r="H47" s="65"/>
      <c r="I47" s="65"/>
      <c r="J47" s="65"/>
      <c r="K47" s="65"/>
      <c r="L47" s="65"/>
      <c r="M47" s="65"/>
      <c r="N47" s="65"/>
      <c r="O47" s="65"/>
      <c r="P47" s="65"/>
      <c r="Q47" s="65"/>
      <c r="R47" s="65"/>
      <c r="S47" s="65"/>
      <c r="T47" s="65"/>
      <c r="U47" s="65"/>
      <c r="V47" s="65"/>
    </row>
    <row r="48" spans="1:22" ht="11.25" customHeight="1" x14ac:dyDescent="0.2">
      <c r="A48" s="65"/>
      <c r="B48" s="65"/>
      <c r="C48" s="65"/>
      <c r="D48" s="65"/>
      <c r="E48" s="65"/>
      <c r="F48" s="65"/>
      <c r="G48" s="65"/>
      <c r="H48" s="65"/>
      <c r="I48" s="65"/>
      <c r="J48" s="65"/>
      <c r="K48" s="65"/>
      <c r="L48" s="65"/>
      <c r="M48" s="65"/>
      <c r="N48" s="65"/>
      <c r="O48" s="65"/>
      <c r="P48" s="65"/>
      <c r="Q48" s="65"/>
      <c r="R48" s="65"/>
      <c r="S48" s="65"/>
      <c r="T48" s="65"/>
      <c r="U48" s="65"/>
      <c r="V48" s="65"/>
    </row>
    <row r="49" spans="1:22" ht="11.25" customHeight="1" x14ac:dyDescent="0.2">
      <c r="A49" s="65"/>
      <c r="B49" s="65"/>
      <c r="C49" s="65"/>
      <c r="D49" s="65"/>
      <c r="E49" s="65"/>
      <c r="F49" s="65"/>
      <c r="G49" s="65"/>
      <c r="H49" s="65"/>
      <c r="I49" s="65"/>
      <c r="J49" s="65"/>
      <c r="K49" s="65"/>
      <c r="L49" s="65"/>
      <c r="M49" s="65"/>
      <c r="N49" s="65"/>
      <c r="O49" s="65"/>
      <c r="P49" s="65"/>
      <c r="Q49" s="65"/>
      <c r="R49" s="65"/>
      <c r="S49" s="65"/>
      <c r="T49" s="65"/>
      <c r="U49" s="65"/>
      <c r="V49" s="65"/>
    </row>
    <row r="50" spans="1:22" ht="11.25" customHeight="1" x14ac:dyDescent="0.2">
      <c r="A50" s="65"/>
      <c r="B50" s="65"/>
      <c r="C50" s="65"/>
      <c r="D50" s="65"/>
      <c r="E50" s="65"/>
      <c r="F50" s="65"/>
      <c r="G50" s="65"/>
      <c r="H50" s="65"/>
      <c r="I50" s="65"/>
      <c r="J50" s="65"/>
      <c r="K50" s="65"/>
      <c r="L50" s="65"/>
      <c r="M50" s="65"/>
      <c r="N50" s="65"/>
      <c r="O50" s="65"/>
      <c r="P50" s="65"/>
      <c r="Q50" s="65"/>
      <c r="R50" s="65"/>
      <c r="S50" s="65"/>
      <c r="T50" s="65"/>
      <c r="U50" s="65"/>
      <c r="V50" s="65"/>
    </row>
    <row r="51" spans="1:22" ht="11.25" customHeight="1" x14ac:dyDescent="0.2">
      <c r="A51" s="65"/>
      <c r="B51" s="65"/>
      <c r="C51" s="65"/>
      <c r="D51" s="65"/>
      <c r="E51" s="65"/>
      <c r="F51" s="65"/>
      <c r="G51" s="65"/>
      <c r="H51" s="65"/>
      <c r="I51" s="65"/>
      <c r="J51" s="65"/>
      <c r="K51" s="65"/>
      <c r="L51" s="65"/>
      <c r="M51" s="65"/>
      <c r="N51" s="65"/>
      <c r="O51" s="65"/>
      <c r="P51" s="65"/>
      <c r="Q51" s="65"/>
      <c r="R51" s="65"/>
      <c r="S51" s="65"/>
      <c r="T51" s="65"/>
      <c r="U51" s="65"/>
      <c r="V51" s="65"/>
    </row>
    <row r="52" spans="1:22" ht="11.25" customHeight="1" x14ac:dyDescent="0.2">
      <c r="A52" s="65"/>
      <c r="B52" s="65"/>
      <c r="C52" s="65"/>
      <c r="D52" s="65"/>
      <c r="E52" s="65"/>
      <c r="F52" s="65"/>
      <c r="G52" s="65"/>
      <c r="H52" s="65"/>
      <c r="I52" s="65"/>
      <c r="J52" s="65"/>
      <c r="K52" s="65"/>
      <c r="L52" s="65"/>
      <c r="M52" s="65"/>
      <c r="N52" s="65"/>
      <c r="O52" s="65"/>
      <c r="P52" s="65"/>
      <c r="Q52" s="65"/>
      <c r="R52" s="65"/>
      <c r="S52" s="65"/>
      <c r="T52" s="65"/>
      <c r="U52" s="65"/>
      <c r="V52" s="65"/>
    </row>
    <row r="53" spans="1:22" ht="11.25" customHeight="1" x14ac:dyDescent="0.2">
      <c r="A53" s="65"/>
      <c r="B53" s="65"/>
      <c r="C53" s="65"/>
      <c r="D53" s="65"/>
      <c r="E53" s="65"/>
      <c r="F53" s="65"/>
      <c r="G53" s="65"/>
      <c r="H53" s="65"/>
      <c r="I53" s="65"/>
      <c r="J53" s="65"/>
      <c r="K53" s="65"/>
      <c r="L53" s="65"/>
      <c r="M53" s="65"/>
      <c r="N53" s="65"/>
      <c r="O53" s="65"/>
      <c r="P53" s="65"/>
      <c r="Q53" s="65"/>
      <c r="R53" s="65"/>
      <c r="S53" s="65"/>
      <c r="T53" s="65"/>
      <c r="U53" s="65"/>
      <c r="V53" s="65"/>
    </row>
    <row r="54" spans="1:22" ht="11.25" customHeight="1" x14ac:dyDescent="0.2">
      <c r="A54" s="65"/>
      <c r="B54" s="65"/>
      <c r="C54" s="65"/>
      <c r="D54" s="65"/>
      <c r="E54" s="65"/>
      <c r="F54" s="65"/>
      <c r="G54" s="65"/>
      <c r="H54" s="65"/>
      <c r="I54" s="65"/>
      <c r="J54" s="65"/>
      <c r="K54" s="65"/>
      <c r="L54" s="65"/>
      <c r="M54" s="65"/>
      <c r="N54" s="65"/>
      <c r="O54" s="65"/>
      <c r="P54" s="65"/>
      <c r="Q54" s="65"/>
      <c r="R54" s="65"/>
      <c r="S54" s="65"/>
      <c r="T54" s="65"/>
      <c r="U54" s="65"/>
      <c r="V54" s="65"/>
    </row>
    <row r="55" spans="1:22" ht="11.25" customHeight="1" x14ac:dyDescent="0.2">
      <c r="A55" s="65"/>
      <c r="B55" s="65"/>
      <c r="C55" s="65"/>
      <c r="D55" s="65"/>
      <c r="E55" s="65"/>
      <c r="F55" s="65"/>
      <c r="G55" s="65"/>
      <c r="H55" s="65"/>
      <c r="I55" s="65"/>
      <c r="J55" s="65"/>
      <c r="K55" s="65"/>
      <c r="L55" s="65"/>
      <c r="M55" s="65"/>
      <c r="N55" s="65"/>
      <c r="O55" s="65"/>
      <c r="P55" s="65"/>
      <c r="Q55" s="65"/>
      <c r="R55" s="65"/>
      <c r="S55" s="65"/>
      <c r="T55" s="65"/>
      <c r="U55" s="65"/>
      <c r="V55" s="65"/>
    </row>
    <row r="56" spans="1:22" ht="11.25" customHeight="1" x14ac:dyDescent="0.2">
      <c r="A56" s="65"/>
      <c r="B56" s="65"/>
      <c r="C56" s="65"/>
      <c r="D56" s="65"/>
      <c r="E56" s="65"/>
      <c r="F56" s="65"/>
      <c r="G56" s="65"/>
      <c r="H56" s="65"/>
      <c r="I56" s="65"/>
      <c r="J56" s="65"/>
      <c r="K56" s="65"/>
      <c r="L56" s="65"/>
      <c r="M56" s="65"/>
      <c r="N56" s="65"/>
      <c r="O56" s="65"/>
      <c r="P56" s="65"/>
      <c r="Q56" s="65"/>
      <c r="R56" s="65"/>
      <c r="S56" s="65"/>
      <c r="T56" s="65"/>
      <c r="U56" s="65"/>
      <c r="V56" s="65"/>
    </row>
    <row r="57" spans="1:22" ht="11.25" customHeight="1" x14ac:dyDescent="0.2">
      <c r="A57" s="65"/>
      <c r="B57" s="65"/>
      <c r="C57" s="65"/>
      <c r="D57" s="65"/>
      <c r="E57" s="65"/>
      <c r="F57" s="65"/>
      <c r="G57" s="65"/>
      <c r="H57" s="65"/>
      <c r="I57" s="65"/>
      <c r="J57" s="65"/>
      <c r="K57" s="65"/>
      <c r="L57" s="65"/>
      <c r="M57" s="65"/>
      <c r="N57" s="65"/>
      <c r="O57" s="65"/>
      <c r="P57" s="65"/>
      <c r="Q57" s="65"/>
      <c r="R57" s="65"/>
      <c r="S57" s="65"/>
      <c r="T57" s="65"/>
      <c r="U57" s="65"/>
      <c r="V57" s="65"/>
    </row>
    <row r="58" spans="1:22" ht="11.25" customHeight="1" x14ac:dyDescent="0.2">
      <c r="A58" s="65"/>
      <c r="B58" s="65"/>
      <c r="C58" s="65"/>
      <c r="D58" s="65"/>
      <c r="E58" s="65"/>
      <c r="F58" s="65"/>
      <c r="G58" s="65"/>
      <c r="H58" s="65"/>
      <c r="I58" s="65"/>
      <c r="J58" s="65"/>
      <c r="K58" s="65"/>
      <c r="L58" s="65"/>
      <c r="M58" s="65"/>
      <c r="N58" s="65"/>
      <c r="O58" s="65"/>
      <c r="P58" s="65"/>
      <c r="Q58" s="65"/>
      <c r="R58" s="65"/>
      <c r="S58" s="65"/>
      <c r="T58" s="65"/>
      <c r="U58" s="65"/>
      <c r="V58" s="65"/>
    </row>
    <row r="59" spans="1:22" ht="11.25" customHeight="1" x14ac:dyDescent="0.2">
      <c r="A59" s="65"/>
      <c r="B59" s="65"/>
      <c r="C59" s="65"/>
      <c r="D59" s="65"/>
      <c r="E59" s="65"/>
      <c r="F59" s="65"/>
      <c r="G59" s="65"/>
      <c r="H59" s="65"/>
      <c r="I59" s="65"/>
      <c r="J59" s="65"/>
      <c r="K59" s="65"/>
      <c r="L59" s="65"/>
      <c r="M59" s="65"/>
      <c r="N59" s="65"/>
      <c r="O59" s="65"/>
      <c r="P59" s="65"/>
      <c r="Q59" s="65"/>
      <c r="R59" s="65"/>
      <c r="S59" s="65"/>
      <c r="T59" s="65"/>
      <c r="U59" s="65"/>
      <c r="V59" s="65"/>
    </row>
    <row r="60" spans="1:22" ht="11.25" customHeight="1" x14ac:dyDescent="0.2">
      <c r="A60" s="65"/>
      <c r="B60" s="65"/>
      <c r="C60" s="65"/>
      <c r="D60" s="65"/>
      <c r="E60" s="65"/>
      <c r="F60" s="65"/>
      <c r="G60" s="65"/>
      <c r="H60" s="65"/>
      <c r="I60" s="65"/>
      <c r="J60" s="65"/>
      <c r="K60" s="65"/>
      <c r="L60" s="65"/>
      <c r="M60" s="65"/>
      <c r="N60" s="65"/>
      <c r="O60" s="65"/>
      <c r="P60" s="65"/>
      <c r="Q60" s="65"/>
      <c r="R60" s="65"/>
      <c r="S60" s="65"/>
      <c r="T60" s="65"/>
      <c r="U60" s="65"/>
      <c r="V60" s="65"/>
    </row>
    <row r="61" spans="1:22" ht="11.25" customHeight="1" x14ac:dyDescent="0.2">
      <c r="A61" s="65"/>
      <c r="B61" s="65"/>
      <c r="C61" s="65"/>
      <c r="D61" s="65"/>
      <c r="E61" s="65"/>
      <c r="F61" s="65"/>
      <c r="G61" s="65"/>
      <c r="H61" s="65"/>
      <c r="I61" s="65"/>
      <c r="J61" s="65"/>
      <c r="K61" s="65"/>
      <c r="L61" s="65"/>
      <c r="M61" s="65"/>
      <c r="N61" s="65"/>
      <c r="O61" s="65"/>
      <c r="P61" s="65"/>
      <c r="Q61" s="65"/>
      <c r="R61" s="65"/>
      <c r="S61" s="65"/>
      <c r="T61" s="65"/>
      <c r="U61" s="65"/>
      <c r="V61" s="65"/>
    </row>
    <row r="62" spans="1:22" ht="11.25" customHeight="1" x14ac:dyDescent="0.2">
      <c r="A62" s="65"/>
      <c r="B62" s="65"/>
      <c r="C62" s="65"/>
      <c r="D62" s="65"/>
      <c r="E62" s="65"/>
      <c r="F62" s="65"/>
      <c r="G62" s="65"/>
      <c r="H62" s="65"/>
      <c r="I62" s="65"/>
      <c r="J62" s="65"/>
      <c r="K62" s="65"/>
      <c r="L62" s="65"/>
      <c r="M62" s="65"/>
      <c r="N62" s="65"/>
      <c r="O62" s="65"/>
      <c r="P62" s="65"/>
      <c r="Q62" s="65"/>
      <c r="R62" s="65"/>
      <c r="S62" s="65"/>
      <c r="T62" s="65"/>
      <c r="U62" s="65"/>
      <c r="V62" s="65"/>
    </row>
    <row r="63" spans="1:22" ht="11.25" customHeight="1" x14ac:dyDescent="0.2">
      <c r="A63" s="65"/>
      <c r="B63" s="65"/>
      <c r="C63" s="65"/>
      <c r="D63" s="65"/>
      <c r="E63" s="65"/>
      <c r="F63" s="65"/>
      <c r="G63" s="65"/>
      <c r="H63" s="65"/>
      <c r="I63" s="65"/>
      <c r="J63" s="65"/>
      <c r="K63" s="65"/>
      <c r="L63" s="65"/>
      <c r="M63" s="65"/>
      <c r="N63" s="65"/>
      <c r="O63" s="65"/>
      <c r="P63" s="65"/>
      <c r="Q63" s="65"/>
      <c r="R63" s="65"/>
      <c r="S63" s="65"/>
      <c r="T63" s="65"/>
      <c r="U63" s="65"/>
      <c r="V63" s="65"/>
    </row>
    <row r="64" spans="1:22" ht="11.25" customHeight="1" x14ac:dyDescent="0.2">
      <c r="A64" s="65"/>
      <c r="B64" s="65"/>
      <c r="C64" s="65"/>
      <c r="D64" s="65"/>
      <c r="E64" s="65"/>
      <c r="F64" s="65"/>
      <c r="G64" s="65"/>
      <c r="H64" s="65"/>
      <c r="I64" s="65"/>
      <c r="J64" s="65"/>
      <c r="K64" s="65"/>
      <c r="L64" s="65"/>
      <c r="M64" s="65"/>
      <c r="N64" s="65"/>
      <c r="O64" s="65"/>
      <c r="P64" s="65"/>
      <c r="Q64" s="65"/>
      <c r="R64" s="65"/>
      <c r="S64" s="65"/>
      <c r="T64" s="65"/>
      <c r="U64" s="65"/>
      <c r="V64" s="65"/>
    </row>
    <row r="65" spans="1:22" ht="11.25" customHeight="1" x14ac:dyDescent="0.2">
      <c r="A65" s="65"/>
      <c r="B65" s="65"/>
      <c r="C65" s="65"/>
      <c r="D65" s="65"/>
      <c r="E65" s="65"/>
      <c r="F65" s="65"/>
      <c r="G65" s="65"/>
      <c r="H65" s="65"/>
      <c r="I65" s="65"/>
      <c r="J65" s="65"/>
      <c r="K65" s="65"/>
      <c r="L65" s="65"/>
      <c r="M65" s="65"/>
      <c r="N65" s="65"/>
      <c r="O65" s="65"/>
      <c r="P65" s="65"/>
      <c r="Q65" s="65"/>
      <c r="R65" s="65"/>
      <c r="S65" s="65"/>
      <c r="T65" s="65"/>
      <c r="U65" s="65"/>
      <c r="V65" s="65"/>
    </row>
    <row r="66" spans="1:22" ht="11.25" customHeight="1" x14ac:dyDescent="0.2">
      <c r="A66" s="65"/>
      <c r="B66" s="65"/>
      <c r="C66" s="65"/>
      <c r="D66" s="65"/>
      <c r="E66" s="65"/>
      <c r="F66" s="65"/>
      <c r="G66" s="65"/>
      <c r="H66" s="65"/>
      <c r="I66" s="65"/>
      <c r="J66" s="65"/>
      <c r="K66" s="65"/>
      <c r="L66" s="65"/>
      <c r="M66" s="65"/>
      <c r="N66" s="65"/>
      <c r="O66" s="65"/>
      <c r="P66" s="65"/>
      <c r="Q66" s="65"/>
      <c r="R66" s="65"/>
      <c r="S66" s="65"/>
      <c r="T66" s="65"/>
      <c r="U66" s="65"/>
      <c r="V66" s="65"/>
    </row>
    <row r="67" spans="1:22" ht="11.25" customHeight="1" x14ac:dyDescent="0.2">
      <c r="A67" s="65"/>
      <c r="B67" s="65"/>
      <c r="C67" s="65"/>
      <c r="D67" s="65"/>
      <c r="E67" s="65"/>
      <c r="F67" s="65"/>
      <c r="G67" s="65"/>
      <c r="H67" s="65"/>
      <c r="I67" s="65"/>
      <c r="J67" s="65"/>
      <c r="K67" s="65"/>
      <c r="L67" s="65"/>
      <c r="M67" s="65"/>
      <c r="N67" s="65"/>
      <c r="O67" s="65"/>
      <c r="P67" s="65"/>
      <c r="Q67" s="65"/>
      <c r="R67" s="65"/>
      <c r="S67" s="65"/>
      <c r="T67" s="65"/>
      <c r="U67" s="65"/>
      <c r="V67" s="65"/>
    </row>
    <row r="68" spans="1:22" ht="11.25" customHeight="1" x14ac:dyDescent="0.2">
      <c r="A68" s="65"/>
      <c r="B68" s="65"/>
      <c r="C68" s="65"/>
      <c r="D68" s="65"/>
      <c r="E68" s="65"/>
      <c r="F68" s="65"/>
      <c r="G68" s="65"/>
      <c r="H68" s="65"/>
      <c r="I68" s="65"/>
      <c r="J68" s="65"/>
      <c r="K68" s="65"/>
      <c r="L68" s="65"/>
      <c r="M68" s="65"/>
      <c r="N68" s="65"/>
      <c r="O68" s="65"/>
      <c r="P68" s="65"/>
      <c r="Q68" s="65"/>
      <c r="R68" s="65"/>
      <c r="S68" s="65"/>
      <c r="T68" s="65"/>
      <c r="U68" s="65"/>
      <c r="V68" s="65"/>
    </row>
    <row r="69" spans="1:22" ht="11.25" customHeight="1" x14ac:dyDescent="0.2">
      <c r="A69" s="65"/>
      <c r="B69" s="65"/>
      <c r="C69" s="65"/>
      <c r="D69" s="65"/>
      <c r="E69" s="65"/>
      <c r="F69" s="65"/>
      <c r="G69" s="65"/>
      <c r="H69" s="65"/>
      <c r="I69" s="65"/>
      <c r="J69" s="65"/>
      <c r="K69" s="65"/>
      <c r="L69" s="65"/>
      <c r="M69" s="65"/>
      <c r="N69" s="65"/>
      <c r="O69" s="65"/>
      <c r="P69" s="65"/>
      <c r="Q69" s="65"/>
      <c r="R69" s="65"/>
      <c r="S69" s="65"/>
      <c r="T69" s="65"/>
      <c r="U69" s="65"/>
      <c r="V69" s="65"/>
    </row>
    <row r="70" spans="1:22" ht="11.25" customHeight="1" x14ac:dyDescent="0.2">
      <c r="A70" s="65"/>
      <c r="B70" s="65"/>
      <c r="C70" s="65"/>
      <c r="D70" s="65"/>
      <c r="E70" s="65"/>
      <c r="F70" s="65"/>
      <c r="G70" s="65"/>
      <c r="H70" s="65"/>
      <c r="I70" s="65"/>
      <c r="J70" s="65"/>
      <c r="K70" s="65"/>
      <c r="L70" s="65"/>
      <c r="M70" s="65"/>
      <c r="N70" s="65"/>
      <c r="O70" s="65"/>
      <c r="P70" s="65"/>
      <c r="Q70" s="65"/>
      <c r="R70" s="65"/>
      <c r="S70" s="65"/>
      <c r="T70" s="65"/>
      <c r="U70" s="65"/>
      <c r="V70" s="65"/>
    </row>
    <row r="71" spans="1:22" ht="11.25" customHeight="1" x14ac:dyDescent="0.2">
      <c r="A71" s="65"/>
      <c r="B71" s="65"/>
      <c r="C71" s="65"/>
      <c r="D71" s="65"/>
      <c r="E71" s="65"/>
      <c r="F71" s="65"/>
      <c r="G71" s="65"/>
      <c r="H71" s="65"/>
      <c r="I71" s="65"/>
      <c r="J71" s="65"/>
      <c r="K71" s="65"/>
      <c r="L71" s="65"/>
      <c r="M71" s="65"/>
      <c r="N71" s="65"/>
      <c r="O71" s="65"/>
      <c r="P71" s="65"/>
      <c r="Q71" s="65"/>
      <c r="R71" s="65"/>
      <c r="S71" s="65"/>
      <c r="T71" s="65"/>
      <c r="U71" s="65"/>
      <c r="V71" s="65"/>
    </row>
    <row r="72" spans="1:22" ht="11.25" customHeight="1" x14ac:dyDescent="0.2">
      <c r="A72" s="65"/>
      <c r="B72" s="65"/>
      <c r="C72" s="65"/>
      <c r="D72" s="65"/>
      <c r="E72" s="65"/>
      <c r="F72" s="65"/>
      <c r="G72" s="65"/>
      <c r="H72" s="65"/>
      <c r="I72" s="65"/>
      <c r="J72" s="65"/>
      <c r="K72" s="65"/>
      <c r="L72" s="65"/>
      <c r="M72" s="65"/>
      <c r="N72" s="65"/>
      <c r="O72" s="65"/>
      <c r="P72" s="65"/>
      <c r="Q72" s="65"/>
      <c r="R72" s="65"/>
      <c r="S72" s="65"/>
      <c r="T72" s="65"/>
      <c r="U72" s="65"/>
      <c r="V72" s="65"/>
    </row>
    <row r="73" spans="1:22" ht="11.25" customHeight="1" x14ac:dyDescent="0.2">
      <c r="A73" s="65"/>
      <c r="B73" s="65"/>
      <c r="C73" s="65"/>
      <c r="D73" s="65"/>
      <c r="E73" s="65"/>
      <c r="F73" s="65"/>
      <c r="G73" s="65"/>
      <c r="H73" s="65"/>
      <c r="I73" s="65"/>
      <c r="J73" s="65"/>
      <c r="K73" s="65"/>
      <c r="L73" s="65"/>
      <c r="M73" s="65"/>
      <c r="N73" s="65"/>
      <c r="O73" s="65"/>
      <c r="P73" s="65"/>
      <c r="Q73" s="65"/>
      <c r="R73" s="65"/>
      <c r="S73" s="65"/>
      <c r="T73" s="65"/>
      <c r="U73" s="65"/>
      <c r="V73" s="65"/>
    </row>
    <row r="74" spans="1:22" ht="11.25" customHeight="1" x14ac:dyDescent="0.2">
      <c r="A74" s="65"/>
      <c r="B74" s="65"/>
      <c r="C74" s="65"/>
      <c r="D74" s="65"/>
      <c r="E74" s="65"/>
      <c r="F74" s="65"/>
      <c r="G74" s="65"/>
      <c r="H74" s="65"/>
      <c r="I74" s="65"/>
      <c r="J74" s="65"/>
      <c r="K74" s="65"/>
      <c r="L74" s="65"/>
      <c r="M74" s="65"/>
      <c r="N74" s="65"/>
      <c r="O74" s="65"/>
      <c r="P74" s="65"/>
      <c r="Q74" s="65"/>
      <c r="R74" s="65"/>
      <c r="S74" s="65"/>
      <c r="T74" s="65"/>
      <c r="U74" s="65"/>
      <c r="V74" s="65"/>
    </row>
    <row r="75" spans="1:22" ht="11.25" customHeight="1" x14ac:dyDescent="0.2">
      <c r="A75" s="65"/>
      <c r="B75" s="65"/>
      <c r="C75" s="65"/>
      <c r="D75" s="65"/>
      <c r="E75" s="65"/>
      <c r="F75" s="65"/>
      <c r="G75" s="65"/>
      <c r="H75" s="65"/>
      <c r="I75" s="65"/>
      <c r="J75" s="65"/>
      <c r="K75" s="65"/>
      <c r="L75" s="65"/>
      <c r="M75" s="65"/>
      <c r="N75" s="65"/>
      <c r="O75" s="65"/>
      <c r="P75" s="65"/>
      <c r="Q75" s="65"/>
      <c r="R75" s="65"/>
      <c r="S75" s="65"/>
      <c r="T75" s="65"/>
      <c r="U75" s="65"/>
      <c r="V75" s="65"/>
    </row>
    <row r="76" spans="1:22" ht="11.25" customHeight="1" x14ac:dyDescent="0.2">
      <c r="A76" s="65"/>
      <c r="B76" s="65"/>
      <c r="C76" s="65"/>
      <c r="D76" s="65"/>
      <c r="E76" s="65"/>
      <c r="F76" s="65"/>
      <c r="G76" s="65"/>
      <c r="H76" s="65"/>
      <c r="I76" s="65"/>
      <c r="J76" s="65"/>
      <c r="K76" s="65"/>
      <c r="L76" s="65"/>
      <c r="M76" s="65"/>
      <c r="N76" s="65"/>
      <c r="O76" s="65"/>
      <c r="P76" s="65"/>
      <c r="Q76" s="65"/>
      <c r="R76" s="65"/>
      <c r="S76" s="65"/>
      <c r="T76" s="65"/>
      <c r="U76" s="65"/>
      <c r="V76" s="65"/>
    </row>
    <row r="77" spans="1:22" ht="11.25" customHeight="1" x14ac:dyDescent="0.2">
      <c r="A77" s="65"/>
      <c r="B77" s="65"/>
      <c r="C77" s="65"/>
      <c r="D77" s="65"/>
      <c r="E77" s="65"/>
      <c r="F77" s="65"/>
      <c r="G77" s="65"/>
      <c r="H77" s="65"/>
      <c r="I77" s="65"/>
      <c r="J77" s="65"/>
      <c r="K77" s="65"/>
      <c r="L77" s="65"/>
      <c r="M77" s="65"/>
      <c r="N77" s="65"/>
      <c r="O77" s="65"/>
      <c r="P77" s="65"/>
      <c r="Q77" s="65"/>
      <c r="R77" s="65"/>
      <c r="S77" s="65"/>
      <c r="T77" s="65"/>
      <c r="U77" s="65"/>
      <c r="V77" s="65"/>
    </row>
    <row r="78" spans="1:22" ht="11.25" customHeight="1" x14ac:dyDescent="0.2">
      <c r="A78" s="65"/>
      <c r="B78" s="65"/>
      <c r="C78" s="65"/>
      <c r="D78" s="65"/>
      <c r="E78" s="65"/>
      <c r="F78" s="65"/>
      <c r="G78" s="65"/>
      <c r="H78" s="65"/>
      <c r="I78" s="65"/>
      <c r="J78" s="65"/>
      <c r="K78" s="65"/>
      <c r="L78" s="65"/>
      <c r="M78" s="65"/>
      <c r="N78" s="65"/>
      <c r="O78" s="65"/>
      <c r="P78" s="65"/>
      <c r="Q78" s="65"/>
      <c r="R78" s="65"/>
      <c r="S78" s="65"/>
      <c r="T78" s="65"/>
      <c r="U78" s="65"/>
      <c r="V78" s="65"/>
    </row>
    <row r="79" spans="1:22" ht="11.25" customHeight="1" x14ac:dyDescent="0.2">
      <c r="A79" s="65"/>
      <c r="B79" s="65"/>
      <c r="C79" s="65"/>
      <c r="D79" s="65"/>
      <c r="E79" s="65"/>
      <c r="F79" s="65"/>
      <c r="G79" s="65"/>
      <c r="H79" s="65"/>
      <c r="I79" s="65"/>
      <c r="J79" s="65"/>
      <c r="K79" s="65"/>
      <c r="L79" s="65"/>
      <c r="M79" s="65"/>
      <c r="N79" s="65"/>
      <c r="O79" s="65"/>
      <c r="P79" s="65"/>
      <c r="Q79" s="65"/>
      <c r="R79" s="65"/>
      <c r="S79" s="65"/>
      <c r="T79" s="65"/>
      <c r="U79" s="65"/>
      <c r="V79" s="65"/>
    </row>
    <row r="80" spans="1:22" ht="11.25" customHeight="1" x14ac:dyDescent="0.2">
      <c r="A80" s="65"/>
      <c r="B80" s="65"/>
      <c r="C80" s="65"/>
      <c r="D80" s="65"/>
      <c r="E80" s="65"/>
      <c r="F80" s="65"/>
      <c r="G80" s="65"/>
      <c r="H80" s="65"/>
      <c r="I80" s="65"/>
      <c r="J80" s="65"/>
      <c r="K80" s="65"/>
      <c r="L80" s="65"/>
      <c r="M80" s="65"/>
      <c r="N80" s="65"/>
      <c r="O80" s="65"/>
      <c r="P80" s="65"/>
      <c r="Q80" s="65"/>
      <c r="R80" s="65"/>
      <c r="S80" s="65"/>
      <c r="T80" s="65"/>
      <c r="U80" s="65"/>
      <c r="V80" s="65"/>
    </row>
    <row r="81" spans="1:22" ht="11.25" customHeight="1" x14ac:dyDescent="0.2">
      <c r="A81" s="65"/>
      <c r="B81" s="65"/>
      <c r="C81" s="65"/>
      <c r="D81" s="65"/>
      <c r="E81" s="65"/>
      <c r="F81" s="65"/>
      <c r="G81" s="65"/>
      <c r="H81" s="65"/>
      <c r="I81" s="65"/>
      <c r="J81" s="65"/>
      <c r="K81" s="65"/>
      <c r="L81" s="65"/>
      <c r="M81" s="65"/>
      <c r="N81" s="65"/>
      <c r="O81" s="65"/>
      <c r="P81" s="65"/>
      <c r="Q81" s="65"/>
      <c r="R81" s="65"/>
      <c r="S81" s="65"/>
      <c r="T81" s="65"/>
      <c r="U81" s="65"/>
      <c r="V81" s="65"/>
    </row>
    <row r="82" spans="1:22" ht="11.25" customHeight="1" x14ac:dyDescent="0.2">
      <c r="A82" s="65"/>
      <c r="B82" s="65"/>
      <c r="C82" s="65"/>
      <c r="D82" s="65"/>
      <c r="E82" s="65"/>
      <c r="F82" s="65"/>
      <c r="G82" s="65"/>
      <c r="H82" s="65"/>
      <c r="I82" s="65"/>
      <c r="J82" s="65"/>
      <c r="K82" s="65"/>
      <c r="L82" s="65"/>
      <c r="M82" s="65"/>
      <c r="N82" s="65"/>
      <c r="O82" s="65"/>
      <c r="P82" s="65"/>
      <c r="Q82" s="65"/>
      <c r="R82" s="65"/>
      <c r="S82" s="65"/>
      <c r="T82" s="65"/>
      <c r="U82" s="65"/>
      <c r="V82" s="65"/>
    </row>
    <row r="83" spans="1:22" ht="11.25" customHeight="1" x14ac:dyDescent="0.2">
      <c r="A83" s="65"/>
      <c r="B83" s="65"/>
      <c r="C83" s="65"/>
      <c r="D83" s="65"/>
      <c r="E83" s="65"/>
      <c r="F83" s="65"/>
      <c r="G83" s="65"/>
      <c r="H83" s="65"/>
      <c r="I83" s="65"/>
      <c r="J83" s="65"/>
      <c r="K83" s="65"/>
      <c r="L83" s="65"/>
      <c r="M83" s="65"/>
      <c r="N83" s="65"/>
      <c r="O83" s="65"/>
      <c r="P83" s="65"/>
      <c r="Q83" s="65"/>
      <c r="R83" s="65"/>
      <c r="S83" s="65"/>
      <c r="T83" s="65"/>
      <c r="U83" s="65"/>
      <c r="V83" s="65"/>
    </row>
    <row r="84" spans="1:22" ht="11.25" customHeight="1" x14ac:dyDescent="0.2">
      <c r="A84" s="65"/>
      <c r="B84" s="65"/>
      <c r="C84" s="65"/>
      <c r="D84" s="65"/>
      <c r="E84" s="65"/>
      <c r="F84" s="65"/>
      <c r="G84" s="65"/>
      <c r="H84" s="65"/>
      <c r="I84" s="65"/>
      <c r="J84" s="65"/>
      <c r="K84" s="65"/>
      <c r="L84" s="65"/>
      <c r="M84" s="65"/>
      <c r="N84" s="65"/>
      <c r="O84" s="65"/>
      <c r="P84" s="65"/>
      <c r="Q84" s="65"/>
      <c r="R84" s="65"/>
      <c r="S84" s="65"/>
      <c r="T84" s="65"/>
      <c r="U84" s="65"/>
      <c r="V84" s="65"/>
    </row>
    <row r="85" spans="1:22" ht="11.25" customHeight="1" x14ac:dyDescent="0.2">
      <c r="A85" s="65"/>
      <c r="B85" s="65"/>
      <c r="C85" s="65"/>
      <c r="D85" s="65"/>
      <c r="E85" s="65"/>
      <c r="F85" s="65"/>
      <c r="G85" s="65"/>
      <c r="H85" s="65"/>
      <c r="I85" s="65"/>
      <c r="J85" s="65"/>
      <c r="K85" s="65"/>
      <c r="L85" s="65"/>
      <c r="M85" s="65"/>
      <c r="N85" s="65"/>
      <c r="O85" s="65"/>
      <c r="P85" s="65"/>
      <c r="Q85" s="65"/>
      <c r="R85" s="65"/>
      <c r="S85" s="65"/>
      <c r="T85" s="65"/>
      <c r="U85" s="65"/>
      <c r="V85" s="65"/>
    </row>
    <row r="86" spans="1:22" ht="11.25" customHeight="1" x14ac:dyDescent="0.2">
      <c r="A86" s="65"/>
      <c r="B86" s="65"/>
      <c r="C86" s="65"/>
      <c r="D86" s="65"/>
      <c r="E86" s="65"/>
      <c r="F86" s="65"/>
      <c r="G86" s="65"/>
      <c r="H86" s="65"/>
      <c r="I86" s="65"/>
      <c r="J86" s="65"/>
      <c r="K86" s="65"/>
      <c r="L86" s="65"/>
      <c r="M86" s="65"/>
      <c r="N86" s="65"/>
      <c r="O86" s="65"/>
      <c r="P86" s="65"/>
      <c r="Q86" s="65"/>
      <c r="R86" s="65"/>
      <c r="S86" s="65"/>
      <c r="T86" s="65"/>
      <c r="U86" s="65"/>
      <c r="V86" s="65"/>
    </row>
    <row r="87" spans="1:22" ht="11.25" customHeight="1" x14ac:dyDescent="0.2">
      <c r="A87" s="65"/>
      <c r="B87" s="65"/>
      <c r="C87" s="65"/>
      <c r="D87" s="65"/>
      <c r="E87" s="65"/>
      <c r="F87" s="65"/>
      <c r="G87" s="65"/>
      <c r="H87" s="65"/>
      <c r="I87" s="65"/>
      <c r="J87" s="65"/>
      <c r="K87" s="65"/>
      <c r="L87" s="65"/>
      <c r="M87" s="65"/>
      <c r="N87" s="65"/>
      <c r="O87" s="65"/>
      <c r="P87" s="65"/>
      <c r="Q87" s="65"/>
      <c r="R87" s="65"/>
      <c r="S87" s="65"/>
      <c r="T87" s="65"/>
      <c r="U87" s="65"/>
      <c r="V87" s="65"/>
    </row>
    <row r="88" spans="1:22" ht="11.25" customHeight="1" x14ac:dyDescent="0.2">
      <c r="A88" s="65"/>
      <c r="B88" s="65"/>
      <c r="C88" s="65"/>
      <c r="D88" s="65"/>
      <c r="E88" s="65"/>
      <c r="F88" s="65"/>
      <c r="G88" s="65"/>
      <c r="H88" s="65"/>
      <c r="I88" s="65"/>
      <c r="J88" s="65"/>
      <c r="K88" s="65"/>
      <c r="L88" s="65"/>
      <c r="M88" s="65"/>
      <c r="N88" s="65"/>
      <c r="O88" s="65"/>
      <c r="P88" s="65"/>
      <c r="Q88" s="65"/>
      <c r="R88" s="65"/>
      <c r="S88" s="65"/>
      <c r="T88" s="65"/>
      <c r="U88" s="65"/>
      <c r="V88" s="65"/>
    </row>
    <row r="89" spans="1:22" ht="11.25" customHeight="1" x14ac:dyDescent="0.2">
      <c r="A89" s="65"/>
      <c r="B89" s="65"/>
      <c r="C89" s="65"/>
      <c r="D89" s="65"/>
      <c r="E89" s="65"/>
      <c r="F89" s="65"/>
      <c r="G89" s="65"/>
      <c r="H89" s="65"/>
      <c r="I89" s="65"/>
      <c r="J89" s="65"/>
      <c r="K89" s="65"/>
      <c r="L89" s="65"/>
      <c r="M89" s="65"/>
      <c r="N89" s="65"/>
      <c r="O89" s="65"/>
      <c r="P89" s="65"/>
      <c r="Q89" s="65"/>
      <c r="R89" s="65"/>
      <c r="S89" s="65"/>
      <c r="T89" s="65"/>
      <c r="U89" s="65"/>
      <c r="V89" s="65"/>
    </row>
    <row r="90" spans="1:22" ht="11.25" customHeight="1" x14ac:dyDescent="0.2">
      <c r="A90" s="65"/>
      <c r="B90" s="65"/>
      <c r="C90" s="65"/>
      <c r="D90" s="65"/>
      <c r="E90" s="65"/>
      <c r="F90" s="65"/>
      <c r="G90" s="65"/>
      <c r="H90" s="65"/>
      <c r="I90" s="65"/>
      <c r="J90" s="65"/>
      <c r="K90" s="65"/>
      <c r="L90" s="65"/>
      <c r="M90" s="65"/>
      <c r="N90" s="65"/>
      <c r="O90" s="65"/>
      <c r="P90" s="65"/>
      <c r="Q90" s="65"/>
      <c r="R90" s="65"/>
      <c r="S90" s="65"/>
      <c r="T90" s="65"/>
      <c r="U90" s="65"/>
      <c r="V90" s="65"/>
    </row>
    <row r="91" spans="1:22" ht="11.25" customHeight="1" x14ac:dyDescent="0.2">
      <c r="A91" s="65"/>
      <c r="B91" s="65"/>
      <c r="C91" s="65"/>
      <c r="D91" s="65"/>
      <c r="E91" s="65"/>
      <c r="F91" s="65"/>
      <c r="G91" s="65"/>
      <c r="H91" s="65"/>
      <c r="I91" s="65"/>
      <c r="J91" s="65"/>
      <c r="K91" s="65"/>
      <c r="L91" s="65"/>
      <c r="M91" s="65"/>
      <c r="N91" s="65"/>
      <c r="O91" s="65"/>
      <c r="P91" s="65"/>
      <c r="Q91" s="65"/>
      <c r="R91" s="65"/>
      <c r="S91" s="65"/>
      <c r="T91" s="65"/>
      <c r="U91" s="65"/>
      <c r="V91" s="65"/>
    </row>
    <row r="92" spans="1:22" ht="11.25" customHeight="1" x14ac:dyDescent="0.2">
      <c r="A92" s="65"/>
      <c r="B92" s="65"/>
      <c r="C92" s="65"/>
      <c r="D92" s="65"/>
      <c r="E92" s="65"/>
      <c r="F92" s="65"/>
      <c r="G92" s="65"/>
      <c r="H92" s="65"/>
      <c r="I92" s="65"/>
      <c r="J92" s="65"/>
      <c r="K92" s="65"/>
      <c r="L92" s="65"/>
      <c r="M92" s="65"/>
      <c r="N92" s="65"/>
      <c r="O92" s="65"/>
      <c r="P92" s="65"/>
      <c r="Q92" s="65"/>
      <c r="R92" s="65"/>
      <c r="S92" s="65"/>
      <c r="T92" s="65"/>
      <c r="U92" s="65"/>
      <c r="V92" s="65"/>
    </row>
    <row r="93" spans="1:22" ht="11.25" customHeight="1" x14ac:dyDescent="0.2">
      <c r="A93" s="65"/>
      <c r="B93" s="65"/>
      <c r="C93" s="65"/>
      <c r="D93" s="65"/>
      <c r="E93" s="65"/>
      <c r="F93" s="65"/>
      <c r="G93" s="65"/>
      <c r="H93" s="65"/>
      <c r="I93" s="65"/>
      <c r="J93" s="65"/>
      <c r="K93" s="65"/>
      <c r="L93" s="65"/>
      <c r="M93" s="65"/>
      <c r="N93" s="65"/>
      <c r="O93" s="65"/>
      <c r="P93" s="65"/>
      <c r="Q93" s="65"/>
      <c r="R93" s="65"/>
      <c r="S93" s="65"/>
      <c r="T93" s="65"/>
      <c r="U93" s="65"/>
      <c r="V93" s="65"/>
    </row>
    <row r="94" spans="1:22" ht="11.25" customHeight="1" x14ac:dyDescent="0.2">
      <c r="A94" s="65"/>
      <c r="B94" s="65"/>
      <c r="C94" s="65"/>
      <c r="D94" s="65"/>
      <c r="E94" s="65"/>
      <c r="F94" s="65"/>
      <c r="G94" s="65"/>
      <c r="H94" s="65"/>
      <c r="I94" s="65"/>
      <c r="J94" s="65"/>
      <c r="K94" s="65"/>
      <c r="L94" s="65"/>
      <c r="M94" s="65"/>
      <c r="N94" s="65"/>
      <c r="O94" s="65"/>
      <c r="P94" s="65"/>
      <c r="Q94" s="65"/>
      <c r="R94" s="65"/>
      <c r="S94" s="65"/>
      <c r="T94" s="65"/>
      <c r="U94" s="65"/>
      <c r="V94" s="65"/>
    </row>
    <row r="95" spans="1:22" ht="11.25" customHeight="1" x14ac:dyDescent="0.2">
      <c r="A95" s="65"/>
      <c r="B95" s="65"/>
      <c r="C95" s="65"/>
      <c r="D95" s="65"/>
      <c r="E95" s="65"/>
      <c r="F95" s="65"/>
      <c r="G95" s="65"/>
      <c r="H95" s="65"/>
      <c r="I95" s="65"/>
      <c r="J95" s="65"/>
      <c r="K95" s="65"/>
      <c r="L95" s="65"/>
      <c r="M95" s="65"/>
      <c r="N95" s="65"/>
      <c r="O95" s="65"/>
      <c r="P95" s="65"/>
      <c r="Q95" s="65"/>
      <c r="R95" s="65"/>
      <c r="S95" s="65"/>
      <c r="T95" s="65"/>
      <c r="U95" s="65"/>
      <c r="V95" s="65"/>
    </row>
    <row r="96" spans="1:22" ht="11.25" customHeight="1" x14ac:dyDescent="0.2">
      <c r="A96" s="65"/>
      <c r="B96" s="65"/>
      <c r="C96" s="65"/>
      <c r="D96" s="65"/>
      <c r="E96" s="65"/>
      <c r="F96" s="65"/>
      <c r="G96" s="65"/>
      <c r="H96" s="65"/>
      <c r="I96" s="65"/>
      <c r="J96" s="65"/>
      <c r="K96" s="65"/>
      <c r="L96" s="65"/>
      <c r="M96" s="65"/>
      <c r="N96" s="65"/>
      <c r="O96" s="65"/>
      <c r="P96" s="65"/>
      <c r="Q96" s="65"/>
      <c r="R96" s="65"/>
      <c r="S96" s="65"/>
      <c r="T96" s="65"/>
      <c r="U96" s="65"/>
      <c r="V96" s="65"/>
    </row>
    <row r="97" spans="1:22" ht="11.25" customHeight="1" x14ac:dyDescent="0.2">
      <c r="A97" s="65"/>
      <c r="B97" s="65"/>
      <c r="C97" s="65"/>
      <c r="D97" s="65"/>
      <c r="E97" s="65"/>
      <c r="F97" s="65"/>
      <c r="G97" s="65"/>
      <c r="H97" s="65"/>
      <c r="I97" s="65"/>
      <c r="J97" s="65"/>
      <c r="K97" s="65"/>
      <c r="L97" s="65"/>
      <c r="M97" s="65"/>
      <c r="N97" s="65"/>
      <c r="O97" s="65"/>
      <c r="P97" s="65"/>
      <c r="Q97" s="65"/>
      <c r="R97" s="65"/>
      <c r="S97" s="65"/>
      <c r="T97" s="65"/>
      <c r="U97" s="65"/>
      <c r="V97" s="65"/>
    </row>
    <row r="98" spans="1:22" ht="11.25" customHeight="1" x14ac:dyDescent="0.2">
      <c r="A98" s="65"/>
      <c r="B98" s="65"/>
      <c r="C98" s="65"/>
      <c r="D98" s="65"/>
      <c r="E98" s="65"/>
      <c r="F98" s="65"/>
      <c r="G98" s="65"/>
      <c r="H98" s="65"/>
      <c r="I98" s="65"/>
      <c r="J98" s="65"/>
      <c r="K98" s="65"/>
      <c r="L98" s="65"/>
      <c r="M98" s="65"/>
      <c r="N98" s="65"/>
      <c r="O98" s="65"/>
      <c r="P98" s="65"/>
      <c r="Q98" s="65"/>
      <c r="R98" s="65"/>
      <c r="S98" s="65"/>
      <c r="T98" s="65"/>
      <c r="U98" s="65"/>
      <c r="V98" s="65"/>
    </row>
    <row r="99" spans="1:22" ht="11.25" customHeight="1" x14ac:dyDescent="0.2">
      <c r="A99" s="65"/>
      <c r="B99" s="65"/>
      <c r="C99" s="65"/>
      <c r="D99" s="65"/>
      <c r="E99" s="65"/>
      <c r="F99" s="65"/>
      <c r="G99" s="65"/>
      <c r="H99" s="65"/>
      <c r="I99" s="65"/>
      <c r="J99" s="65"/>
      <c r="K99" s="65"/>
      <c r="L99" s="65"/>
      <c r="M99" s="65"/>
      <c r="N99" s="65"/>
      <c r="O99" s="65"/>
      <c r="P99" s="65"/>
      <c r="Q99" s="65"/>
      <c r="R99" s="65"/>
      <c r="S99" s="65"/>
      <c r="T99" s="65"/>
      <c r="U99" s="65"/>
      <c r="V99" s="65"/>
    </row>
    <row r="100" spans="1:22" ht="11.25" customHeight="1" x14ac:dyDescent="0.2">
      <c r="A100" s="65"/>
      <c r="B100" s="65"/>
      <c r="C100" s="65"/>
      <c r="D100" s="65"/>
      <c r="E100" s="65"/>
      <c r="F100" s="65"/>
      <c r="G100" s="65"/>
      <c r="H100" s="65"/>
      <c r="I100" s="65"/>
      <c r="J100" s="65"/>
      <c r="K100" s="65"/>
      <c r="L100" s="65"/>
      <c r="M100" s="65"/>
      <c r="N100" s="65"/>
      <c r="O100" s="65"/>
      <c r="P100" s="65"/>
      <c r="Q100" s="65"/>
      <c r="R100" s="65"/>
      <c r="S100" s="65"/>
      <c r="T100" s="65"/>
      <c r="U100" s="65"/>
      <c r="V100" s="65"/>
    </row>
  </sheetData>
  <mergeCells count="5">
    <mergeCell ref="A4:A5"/>
    <mergeCell ref="B4:H4"/>
    <mergeCell ref="I4:M4"/>
    <mergeCell ref="N4:O4"/>
    <mergeCell ref="P4:Q4"/>
  </mergeCells>
  <printOptions horizontalCentered="1"/>
  <pageMargins left="0.23622047244094491" right="0.23622047244094491" top="0.74803149606299213" bottom="0.74803149606299213" header="0" footer="0"/>
  <pageSetup paperSize="9" scale="80" orientation="landscape"/>
  <headerFooter>
    <oddHeader>&amp;CPROYECTO DEL PRESUPUESTO 2021</oddHeader>
    <oddFooter>&amp;LPROYECTO DE PRESUPUESTO PARA EL AÑO FISCAL 2020 INFORMACIÓN PARA LA COMISIÓN DE PRESUPUESTO Y CUENTA GENERAL DE LA REPÚBLICA DEL CONGRESO DE LA REPÚBLICA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S100"/>
  <sheetViews>
    <sheetView showGridLines="0" workbookViewId="0"/>
  </sheetViews>
  <sheetFormatPr baseColWidth="10" defaultColWidth="14.42578125" defaultRowHeight="15" customHeight="1" x14ac:dyDescent="0.2"/>
  <cols>
    <col min="1" max="1" width="25.140625" customWidth="1"/>
    <col min="2" max="2" width="16.28515625" customWidth="1"/>
    <col min="3" max="3" width="6.140625" customWidth="1"/>
    <col min="4" max="4" width="9.85546875" customWidth="1"/>
    <col min="5" max="5" width="8.85546875" customWidth="1"/>
    <col min="6" max="6" width="10.7109375" customWidth="1"/>
    <col min="7" max="7" width="9.85546875" customWidth="1"/>
    <col min="8" max="8" width="10.85546875" customWidth="1"/>
    <col min="9" max="9" width="12.140625" customWidth="1"/>
    <col min="10" max="10" width="12.28515625" customWidth="1"/>
    <col min="11" max="11" width="5.28515625" customWidth="1"/>
    <col min="12" max="12" width="12.42578125" customWidth="1"/>
    <col min="13" max="13" width="6.140625" customWidth="1"/>
    <col min="14" max="14" width="12.42578125" customWidth="1"/>
    <col min="15" max="16" width="6.42578125" customWidth="1"/>
    <col min="17" max="17" width="12.85546875" customWidth="1"/>
    <col min="18" max="18" width="7" customWidth="1"/>
    <col min="19" max="19" width="11.42578125" customWidth="1"/>
  </cols>
  <sheetData>
    <row r="1" spans="1:19" ht="12" customHeight="1" x14ac:dyDescent="0.2">
      <c r="A1" s="11" t="s">
        <v>401</v>
      </c>
      <c r="B1" s="213"/>
      <c r="C1" s="213"/>
      <c r="D1" s="213"/>
      <c r="E1" s="213"/>
      <c r="F1" s="213"/>
      <c r="G1" s="213"/>
      <c r="H1" s="213"/>
      <c r="I1" s="213"/>
      <c r="J1" s="213"/>
      <c r="K1" s="213"/>
      <c r="L1" s="213"/>
      <c r="M1" s="213"/>
      <c r="N1" s="213"/>
      <c r="O1" s="213"/>
      <c r="P1" s="213"/>
      <c r="Q1" s="213"/>
      <c r="R1" s="213"/>
      <c r="S1" s="214"/>
    </row>
    <row r="2" spans="1:19" ht="12" customHeight="1" x14ac:dyDescent="0.2">
      <c r="A2" s="16" t="s">
        <v>402</v>
      </c>
      <c r="B2" s="48"/>
      <c r="C2" s="48"/>
      <c r="D2" s="48"/>
      <c r="E2" s="48"/>
      <c r="F2" s="48"/>
      <c r="G2" s="48"/>
      <c r="H2" s="48"/>
      <c r="I2" s="48"/>
      <c r="J2" s="48"/>
      <c r="K2" s="48"/>
      <c r="L2" s="48"/>
      <c r="M2" s="48"/>
      <c r="N2" s="48"/>
      <c r="O2" s="48"/>
      <c r="P2" s="48"/>
      <c r="Q2" s="48"/>
      <c r="R2" s="48"/>
      <c r="S2" s="48"/>
    </row>
    <row r="3" spans="1:19" ht="6.75" customHeight="1" x14ac:dyDescent="0.2">
      <c r="A3" s="16"/>
      <c r="B3" s="48"/>
      <c r="C3" s="48"/>
      <c r="D3" s="48"/>
      <c r="E3" s="48"/>
      <c r="F3" s="48"/>
      <c r="G3" s="48"/>
      <c r="H3" s="48"/>
      <c r="I3" s="48"/>
      <c r="J3" s="48"/>
      <c r="K3" s="48"/>
      <c r="L3" s="48"/>
      <c r="M3" s="48"/>
      <c r="N3" s="48"/>
      <c r="O3" s="48"/>
      <c r="P3" s="48"/>
      <c r="Q3" s="48"/>
      <c r="R3" s="48"/>
      <c r="S3" s="48"/>
    </row>
    <row r="4" spans="1:19" ht="27" customHeight="1" x14ac:dyDescent="0.2">
      <c r="A4" s="830" t="s">
        <v>403</v>
      </c>
      <c r="B4" s="831" t="s">
        <v>404</v>
      </c>
      <c r="C4" s="832" t="s">
        <v>259</v>
      </c>
      <c r="D4" s="833"/>
      <c r="E4" s="833"/>
      <c r="F4" s="833"/>
      <c r="G4" s="833"/>
      <c r="H4" s="833"/>
      <c r="I4" s="829"/>
      <c r="J4" s="834" t="s">
        <v>266</v>
      </c>
      <c r="K4" s="833"/>
      <c r="L4" s="833"/>
      <c r="M4" s="833"/>
      <c r="N4" s="829"/>
      <c r="O4" s="835" t="s">
        <v>271</v>
      </c>
      <c r="P4" s="836"/>
      <c r="Q4" s="828" t="s">
        <v>284</v>
      </c>
      <c r="R4" s="829"/>
      <c r="S4" s="214"/>
    </row>
    <row r="5" spans="1:19" ht="112.5" customHeight="1" x14ac:dyDescent="0.2">
      <c r="A5" s="820"/>
      <c r="B5" s="820"/>
      <c r="C5" s="215" t="s">
        <v>405</v>
      </c>
      <c r="D5" s="216" t="s">
        <v>406</v>
      </c>
      <c r="E5" s="216" t="s">
        <v>407</v>
      </c>
      <c r="F5" s="216" t="s">
        <v>408</v>
      </c>
      <c r="G5" s="216" t="s">
        <v>409</v>
      </c>
      <c r="H5" s="216" t="s">
        <v>410</v>
      </c>
      <c r="I5" s="217" t="s">
        <v>287</v>
      </c>
      <c r="J5" s="215" t="s">
        <v>409</v>
      </c>
      <c r="K5" s="216" t="s">
        <v>410</v>
      </c>
      <c r="L5" s="216" t="s">
        <v>411</v>
      </c>
      <c r="M5" s="216" t="s">
        <v>412</v>
      </c>
      <c r="N5" s="217" t="s">
        <v>290</v>
      </c>
      <c r="O5" s="218" t="s">
        <v>413</v>
      </c>
      <c r="P5" s="216" t="s">
        <v>291</v>
      </c>
      <c r="Q5" s="219" t="s">
        <v>414</v>
      </c>
      <c r="R5" s="220" t="s">
        <v>293</v>
      </c>
      <c r="S5" s="214"/>
    </row>
    <row r="6" spans="1:19" ht="13.5" customHeight="1" x14ac:dyDescent="0.2">
      <c r="A6" s="221" t="s">
        <v>415</v>
      </c>
      <c r="B6" s="222">
        <v>2019</v>
      </c>
      <c r="C6" s="223">
        <v>0</v>
      </c>
      <c r="D6" s="224">
        <v>2000</v>
      </c>
      <c r="E6" s="224"/>
      <c r="F6" s="224">
        <v>65589308</v>
      </c>
      <c r="G6" s="224">
        <v>0</v>
      </c>
      <c r="H6" s="224">
        <v>102200</v>
      </c>
      <c r="I6" s="225">
        <f t="shared" ref="I6:I8" si="0">SUM(C6:H6)</f>
        <v>65693508</v>
      </c>
      <c r="J6" s="223">
        <v>0</v>
      </c>
      <c r="K6" s="224">
        <v>0</v>
      </c>
      <c r="L6" s="224">
        <v>55885018</v>
      </c>
      <c r="M6" s="224">
        <v>0</v>
      </c>
      <c r="N6" s="225">
        <f t="shared" ref="N6:N8" si="1">SUM(J6:M6)</f>
        <v>55885018</v>
      </c>
      <c r="O6" s="226">
        <v>0</v>
      </c>
      <c r="P6" s="224">
        <f t="shared" ref="P6:P8" si="2">O6</f>
        <v>0</v>
      </c>
      <c r="Q6" s="224">
        <f t="shared" ref="Q6:Q8" si="3">P6+N6+I6</f>
        <v>121578526</v>
      </c>
      <c r="R6" s="227">
        <f>Q6/$Q$26</f>
        <v>2.6643578873191655E-2</v>
      </c>
      <c r="S6" s="214"/>
    </row>
    <row r="7" spans="1:19" ht="13.5" customHeight="1" x14ac:dyDescent="0.2">
      <c r="A7" s="228"/>
      <c r="B7" s="229">
        <v>2020</v>
      </c>
      <c r="C7" s="230">
        <v>0</v>
      </c>
      <c r="D7" s="231">
        <v>9108329</v>
      </c>
      <c r="E7" s="231">
        <v>1157076</v>
      </c>
      <c r="F7" s="231">
        <v>97868463</v>
      </c>
      <c r="G7" s="231">
        <v>0</v>
      </c>
      <c r="H7" s="231">
        <v>100786</v>
      </c>
      <c r="I7" s="232">
        <f t="shared" si="0"/>
        <v>108234654</v>
      </c>
      <c r="J7" s="230">
        <v>0</v>
      </c>
      <c r="K7" s="231">
        <v>0</v>
      </c>
      <c r="L7" s="231">
        <v>9328456</v>
      </c>
      <c r="M7" s="231">
        <v>0</v>
      </c>
      <c r="N7" s="232">
        <f t="shared" si="1"/>
        <v>9328456</v>
      </c>
      <c r="O7" s="233">
        <v>0</v>
      </c>
      <c r="P7" s="231">
        <f t="shared" si="2"/>
        <v>0</v>
      </c>
      <c r="Q7" s="231">
        <f t="shared" si="3"/>
        <v>117563110</v>
      </c>
      <c r="R7" s="234">
        <f>Q7/$Q$27</f>
        <v>3.0561483798421097E-2</v>
      </c>
      <c r="S7" s="214"/>
    </row>
    <row r="8" spans="1:19" ht="13.5" customHeight="1" x14ac:dyDescent="0.2">
      <c r="A8" s="228"/>
      <c r="B8" s="229">
        <v>2021</v>
      </c>
      <c r="C8" s="230">
        <v>0</v>
      </c>
      <c r="D8" s="231">
        <v>8982041</v>
      </c>
      <c r="E8" s="231">
        <v>1117142</v>
      </c>
      <c r="F8" s="231">
        <v>96227701</v>
      </c>
      <c r="G8" s="231"/>
      <c r="H8" s="231">
        <v>100786</v>
      </c>
      <c r="I8" s="232">
        <f t="shared" si="0"/>
        <v>106427670</v>
      </c>
      <c r="J8" s="230">
        <v>0</v>
      </c>
      <c r="K8" s="231">
        <v>0</v>
      </c>
      <c r="L8" s="231">
        <v>3822643</v>
      </c>
      <c r="M8" s="231">
        <v>0</v>
      </c>
      <c r="N8" s="232">
        <f t="shared" si="1"/>
        <v>3822643</v>
      </c>
      <c r="O8" s="233">
        <v>0</v>
      </c>
      <c r="P8" s="231">
        <f t="shared" si="2"/>
        <v>0</v>
      </c>
      <c r="Q8" s="231">
        <f t="shared" si="3"/>
        <v>110250313</v>
      </c>
      <c r="R8" s="234">
        <f>Q8/$Q$28</f>
        <v>3.2858997550372117E-2</v>
      </c>
      <c r="S8" s="214"/>
    </row>
    <row r="9" spans="1:19" ht="16.5" customHeight="1" x14ac:dyDescent="0.2">
      <c r="A9" s="235"/>
      <c r="B9" s="236" t="s">
        <v>416</v>
      </c>
      <c r="C9" s="237">
        <v>0</v>
      </c>
      <c r="D9" s="238">
        <f t="shared" ref="D9:F9" si="4">(D8-D7)/D7</f>
        <v>-1.3865111811398117E-2</v>
      </c>
      <c r="E9" s="238">
        <f t="shared" si="4"/>
        <v>-3.4512858273786681E-2</v>
      </c>
      <c r="F9" s="238">
        <f t="shared" si="4"/>
        <v>-1.6764971572098768E-2</v>
      </c>
      <c r="G9" s="238">
        <v>0</v>
      </c>
      <c r="H9" s="238">
        <f t="shared" ref="H9:I9" si="5">(H8-H7)/H7</f>
        <v>0</v>
      </c>
      <c r="I9" s="239">
        <f t="shared" si="5"/>
        <v>-1.6695059606325346E-2</v>
      </c>
      <c r="J9" s="237">
        <v>0</v>
      </c>
      <c r="K9" s="238">
        <v>0</v>
      </c>
      <c r="L9" s="238">
        <f>(L8-L7)/L7</f>
        <v>-0.59021696623749953</v>
      </c>
      <c r="M9" s="238">
        <v>0</v>
      </c>
      <c r="N9" s="239">
        <f>(N8-N7)/N7</f>
        <v>-0.59021696623749953</v>
      </c>
      <c r="O9" s="240">
        <v>0</v>
      </c>
      <c r="P9" s="238">
        <v>0</v>
      </c>
      <c r="Q9" s="238">
        <f>(Q8-Q7)/Q7</f>
        <v>-6.2203160498220916E-2</v>
      </c>
      <c r="R9" s="239"/>
      <c r="S9" s="214"/>
    </row>
    <row r="10" spans="1:19" ht="13.5" customHeight="1" x14ac:dyDescent="0.2">
      <c r="A10" s="221" t="s">
        <v>417</v>
      </c>
      <c r="B10" s="222">
        <v>2019</v>
      </c>
      <c r="C10" s="223">
        <v>0</v>
      </c>
      <c r="D10" s="224">
        <v>1870111</v>
      </c>
      <c r="E10" s="224">
        <v>56335</v>
      </c>
      <c r="F10" s="224">
        <v>150370581</v>
      </c>
      <c r="G10" s="224">
        <v>45057858</v>
      </c>
      <c r="H10" s="224">
        <v>30890</v>
      </c>
      <c r="I10" s="225">
        <f t="shared" ref="I10:I12" si="6">SUM(C10:H10)</f>
        <v>197385775</v>
      </c>
      <c r="J10" s="223">
        <v>636446601</v>
      </c>
      <c r="K10" s="224">
        <v>0</v>
      </c>
      <c r="L10" s="224">
        <v>1893844183</v>
      </c>
      <c r="M10" s="224">
        <v>0</v>
      </c>
      <c r="N10" s="225">
        <f t="shared" ref="N10:N12" si="7">SUM(J10:M10)</f>
        <v>2530290784</v>
      </c>
      <c r="O10" s="226">
        <v>0</v>
      </c>
      <c r="P10" s="224">
        <f t="shared" ref="P10:P12" si="8">O10</f>
        <v>0</v>
      </c>
      <c r="Q10" s="224">
        <f t="shared" ref="Q10:Q12" si="9">P10+N10+I10</f>
        <v>2727676559</v>
      </c>
      <c r="R10" s="227">
        <f>Q10/$Q$26</f>
        <v>0.59776235106084863</v>
      </c>
      <c r="S10" s="214"/>
    </row>
    <row r="11" spans="1:19" ht="13.5" customHeight="1" x14ac:dyDescent="0.2">
      <c r="A11" s="228"/>
      <c r="B11" s="229">
        <v>2020</v>
      </c>
      <c r="C11" s="230">
        <v>0</v>
      </c>
      <c r="D11" s="231">
        <v>1827176</v>
      </c>
      <c r="E11" s="231">
        <v>58247</v>
      </c>
      <c r="F11" s="231">
        <v>224584536</v>
      </c>
      <c r="G11" s="231">
        <v>33158418</v>
      </c>
      <c r="H11" s="231">
        <v>24450</v>
      </c>
      <c r="I11" s="232">
        <f t="shared" si="6"/>
        <v>259652827</v>
      </c>
      <c r="J11" s="230">
        <v>400000000</v>
      </c>
      <c r="K11" s="231">
        <v>0</v>
      </c>
      <c r="L11" s="231">
        <v>1584737992</v>
      </c>
      <c r="M11" s="231">
        <v>0</v>
      </c>
      <c r="N11" s="232">
        <f t="shared" si="7"/>
        <v>1984737992</v>
      </c>
      <c r="O11" s="233">
        <v>0</v>
      </c>
      <c r="P11" s="231">
        <f t="shared" si="8"/>
        <v>0</v>
      </c>
      <c r="Q11" s="231">
        <f t="shared" si="9"/>
        <v>2244390819</v>
      </c>
      <c r="R11" s="234">
        <f>Q11/$Q$27</f>
        <v>0.5834475938259337</v>
      </c>
      <c r="S11" s="214"/>
    </row>
    <row r="12" spans="1:19" ht="13.5" customHeight="1" x14ac:dyDescent="0.2">
      <c r="A12" s="228"/>
      <c r="B12" s="229">
        <v>2021</v>
      </c>
      <c r="C12" s="230">
        <v>0</v>
      </c>
      <c r="D12" s="231">
        <v>1106186</v>
      </c>
      <c r="E12" s="231">
        <v>58247</v>
      </c>
      <c r="F12" s="231">
        <v>260929947</v>
      </c>
      <c r="G12" s="231">
        <v>26303181</v>
      </c>
      <c r="H12" s="231">
        <v>6000</v>
      </c>
      <c r="I12" s="232">
        <f t="shared" si="6"/>
        <v>288403561</v>
      </c>
      <c r="J12" s="230">
        <v>200000000</v>
      </c>
      <c r="K12" s="231">
        <v>0</v>
      </c>
      <c r="L12" s="231">
        <v>1357479643</v>
      </c>
      <c r="M12" s="231">
        <v>0</v>
      </c>
      <c r="N12" s="232">
        <f t="shared" si="7"/>
        <v>1557479643</v>
      </c>
      <c r="O12" s="233">
        <v>0</v>
      </c>
      <c r="P12" s="231">
        <f t="shared" si="8"/>
        <v>0</v>
      </c>
      <c r="Q12" s="231">
        <f t="shared" si="9"/>
        <v>1845883204</v>
      </c>
      <c r="R12" s="234">
        <f>Q12/$Q$28</f>
        <v>0.55014693408180193</v>
      </c>
      <c r="S12" s="214"/>
    </row>
    <row r="13" spans="1:19" ht="16.5" customHeight="1" x14ac:dyDescent="0.2">
      <c r="A13" s="235"/>
      <c r="B13" s="236" t="s">
        <v>416</v>
      </c>
      <c r="C13" s="237">
        <v>0</v>
      </c>
      <c r="D13" s="238">
        <f t="shared" ref="D13:J13" si="10">(D12-D11)/D11</f>
        <v>-0.3945925296742076</v>
      </c>
      <c r="E13" s="238">
        <f t="shared" si="10"/>
        <v>0</v>
      </c>
      <c r="F13" s="238">
        <f t="shared" si="10"/>
        <v>0.16183398753688011</v>
      </c>
      <c r="G13" s="238">
        <f t="shared" si="10"/>
        <v>-0.20674198027179705</v>
      </c>
      <c r="H13" s="238">
        <f t="shared" si="10"/>
        <v>-0.754601226993865</v>
      </c>
      <c r="I13" s="239">
        <f t="shared" si="10"/>
        <v>0.11072759858686229</v>
      </c>
      <c r="J13" s="237">
        <f t="shared" si="10"/>
        <v>-0.5</v>
      </c>
      <c r="K13" s="238">
        <v>0</v>
      </c>
      <c r="L13" s="238">
        <f>(L12-L11)/L11</f>
        <v>-0.14340436725012901</v>
      </c>
      <c r="M13" s="238">
        <v>0</v>
      </c>
      <c r="N13" s="239">
        <f>(N12-N11)/N11</f>
        <v>-0.21527191534710138</v>
      </c>
      <c r="O13" s="240">
        <v>0</v>
      </c>
      <c r="P13" s="238">
        <v>0</v>
      </c>
      <c r="Q13" s="238">
        <f>(Q12-Q11)/Q11</f>
        <v>-0.17755714006064111</v>
      </c>
      <c r="R13" s="239"/>
      <c r="S13" s="214"/>
    </row>
    <row r="14" spans="1:19" ht="13.5" customHeight="1" x14ac:dyDescent="0.2">
      <c r="A14" s="221" t="s">
        <v>418</v>
      </c>
      <c r="B14" s="222">
        <v>2019</v>
      </c>
      <c r="C14" s="223">
        <v>0</v>
      </c>
      <c r="D14" s="224">
        <v>40482139</v>
      </c>
      <c r="E14" s="224">
        <v>2020924</v>
      </c>
      <c r="F14" s="224">
        <v>246283158</v>
      </c>
      <c r="G14" s="224">
        <v>1881</v>
      </c>
      <c r="H14" s="224">
        <v>232229482</v>
      </c>
      <c r="I14" s="225">
        <f t="shared" ref="I14:I16" si="11">SUM(C14:H14)</f>
        <v>521017584</v>
      </c>
      <c r="J14" s="223">
        <v>940000000</v>
      </c>
      <c r="K14" s="224"/>
      <c r="L14" s="224">
        <v>235537647</v>
      </c>
      <c r="M14" s="224">
        <v>0</v>
      </c>
      <c r="N14" s="225">
        <f t="shared" ref="N14:N16" si="12">SUM(J14:M14)</f>
        <v>1175537647</v>
      </c>
      <c r="O14" s="226">
        <v>0</v>
      </c>
      <c r="P14" s="224">
        <f t="shared" ref="P14:P16" si="13">O14</f>
        <v>0</v>
      </c>
      <c r="Q14" s="224">
        <f t="shared" ref="Q14:Q16" si="14">P14+N14+I14</f>
        <v>1696555231</v>
      </c>
      <c r="R14" s="227">
        <f>Q14/$Q$26</f>
        <v>0.37179512367072448</v>
      </c>
      <c r="S14" s="214"/>
    </row>
    <row r="15" spans="1:19" ht="13.5" customHeight="1" x14ac:dyDescent="0.2">
      <c r="A15" s="228"/>
      <c r="B15" s="229">
        <v>2020</v>
      </c>
      <c r="C15" s="230">
        <v>0</v>
      </c>
      <c r="D15" s="231">
        <v>29214615</v>
      </c>
      <c r="E15" s="231">
        <v>442533</v>
      </c>
      <c r="F15" s="231">
        <v>277263183</v>
      </c>
      <c r="G15" s="231">
        <v>121881</v>
      </c>
      <c r="H15" s="231">
        <v>466594460</v>
      </c>
      <c r="I15" s="232">
        <f t="shared" si="11"/>
        <v>773636672</v>
      </c>
      <c r="J15" s="230">
        <v>643420800</v>
      </c>
      <c r="K15" s="231"/>
      <c r="L15" s="231">
        <v>50798159</v>
      </c>
      <c r="M15" s="231">
        <v>0</v>
      </c>
      <c r="N15" s="232">
        <f t="shared" si="12"/>
        <v>694218959</v>
      </c>
      <c r="O15" s="233">
        <v>0</v>
      </c>
      <c r="P15" s="231">
        <f t="shared" si="13"/>
        <v>0</v>
      </c>
      <c r="Q15" s="231">
        <f t="shared" si="14"/>
        <v>1467855631</v>
      </c>
      <c r="R15" s="234">
        <f>Q15/$Q$27</f>
        <v>0.38158097455254186</v>
      </c>
      <c r="S15" s="214"/>
    </row>
    <row r="16" spans="1:19" ht="13.5" customHeight="1" x14ac:dyDescent="0.2">
      <c r="A16" s="228"/>
      <c r="B16" s="229">
        <v>2021</v>
      </c>
      <c r="C16" s="230">
        <v>0</v>
      </c>
      <c r="D16" s="231">
        <v>30189767</v>
      </c>
      <c r="E16" s="231">
        <v>603133</v>
      </c>
      <c r="F16" s="231">
        <v>196747701</v>
      </c>
      <c r="G16" s="231">
        <v>121881</v>
      </c>
      <c r="H16" s="231">
        <v>229953922</v>
      </c>
      <c r="I16" s="232">
        <f t="shared" si="11"/>
        <v>457616404</v>
      </c>
      <c r="J16" s="230">
        <v>843420800</v>
      </c>
      <c r="K16" s="231"/>
      <c r="L16" s="231">
        <v>75215239</v>
      </c>
      <c r="M16" s="231">
        <v>0</v>
      </c>
      <c r="N16" s="232">
        <f t="shared" si="12"/>
        <v>918636039</v>
      </c>
      <c r="O16" s="233">
        <v>0</v>
      </c>
      <c r="P16" s="231">
        <f t="shared" si="13"/>
        <v>0</v>
      </c>
      <c r="Q16" s="231">
        <f t="shared" si="14"/>
        <v>1376252443</v>
      </c>
      <c r="R16" s="234">
        <f>Q16/$Q$28</f>
        <v>0.41017820650750114</v>
      </c>
      <c r="S16" s="214"/>
    </row>
    <row r="17" spans="1:19" ht="16.5" customHeight="1" x14ac:dyDescent="0.2">
      <c r="A17" s="235"/>
      <c r="B17" s="236" t="s">
        <v>416</v>
      </c>
      <c r="C17" s="237">
        <v>0</v>
      </c>
      <c r="D17" s="238">
        <f t="shared" ref="D17:J17" si="15">(D16-D15)/D15</f>
        <v>3.3378909836737539E-2</v>
      </c>
      <c r="E17" s="238">
        <f t="shared" si="15"/>
        <v>0.36291078857395948</v>
      </c>
      <c r="F17" s="238">
        <f t="shared" si="15"/>
        <v>-0.29039370149624227</v>
      </c>
      <c r="G17" s="238">
        <f t="shared" si="15"/>
        <v>0</v>
      </c>
      <c r="H17" s="238">
        <f t="shared" si="15"/>
        <v>-0.50716534011141068</v>
      </c>
      <c r="I17" s="239">
        <f t="shared" si="15"/>
        <v>-0.40848667008380907</v>
      </c>
      <c r="J17" s="237">
        <f t="shared" si="15"/>
        <v>0.31083856785481601</v>
      </c>
      <c r="K17" s="238">
        <v>0</v>
      </c>
      <c r="L17" s="238">
        <f>(L16-L15)/L15</f>
        <v>0.48066860060814409</v>
      </c>
      <c r="M17" s="238">
        <v>0</v>
      </c>
      <c r="N17" s="239">
        <f>(N16-N15)/N15</f>
        <v>0.32326555921674271</v>
      </c>
      <c r="O17" s="240">
        <v>0</v>
      </c>
      <c r="P17" s="238">
        <v>0</v>
      </c>
      <c r="Q17" s="238">
        <f>(Q16-Q15)/Q15</f>
        <v>-6.2406129094312819E-2</v>
      </c>
      <c r="R17" s="239"/>
      <c r="S17" s="214"/>
    </row>
    <row r="18" spans="1:19" ht="13.5" customHeight="1" x14ac:dyDescent="0.2">
      <c r="A18" s="221" t="s">
        <v>419</v>
      </c>
      <c r="B18" s="222">
        <v>2019</v>
      </c>
      <c r="C18" s="223">
        <v>0</v>
      </c>
      <c r="D18" s="224">
        <v>2009129</v>
      </c>
      <c r="E18" s="224">
        <v>0</v>
      </c>
      <c r="F18" s="224">
        <v>13772953</v>
      </c>
      <c r="G18" s="224">
        <v>0</v>
      </c>
      <c r="H18" s="224">
        <v>18627</v>
      </c>
      <c r="I18" s="225">
        <f t="shared" ref="I18:I20" si="16">SUM(C18:H18)</f>
        <v>15800709</v>
      </c>
      <c r="J18" s="223">
        <v>0</v>
      </c>
      <c r="K18" s="224">
        <v>0</v>
      </c>
      <c r="L18" s="224">
        <v>256915</v>
      </c>
      <c r="M18" s="224">
        <v>0</v>
      </c>
      <c r="N18" s="225">
        <f t="shared" ref="N18:N20" si="17">SUM(J18:M18)</f>
        <v>256915</v>
      </c>
      <c r="O18" s="226">
        <v>0</v>
      </c>
      <c r="P18" s="224">
        <f t="shared" ref="P18:P20" si="18">O18</f>
        <v>0</v>
      </c>
      <c r="Q18" s="224">
        <f t="shared" ref="Q18:Q20" si="19">P18+N18+I18</f>
        <v>16057624</v>
      </c>
      <c r="R18" s="227">
        <f>Q18/$Q$26</f>
        <v>3.5189813993965948E-3</v>
      </c>
      <c r="S18" s="214"/>
    </row>
    <row r="19" spans="1:19" ht="13.5" customHeight="1" x14ac:dyDescent="0.2">
      <c r="A19" s="228"/>
      <c r="B19" s="229">
        <v>2020</v>
      </c>
      <c r="C19" s="230">
        <v>0</v>
      </c>
      <c r="D19" s="231">
        <v>2263394</v>
      </c>
      <c r="E19" s="231">
        <v>0</v>
      </c>
      <c r="F19" s="231">
        <v>13350097</v>
      </c>
      <c r="G19" s="231">
        <v>0</v>
      </c>
      <c r="H19" s="231">
        <v>13245</v>
      </c>
      <c r="I19" s="232">
        <f t="shared" si="16"/>
        <v>15626736</v>
      </c>
      <c r="J19" s="230">
        <v>0</v>
      </c>
      <c r="K19" s="231">
        <v>0</v>
      </c>
      <c r="L19" s="231">
        <v>58651</v>
      </c>
      <c r="M19" s="231">
        <v>0</v>
      </c>
      <c r="N19" s="232">
        <f t="shared" si="17"/>
        <v>58651</v>
      </c>
      <c r="O19" s="233">
        <v>0</v>
      </c>
      <c r="P19" s="231">
        <f t="shared" si="18"/>
        <v>0</v>
      </c>
      <c r="Q19" s="231">
        <f t="shared" si="19"/>
        <v>15685387</v>
      </c>
      <c r="R19" s="234">
        <f>Q19/$Q$27</f>
        <v>4.077543548077836E-3</v>
      </c>
      <c r="S19" s="214"/>
    </row>
    <row r="20" spans="1:19" ht="13.5" customHeight="1" x14ac:dyDescent="0.2">
      <c r="A20" s="228"/>
      <c r="B20" s="229">
        <v>2021</v>
      </c>
      <c r="C20" s="230">
        <v>0</v>
      </c>
      <c r="D20" s="231">
        <v>1673428</v>
      </c>
      <c r="E20" s="231">
        <v>0</v>
      </c>
      <c r="F20" s="231">
        <v>19986216</v>
      </c>
      <c r="G20" s="231">
        <v>0</v>
      </c>
      <c r="H20" s="231">
        <v>0</v>
      </c>
      <c r="I20" s="232">
        <f t="shared" si="16"/>
        <v>21659644</v>
      </c>
      <c r="J20" s="230">
        <v>0</v>
      </c>
      <c r="K20" s="231">
        <v>0</v>
      </c>
      <c r="L20" s="231">
        <v>0</v>
      </c>
      <c r="M20" s="231">
        <v>0</v>
      </c>
      <c r="N20" s="232">
        <f t="shared" si="17"/>
        <v>0</v>
      </c>
      <c r="O20" s="233">
        <v>0</v>
      </c>
      <c r="P20" s="231">
        <f t="shared" si="18"/>
        <v>0</v>
      </c>
      <c r="Q20" s="231">
        <f t="shared" si="19"/>
        <v>21659644</v>
      </c>
      <c r="R20" s="234">
        <f>Q20/$Q$28</f>
        <v>6.4554391708432799E-3</v>
      </c>
      <c r="S20" s="214"/>
    </row>
    <row r="21" spans="1:19" ht="16.5" customHeight="1" x14ac:dyDescent="0.2">
      <c r="A21" s="235"/>
      <c r="B21" s="236" t="s">
        <v>416</v>
      </c>
      <c r="C21" s="237">
        <v>0</v>
      </c>
      <c r="D21" s="238">
        <f>(D20-D19)/D19</f>
        <v>-0.26065545813057733</v>
      </c>
      <c r="E21" s="238">
        <v>0</v>
      </c>
      <c r="F21" s="238">
        <f>(F20-F19)/F19</f>
        <v>0.4970839537720213</v>
      </c>
      <c r="G21" s="238">
        <v>0</v>
      </c>
      <c r="H21" s="238">
        <f t="shared" ref="H21:I21" si="20">(H20-H19)/H19</f>
        <v>-1</v>
      </c>
      <c r="I21" s="239">
        <f t="shared" si="20"/>
        <v>0.38606321883213485</v>
      </c>
      <c r="J21" s="237">
        <v>0</v>
      </c>
      <c r="K21" s="238">
        <v>0</v>
      </c>
      <c r="L21" s="238">
        <f>(L20-L19)/L19</f>
        <v>-1</v>
      </c>
      <c r="M21" s="238">
        <v>0</v>
      </c>
      <c r="N21" s="239">
        <f>(N20-N19)/N19</f>
        <v>-1</v>
      </c>
      <c r="O21" s="240">
        <v>0</v>
      </c>
      <c r="P21" s="238">
        <v>0</v>
      </c>
      <c r="Q21" s="238">
        <f>(Q20-Q19)/Q19</f>
        <v>0.38088043348882628</v>
      </c>
      <c r="R21" s="239"/>
      <c r="S21" s="214"/>
    </row>
    <row r="22" spans="1:19" ht="13.5" customHeight="1" x14ac:dyDescent="0.2">
      <c r="A22" s="221" t="s">
        <v>420</v>
      </c>
      <c r="B22" s="222">
        <v>2019</v>
      </c>
      <c r="C22" s="223">
        <v>0</v>
      </c>
      <c r="D22" s="224">
        <v>0</v>
      </c>
      <c r="E22" s="224">
        <v>1277521</v>
      </c>
      <c r="F22" s="224">
        <v>0</v>
      </c>
      <c r="G22" s="224">
        <v>0</v>
      </c>
      <c r="H22" s="224">
        <v>0</v>
      </c>
      <c r="I22" s="225">
        <f t="shared" ref="I22:I24" si="21">SUM(C22:H22)</f>
        <v>1277521</v>
      </c>
      <c r="J22" s="223">
        <v>0</v>
      </c>
      <c r="K22" s="224">
        <v>0</v>
      </c>
      <c r="L22" s="224">
        <v>0</v>
      </c>
      <c r="M22" s="224">
        <v>0</v>
      </c>
      <c r="N22" s="225">
        <f t="shared" ref="N22:N24" si="22">SUM(J22:M22)</f>
        <v>0</v>
      </c>
      <c r="O22" s="226">
        <v>0</v>
      </c>
      <c r="P22" s="224">
        <f t="shared" ref="P22:P24" si="23">O22</f>
        <v>0</v>
      </c>
      <c r="Q22" s="224">
        <f t="shared" ref="Q22:Q24" si="24">P22+N22+I22</f>
        <v>1277521</v>
      </c>
      <c r="R22" s="227">
        <f>Q22/$Q$26</f>
        <v>2.7996499583864571E-4</v>
      </c>
      <c r="S22" s="214"/>
    </row>
    <row r="23" spans="1:19" ht="13.5" customHeight="1" x14ac:dyDescent="0.2">
      <c r="A23" s="228"/>
      <c r="B23" s="229">
        <v>2020</v>
      </c>
      <c r="C23" s="230">
        <v>0</v>
      </c>
      <c r="D23" s="231">
        <v>0</v>
      </c>
      <c r="E23" s="231">
        <v>1278684</v>
      </c>
      <c r="F23" s="231">
        <v>0</v>
      </c>
      <c r="G23" s="231">
        <v>0</v>
      </c>
      <c r="H23" s="231">
        <v>0</v>
      </c>
      <c r="I23" s="232">
        <f t="shared" si="21"/>
        <v>1278684</v>
      </c>
      <c r="J23" s="230">
        <v>0</v>
      </c>
      <c r="K23" s="231">
        <v>0</v>
      </c>
      <c r="L23" s="231">
        <v>0</v>
      </c>
      <c r="M23" s="231">
        <v>0</v>
      </c>
      <c r="N23" s="232">
        <f t="shared" si="22"/>
        <v>0</v>
      </c>
      <c r="O23" s="233">
        <v>0</v>
      </c>
      <c r="P23" s="231">
        <f t="shared" si="23"/>
        <v>0</v>
      </c>
      <c r="Q23" s="231">
        <f t="shared" si="24"/>
        <v>1278684</v>
      </c>
      <c r="R23" s="234">
        <f>Q23/$Q$27</f>
        <v>3.3240427502556104E-4</v>
      </c>
      <c r="S23" s="214"/>
    </row>
    <row r="24" spans="1:19" ht="13.5" customHeight="1" x14ac:dyDescent="0.2">
      <c r="A24" s="228"/>
      <c r="B24" s="229">
        <v>2021</v>
      </c>
      <c r="C24" s="230">
        <v>0</v>
      </c>
      <c r="D24" s="231">
        <v>0</v>
      </c>
      <c r="E24" s="231">
        <v>1209310</v>
      </c>
      <c r="F24" s="231">
        <v>0</v>
      </c>
      <c r="G24" s="231">
        <v>0</v>
      </c>
      <c r="H24" s="231">
        <v>0</v>
      </c>
      <c r="I24" s="232">
        <f t="shared" si="21"/>
        <v>1209310</v>
      </c>
      <c r="J24" s="230">
        <v>0</v>
      </c>
      <c r="K24" s="231">
        <v>0</v>
      </c>
      <c r="L24" s="231">
        <v>0</v>
      </c>
      <c r="M24" s="231">
        <v>0</v>
      </c>
      <c r="N24" s="232">
        <f t="shared" si="22"/>
        <v>0</v>
      </c>
      <c r="O24" s="233">
        <v>0</v>
      </c>
      <c r="P24" s="231">
        <f t="shared" si="23"/>
        <v>0</v>
      </c>
      <c r="Q24" s="231">
        <f t="shared" si="24"/>
        <v>1209310</v>
      </c>
      <c r="R24" s="234">
        <f>Q24/$Q$28</f>
        <v>3.6042268948153008E-4</v>
      </c>
      <c r="S24" s="214"/>
    </row>
    <row r="25" spans="1:19" ht="16.5" customHeight="1" x14ac:dyDescent="0.2">
      <c r="A25" s="235"/>
      <c r="B25" s="236" t="s">
        <v>416</v>
      </c>
      <c r="C25" s="237">
        <v>0</v>
      </c>
      <c r="D25" s="238">
        <v>0</v>
      </c>
      <c r="E25" s="238">
        <f>(E24-E23)/E23</f>
        <v>-5.4254217617487978E-2</v>
      </c>
      <c r="F25" s="238">
        <v>0</v>
      </c>
      <c r="G25" s="238">
        <v>0</v>
      </c>
      <c r="H25" s="238">
        <v>0</v>
      </c>
      <c r="I25" s="239">
        <f>(I24-I23)/I23</f>
        <v>-5.4254217617487978E-2</v>
      </c>
      <c r="J25" s="237">
        <v>0</v>
      </c>
      <c r="K25" s="238">
        <v>0</v>
      </c>
      <c r="L25" s="238">
        <v>0</v>
      </c>
      <c r="M25" s="238">
        <v>0</v>
      </c>
      <c r="N25" s="239">
        <v>0</v>
      </c>
      <c r="O25" s="240">
        <v>0</v>
      </c>
      <c r="P25" s="238">
        <v>0</v>
      </c>
      <c r="Q25" s="238">
        <f>(Q24-Q23)/Q23</f>
        <v>-5.4254217617487978E-2</v>
      </c>
      <c r="R25" s="239"/>
      <c r="S25" s="214"/>
    </row>
    <row r="26" spans="1:19" ht="13.5" customHeight="1" x14ac:dyDescent="0.2">
      <c r="A26" s="241" t="s">
        <v>284</v>
      </c>
      <c r="B26" s="222">
        <v>2019</v>
      </c>
      <c r="C26" s="242">
        <f t="shared" ref="C26:H26" si="25">C22+C18+C14+C10+C6</f>
        <v>0</v>
      </c>
      <c r="D26" s="243">
        <f t="shared" si="25"/>
        <v>44363379</v>
      </c>
      <c r="E26" s="243">
        <f t="shared" si="25"/>
        <v>3354780</v>
      </c>
      <c r="F26" s="243">
        <f t="shared" si="25"/>
        <v>476016000</v>
      </c>
      <c r="G26" s="243">
        <f t="shared" si="25"/>
        <v>45059739</v>
      </c>
      <c r="H26" s="243">
        <f t="shared" si="25"/>
        <v>232381199</v>
      </c>
      <c r="I26" s="244">
        <f t="shared" ref="I26:I28" si="26">SUM(C26:H26)</f>
        <v>801175097</v>
      </c>
      <c r="J26" s="242">
        <f t="shared" ref="J26:M26" si="27">J22+J18+J14+J10+J6</f>
        <v>1576446601</v>
      </c>
      <c r="K26" s="243">
        <f t="shared" si="27"/>
        <v>0</v>
      </c>
      <c r="L26" s="243">
        <f t="shared" si="27"/>
        <v>2185523763</v>
      </c>
      <c r="M26" s="243">
        <f t="shared" si="27"/>
        <v>0</v>
      </c>
      <c r="N26" s="244">
        <f t="shared" ref="N26:N28" si="28">SUM(J26:M26)</f>
        <v>3761970364</v>
      </c>
      <c r="O26" s="245">
        <f t="shared" ref="O26:O28" si="29">O22+O18+O14+O10+O6</f>
        <v>0</v>
      </c>
      <c r="P26" s="243">
        <f t="shared" ref="P26:P28" si="30">O26</f>
        <v>0</v>
      </c>
      <c r="Q26" s="243">
        <f t="shared" ref="Q26:Q28" si="31">P26+N26+I26</f>
        <v>4563145461</v>
      </c>
      <c r="R26" s="246">
        <f>Q26/$Q$26</f>
        <v>1</v>
      </c>
      <c r="S26" s="214"/>
    </row>
    <row r="27" spans="1:19" ht="13.5" customHeight="1" x14ac:dyDescent="0.2">
      <c r="A27" s="247"/>
      <c r="B27" s="229">
        <v>2020</v>
      </c>
      <c r="C27" s="230">
        <f t="shared" ref="C27:H27" si="32">C23+C19+C15+C11+C7</f>
        <v>0</v>
      </c>
      <c r="D27" s="231">
        <f t="shared" si="32"/>
        <v>42413514</v>
      </c>
      <c r="E27" s="231">
        <f t="shared" si="32"/>
        <v>2936540</v>
      </c>
      <c r="F27" s="231">
        <f t="shared" si="32"/>
        <v>613066279</v>
      </c>
      <c r="G27" s="231">
        <f t="shared" si="32"/>
        <v>33280299</v>
      </c>
      <c r="H27" s="231">
        <f t="shared" si="32"/>
        <v>466732941</v>
      </c>
      <c r="I27" s="232">
        <f t="shared" si="26"/>
        <v>1158429573</v>
      </c>
      <c r="J27" s="230">
        <f t="shared" ref="J27:M27" si="33">J23+J19+J15+J11+J7</f>
        <v>1043420800</v>
      </c>
      <c r="K27" s="231">
        <f t="shared" si="33"/>
        <v>0</v>
      </c>
      <c r="L27" s="231">
        <f t="shared" si="33"/>
        <v>1644923258</v>
      </c>
      <c r="M27" s="231">
        <f t="shared" si="33"/>
        <v>0</v>
      </c>
      <c r="N27" s="232">
        <f t="shared" si="28"/>
        <v>2688344058</v>
      </c>
      <c r="O27" s="233">
        <f t="shared" si="29"/>
        <v>0</v>
      </c>
      <c r="P27" s="231">
        <f t="shared" si="30"/>
        <v>0</v>
      </c>
      <c r="Q27" s="231">
        <f t="shared" si="31"/>
        <v>3846773631</v>
      </c>
      <c r="R27" s="234">
        <f>Q27/$Q$27</f>
        <v>1</v>
      </c>
      <c r="S27" s="214"/>
    </row>
    <row r="28" spans="1:19" ht="13.5" customHeight="1" x14ac:dyDescent="0.2">
      <c r="A28" s="248"/>
      <c r="B28" s="229">
        <v>2021</v>
      </c>
      <c r="C28" s="230">
        <f t="shared" ref="C28:H28" si="34">C24+C20+C16+C12+C8</f>
        <v>0</v>
      </c>
      <c r="D28" s="231">
        <f t="shared" si="34"/>
        <v>41951422</v>
      </c>
      <c r="E28" s="231">
        <f t="shared" si="34"/>
        <v>2987832</v>
      </c>
      <c r="F28" s="231">
        <f t="shared" si="34"/>
        <v>573891565</v>
      </c>
      <c r="G28" s="231">
        <f t="shared" si="34"/>
        <v>26425062</v>
      </c>
      <c r="H28" s="231">
        <f t="shared" si="34"/>
        <v>230060708</v>
      </c>
      <c r="I28" s="232">
        <f t="shared" si="26"/>
        <v>875316589</v>
      </c>
      <c r="J28" s="230">
        <f t="shared" ref="J28:M28" si="35">J24+J20+J16+J12+J8</f>
        <v>1043420800</v>
      </c>
      <c r="K28" s="231">
        <f t="shared" si="35"/>
        <v>0</v>
      </c>
      <c r="L28" s="231">
        <f t="shared" si="35"/>
        <v>1436517525</v>
      </c>
      <c r="M28" s="231">
        <f t="shared" si="35"/>
        <v>0</v>
      </c>
      <c r="N28" s="232">
        <f t="shared" si="28"/>
        <v>2479938325</v>
      </c>
      <c r="O28" s="233">
        <f t="shared" si="29"/>
        <v>0</v>
      </c>
      <c r="P28" s="231">
        <f t="shared" si="30"/>
        <v>0</v>
      </c>
      <c r="Q28" s="231">
        <f t="shared" si="31"/>
        <v>3355254914</v>
      </c>
      <c r="R28" s="234">
        <f>Q28/$Q$28</f>
        <v>1</v>
      </c>
      <c r="S28" s="214"/>
    </row>
    <row r="29" spans="1:19" ht="16.5" customHeight="1" x14ac:dyDescent="0.2">
      <c r="A29" s="235"/>
      <c r="B29" s="236" t="s">
        <v>416</v>
      </c>
      <c r="C29" s="237">
        <v>0</v>
      </c>
      <c r="D29" s="238">
        <f t="shared" ref="D29:J29" si="36">(D28-D27)/D27</f>
        <v>-1.0894923726433041E-2</v>
      </c>
      <c r="E29" s="238">
        <f t="shared" si="36"/>
        <v>1.7466814686672071E-2</v>
      </c>
      <c r="F29" s="238">
        <f t="shared" si="36"/>
        <v>-6.3899639144889261E-2</v>
      </c>
      <c r="G29" s="238">
        <f t="shared" si="36"/>
        <v>-0.20598483805689366</v>
      </c>
      <c r="H29" s="238">
        <f t="shared" si="36"/>
        <v>-0.50708277091588438</v>
      </c>
      <c r="I29" s="239">
        <f t="shared" si="36"/>
        <v>-0.24439378154583766</v>
      </c>
      <c r="J29" s="237">
        <f t="shared" si="36"/>
        <v>0</v>
      </c>
      <c r="K29" s="238">
        <v>0</v>
      </c>
      <c r="L29" s="238">
        <f>(L28-L27)/L27</f>
        <v>-0.12669632579296899</v>
      </c>
      <c r="M29" s="238">
        <v>0</v>
      </c>
      <c r="N29" s="239">
        <f>(N28-N27)/N27</f>
        <v>-7.7521972077876047E-2</v>
      </c>
      <c r="O29" s="240">
        <v>0</v>
      </c>
      <c r="P29" s="238">
        <v>0</v>
      </c>
      <c r="Q29" s="238">
        <f>(Q28-Q27)/Q27</f>
        <v>-0.12777427635434471</v>
      </c>
      <c r="R29" s="239"/>
      <c r="S29" s="214"/>
    </row>
    <row r="30" spans="1:19" ht="12" customHeight="1" x14ac:dyDescent="0.2">
      <c r="A30" s="214"/>
      <c r="B30" s="214"/>
      <c r="C30" s="214"/>
      <c r="D30" s="214"/>
      <c r="E30" s="214"/>
      <c r="F30" s="214"/>
      <c r="G30" s="214"/>
      <c r="H30" s="214"/>
      <c r="I30" s="214"/>
      <c r="J30" s="214"/>
      <c r="K30" s="214"/>
      <c r="L30" s="214"/>
      <c r="M30" s="214"/>
      <c r="N30" s="214"/>
      <c r="O30" s="214"/>
      <c r="P30" s="214"/>
      <c r="Q30" s="214"/>
      <c r="R30" s="214"/>
      <c r="S30" s="214"/>
    </row>
    <row r="31" spans="1:19" ht="12" customHeight="1" x14ac:dyDescent="0.2">
      <c r="A31" s="214"/>
      <c r="B31" s="214"/>
      <c r="C31" s="214"/>
      <c r="D31" s="214"/>
      <c r="E31" s="214"/>
      <c r="F31" s="214"/>
      <c r="G31" s="214"/>
      <c r="H31" s="214"/>
      <c r="I31" s="214"/>
      <c r="J31" s="214"/>
      <c r="K31" s="214"/>
      <c r="L31" s="214"/>
      <c r="M31" s="214"/>
      <c r="N31" s="214"/>
      <c r="O31" s="214"/>
      <c r="P31" s="214"/>
      <c r="Q31" s="214"/>
      <c r="R31" s="214"/>
      <c r="S31" s="214"/>
    </row>
    <row r="32" spans="1:19" ht="12" customHeight="1" x14ac:dyDescent="0.2">
      <c r="A32" s="214"/>
      <c r="B32" s="214"/>
      <c r="C32" s="214"/>
      <c r="D32" s="214"/>
      <c r="E32" s="214"/>
      <c r="F32" s="214"/>
      <c r="G32" s="214"/>
      <c r="H32" s="214"/>
      <c r="I32" s="214"/>
      <c r="J32" s="214"/>
      <c r="K32" s="214"/>
      <c r="L32" s="214"/>
      <c r="M32" s="214"/>
      <c r="N32" s="214"/>
      <c r="O32" s="214"/>
      <c r="P32" s="214"/>
      <c r="Q32" s="214"/>
      <c r="R32" s="214"/>
      <c r="S32" s="214"/>
    </row>
    <row r="33" spans="1:19" ht="12" customHeight="1" x14ac:dyDescent="0.2">
      <c r="A33" s="214"/>
      <c r="B33" s="214"/>
      <c r="C33" s="214"/>
      <c r="D33" s="214"/>
      <c r="E33" s="214"/>
      <c r="F33" s="214"/>
      <c r="G33" s="214"/>
      <c r="H33" s="214"/>
      <c r="I33" s="214"/>
      <c r="J33" s="214"/>
      <c r="K33" s="214"/>
      <c r="L33" s="214"/>
      <c r="M33" s="214"/>
      <c r="N33" s="214"/>
      <c r="O33" s="214"/>
      <c r="P33" s="214"/>
      <c r="Q33" s="214"/>
      <c r="R33" s="214"/>
      <c r="S33" s="214"/>
    </row>
    <row r="34" spans="1:19" ht="12" customHeight="1" x14ac:dyDescent="0.2">
      <c r="A34" s="214"/>
      <c r="B34" s="214"/>
      <c r="C34" s="214"/>
      <c r="D34" s="214"/>
      <c r="E34" s="214"/>
      <c r="F34" s="214"/>
      <c r="G34" s="214"/>
      <c r="H34" s="214"/>
      <c r="I34" s="214"/>
      <c r="J34" s="214"/>
      <c r="K34" s="214"/>
      <c r="L34" s="214"/>
      <c r="M34" s="214"/>
      <c r="N34" s="214"/>
      <c r="O34" s="214"/>
      <c r="P34" s="214"/>
      <c r="Q34" s="214"/>
      <c r="R34" s="214"/>
      <c r="S34" s="214"/>
    </row>
    <row r="35" spans="1:19" ht="12" customHeight="1" x14ac:dyDescent="0.2">
      <c r="A35" s="214"/>
      <c r="B35" s="214"/>
      <c r="C35" s="214"/>
      <c r="D35" s="214"/>
      <c r="E35" s="214"/>
      <c r="F35" s="214"/>
      <c r="G35" s="214"/>
      <c r="H35" s="214"/>
      <c r="I35" s="214"/>
      <c r="J35" s="214"/>
      <c r="K35" s="214"/>
      <c r="L35" s="214"/>
      <c r="M35" s="214"/>
      <c r="N35" s="214"/>
      <c r="O35" s="214"/>
      <c r="P35" s="214"/>
      <c r="Q35" s="214"/>
      <c r="R35" s="214"/>
      <c r="S35" s="214"/>
    </row>
    <row r="36" spans="1:19" ht="12" customHeight="1" x14ac:dyDescent="0.2">
      <c r="A36" s="214"/>
      <c r="B36" s="214"/>
      <c r="C36" s="214"/>
      <c r="D36" s="214"/>
      <c r="E36" s="214"/>
      <c r="F36" s="214"/>
      <c r="G36" s="214"/>
      <c r="H36" s="214"/>
      <c r="I36" s="214"/>
      <c r="J36" s="214"/>
      <c r="K36" s="214"/>
      <c r="L36" s="214"/>
      <c r="M36" s="214"/>
      <c r="N36" s="214"/>
      <c r="O36" s="214"/>
      <c r="P36" s="214"/>
      <c r="Q36" s="214"/>
      <c r="R36" s="214"/>
      <c r="S36" s="214"/>
    </row>
    <row r="37" spans="1:19" ht="12" customHeight="1" x14ac:dyDescent="0.2">
      <c r="A37" s="214"/>
      <c r="B37" s="214"/>
      <c r="C37" s="214"/>
      <c r="D37" s="214"/>
      <c r="E37" s="214"/>
      <c r="F37" s="214"/>
      <c r="G37" s="214"/>
      <c r="H37" s="214"/>
      <c r="I37" s="214"/>
      <c r="J37" s="214"/>
      <c r="K37" s="214"/>
      <c r="L37" s="214"/>
      <c r="M37" s="214"/>
      <c r="N37" s="214"/>
      <c r="O37" s="214"/>
      <c r="P37" s="214"/>
      <c r="Q37" s="214"/>
      <c r="R37" s="214"/>
      <c r="S37" s="214"/>
    </row>
    <row r="38" spans="1:19" ht="12" customHeight="1" x14ac:dyDescent="0.2">
      <c r="A38" s="214"/>
      <c r="B38" s="214"/>
      <c r="C38" s="214"/>
      <c r="D38" s="214"/>
      <c r="E38" s="214"/>
      <c r="F38" s="214"/>
      <c r="G38" s="214"/>
      <c r="H38" s="214"/>
      <c r="I38" s="214"/>
      <c r="J38" s="214"/>
      <c r="K38" s="214"/>
      <c r="L38" s="214"/>
      <c r="M38" s="214"/>
      <c r="N38" s="214"/>
      <c r="O38" s="214"/>
      <c r="P38" s="214"/>
      <c r="Q38" s="249"/>
      <c r="R38" s="214"/>
      <c r="S38" s="214"/>
    </row>
    <row r="39" spans="1:19" ht="12" customHeight="1" x14ac:dyDescent="0.2">
      <c r="A39" s="214"/>
      <c r="B39" s="214"/>
      <c r="C39" s="214"/>
      <c r="D39" s="214"/>
      <c r="E39" s="214"/>
      <c r="F39" s="214"/>
      <c r="G39" s="214"/>
      <c r="H39" s="214"/>
      <c r="I39" s="214"/>
      <c r="J39" s="214"/>
      <c r="K39" s="214"/>
      <c r="L39" s="214"/>
      <c r="M39" s="214"/>
      <c r="N39" s="214"/>
      <c r="O39" s="214"/>
      <c r="P39" s="214"/>
      <c r="Q39" s="249"/>
      <c r="R39" s="214"/>
      <c r="S39" s="214"/>
    </row>
    <row r="40" spans="1:19" ht="12" customHeight="1" x14ac:dyDescent="0.2">
      <c r="A40" s="214"/>
      <c r="B40" s="214"/>
      <c r="C40" s="214"/>
      <c r="D40" s="214"/>
      <c r="E40" s="214"/>
      <c r="F40" s="214"/>
      <c r="G40" s="214"/>
      <c r="H40" s="214"/>
      <c r="I40" s="214"/>
      <c r="J40" s="214"/>
      <c r="K40" s="214"/>
      <c r="L40" s="214"/>
      <c r="M40" s="214"/>
      <c r="N40" s="214"/>
      <c r="O40" s="214"/>
      <c r="P40" s="214"/>
      <c r="Q40" s="249"/>
      <c r="R40" s="214"/>
      <c r="S40" s="214"/>
    </row>
    <row r="41" spans="1:19" ht="12" customHeight="1" x14ac:dyDescent="0.2">
      <c r="A41" s="214"/>
      <c r="B41" s="214"/>
      <c r="C41" s="214"/>
      <c r="D41" s="214"/>
      <c r="E41" s="214"/>
      <c r="F41" s="214"/>
      <c r="G41" s="214"/>
      <c r="H41" s="214"/>
      <c r="I41" s="214"/>
      <c r="J41" s="214"/>
      <c r="K41" s="214"/>
      <c r="L41" s="214"/>
      <c r="M41" s="214"/>
      <c r="N41" s="214"/>
      <c r="O41" s="214"/>
      <c r="P41" s="214"/>
      <c r="Q41" s="214"/>
      <c r="R41" s="214"/>
      <c r="S41" s="214"/>
    </row>
    <row r="42" spans="1:19" ht="12" customHeight="1" x14ac:dyDescent="0.2">
      <c r="A42" s="214"/>
      <c r="B42" s="214"/>
      <c r="C42" s="214"/>
      <c r="D42" s="214"/>
      <c r="E42" s="214"/>
      <c r="F42" s="214"/>
      <c r="G42" s="214"/>
      <c r="H42" s="214"/>
      <c r="I42" s="214"/>
      <c r="J42" s="214"/>
      <c r="K42" s="214"/>
      <c r="L42" s="214"/>
      <c r="M42" s="214"/>
      <c r="N42" s="214"/>
      <c r="O42" s="214"/>
      <c r="P42" s="214"/>
      <c r="Q42" s="214"/>
      <c r="R42" s="214"/>
      <c r="S42" s="214"/>
    </row>
    <row r="43" spans="1:19" ht="12" customHeight="1" x14ac:dyDescent="0.2">
      <c r="A43" s="214"/>
      <c r="B43" s="214"/>
      <c r="C43" s="214"/>
      <c r="D43" s="214"/>
      <c r="E43" s="214"/>
      <c r="F43" s="214"/>
      <c r="G43" s="214"/>
      <c r="H43" s="214"/>
      <c r="I43" s="214"/>
      <c r="J43" s="214"/>
      <c r="K43" s="214"/>
      <c r="L43" s="214"/>
      <c r="M43" s="214"/>
      <c r="N43" s="214"/>
      <c r="O43" s="214"/>
      <c r="P43" s="214"/>
      <c r="Q43" s="214"/>
      <c r="R43" s="214"/>
      <c r="S43" s="214"/>
    </row>
    <row r="44" spans="1:19" ht="12" customHeight="1" x14ac:dyDescent="0.2">
      <c r="A44" s="214"/>
      <c r="B44" s="214"/>
      <c r="C44" s="214"/>
      <c r="D44" s="214"/>
      <c r="E44" s="214"/>
      <c r="F44" s="214"/>
      <c r="G44" s="214"/>
      <c r="H44" s="214"/>
      <c r="I44" s="214"/>
      <c r="J44" s="214"/>
      <c r="K44" s="214"/>
      <c r="L44" s="214"/>
      <c r="M44" s="214"/>
      <c r="N44" s="214"/>
      <c r="O44" s="214"/>
      <c r="P44" s="214"/>
      <c r="Q44" s="214"/>
      <c r="R44" s="214"/>
      <c r="S44" s="214"/>
    </row>
    <row r="45" spans="1:19" ht="12" customHeight="1" x14ac:dyDescent="0.2">
      <c r="A45" s="214"/>
      <c r="B45" s="214"/>
      <c r="C45" s="214"/>
      <c r="D45" s="214"/>
      <c r="E45" s="214"/>
      <c r="F45" s="214"/>
      <c r="G45" s="214"/>
      <c r="H45" s="214"/>
      <c r="I45" s="214"/>
      <c r="J45" s="214"/>
      <c r="K45" s="214"/>
      <c r="L45" s="214"/>
      <c r="M45" s="214"/>
      <c r="N45" s="214"/>
      <c r="O45" s="214"/>
      <c r="P45" s="214"/>
      <c r="Q45" s="214"/>
      <c r="R45" s="214"/>
      <c r="S45" s="214"/>
    </row>
    <row r="46" spans="1:19" ht="12" customHeight="1" x14ac:dyDescent="0.2">
      <c r="A46" s="214"/>
      <c r="B46" s="214"/>
      <c r="C46" s="214"/>
      <c r="D46" s="214"/>
      <c r="E46" s="214"/>
      <c r="F46" s="214"/>
      <c r="G46" s="214"/>
      <c r="H46" s="214"/>
      <c r="I46" s="214"/>
      <c r="J46" s="214"/>
      <c r="K46" s="214"/>
      <c r="L46" s="214"/>
      <c r="M46" s="214"/>
      <c r="N46" s="214"/>
      <c r="O46" s="214"/>
      <c r="P46" s="214"/>
      <c r="Q46" s="214"/>
      <c r="R46" s="214"/>
      <c r="S46" s="214"/>
    </row>
    <row r="47" spans="1:19" ht="12" customHeight="1" x14ac:dyDescent="0.2">
      <c r="A47" s="214"/>
      <c r="B47" s="214"/>
      <c r="C47" s="214"/>
      <c r="D47" s="214"/>
      <c r="E47" s="214"/>
      <c r="F47" s="214"/>
      <c r="G47" s="214"/>
      <c r="H47" s="214"/>
      <c r="I47" s="214"/>
      <c r="J47" s="214"/>
      <c r="K47" s="214"/>
      <c r="L47" s="214"/>
      <c r="M47" s="214"/>
      <c r="N47" s="214"/>
      <c r="O47" s="214"/>
      <c r="P47" s="214"/>
      <c r="Q47" s="214"/>
      <c r="R47" s="214"/>
      <c r="S47" s="214"/>
    </row>
    <row r="48" spans="1:19" ht="12" customHeight="1" x14ac:dyDescent="0.2">
      <c r="A48" s="214"/>
      <c r="B48" s="214"/>
      <c r="C48" s="214"/>
      <c r="D48" s="214"/>
      <c r="E48" s="214"/>
      <c r="F48" s="214"/>
      <c r="G48" s="214"/>
      <c r="H48" s="214"/>
      <c r="I48" s="214"/>
      <c r="J48" s="214"/>
      <c r="K48" s="214"/>
      <c r="L48" s="214"/>
      <c r="M48" s="214"/>
      <c r="N48" s="214"/>
      <c r="O48" s="214"/>
      <c r="P48" s="214"/>
      <c r="Q48" s="214"/>
      <c r="R48" s="214"/>
      <c r="S48" s="214"/>
    </row>
    <row r="49" spans="1:19" ht="12" customHeight="1" x14ac:dyDescent="0.2">
      <c r="A49" s="214"/>
      <c r="B49" s="214"/>
      <c r="C49" s="214"/>
      <c r="D49" s="214"/>
      <c r="E49" s="214"/>
      <c r="F49" s="214"/>
      <c r="G49" s="214"/>
      <c r="H49" s="214"/>
      <c r="I49" s="214"/>
      <c r="J49" s="214"/>
      <c r="K49" s="214"/>
      <c r="L49" s="214"/>
      <c r="M49" s="214"/>
      <c r="N49" s="214"/>
      <c r="O49" s="214"/>
      <c r="P49" s="214"/>
      <c r="Q49" s="214"/>
      <c r="R49" s="214"/>
      <c r="S49" s="214"/>
    </row>
    <row r="50" spans="1:19" ht="12" customHeight="1" x14ac:dyDescent="0.2">
      <c r="A50" s="214"/>
      <c r="B50" s="214"/>
      <c r="C50" s="214"/>
      <c r="D50" s="214"/>
      <c r="E50" s="214"/>
      <c r="F50" s="214"/>
      <c r="G50" s="214"/>
      <c r="H50" s="214"/>
      <c r="I50" s="214"/>
      <c r="J50" s="214"/>
      <c r="K50" s="214"/>
      <c r="L50" s="214"/>
      <c r="M50" s="214"/>
      <c r="N50" s="214"/>
      <c r="O50" s="214"/>
      <c r="P50" s="214"/>
      <c r="Q50" s="214"/>
      <c r="R50" s="214"/>
      <c r="S50" s="214"/>
    </row>
    <row r="51" spans="1:19" ht="12" customHeight="1" x14ac:dyDescent="0.2">
      <c r="A51" s="214"/>
      <c r="B51" s="214"/>
      <c r="C51" s="214"/>
      <c r="D51" s="214"/>
      <c r="E51" s="214"/>
      <c r="F51" s="214"/>
      <c r="G51" s="214"/>
      <c r="H51" s="214"/>
      <c r="I51" s="214"/>
      <c r="J51" s="214"/>
      <c r="K51" s="214"/>
      <c r="L51" s="214"/>
      <c r="M51" s="214"/>
      <c r="N51" s="214"/>
      <c r="O51" s="214"/>
      <c r="P51" s="214"/>
      <c r="Q51" s="214"/>
      <c r="R51" s="214"/>
      <c r="S51" s="214"/>
    </row>
    <row r="52" spans="1:19" ht="12" customHeight="1" x14ac:dyDescent="0.2">
      <c r="A52" s="214"/>
      <c r="B52" s="214"/>
      <c r="C52" s="214"/>
      <c r="D52" s="214"/>
      <c r="E52" s="214"/>
      <c r="F52" s="214"/>
      <c r="G52" s="214"/>
      <c r="H52" s="214"/>
      <c r="I52" s="214"/>
      <c r="J52" s="214"/>
      <c r="K52" s="214"/>
      <c r="L52" s="214"/>
      <c r="M52" s="214"/>
      <c r="N52" s="214"/>
      <c r="O52" s="214"/>
      <c r="P52" s="214"/>
      <c r="Q52" s="214"/>
      <c r="R52" s="214"/>
      <c r="S52" s="214"/>
    </row>
    <row r="53" spans="1:19" ht="12" customHeight="1" x14ac:dyDescent="0.2">
      <c r="A53" s="214"/>
      <c r="B53" s="214"/>
      <c r="C53" s="214"/>
      <c r="D53" s="214"/>
      <c r="E53" s="214"/>
      <c r="F53" s="214"/>
      <c r="G53" s="214"/>
      <c r="H53" s="214"/>
      <c r="I53" s="214"/>
      <c r="J53" s="214"/>
      <c r="K53" s="214"/>
      <c r="L53" s="214"/>
      <c r="M53" s="214"/>
      <c r="N53" s="214"/>
      <c r="O53" s="214"/>
      <c r="P53" s="214"/>
      <c r="Q53" s="214"/>
      <c r="R53" s="214"/>
      <c r="S53" s="214"/>
    </row>
    <row r="54" spans="1:19" ht="12" customHeight="1" x14ac:dyDescent="0.2">
      <c r="A54" s="214"/>
      <c r="B54" s="214"/>
      <c r="C54" s="214"/>
      <c r="D54" s="214"/>
      <c r="E54" s="214"/>
      <c r="F54" s="214"/>
      <c r="G54" s="214"/>
      <c r="H54" s="214"/>
      <c r="I54" s="214"/>
      <c r="J54" s="214"/>
      <c r="K54" s="214"/>
      <c r="L54" s="214"/>
      <c r="M54" s="214"/>
      <c r="N54" s="214"/>
      <c r="O54" s="214"/>
      <c r="P54" s="214"/>
      <c r="Q54" s="214"/>
      <c r="R54" s="214"/>
      <c r="S54" s="214"/>
    </row>
    <row r="55" spans="1:19" ht="12" customHeight="1" x14ac:dyDescent="0.2">
      <c r="A55" s="214"/>
      <c r="B55" s="214"/>
      <c r="C55" s="214"/>
      <c r="D55" s="214"/>
      <c r="E55" s="214"/>
      <c r="F55" s="214"/>
      <c r="G55" s="214"/>
      <c r="H55" s="214"/>
      <c r="I55" s="214"/>
      <c r="J55" s="214"/>
      <c r="K55" s="214"/>
      <c r="L55" s="214"/>
      <c r="M55" s="214"/>
      <c r="N55" s="214"/>
      <c r="O55" s="214"/>
      <c r="P55" s="214"/>
      <c r="Q55" s="214"/>
      <c r="R55" s="214"/>
      <c r="S55" s="214"/>
    </row>
    <row r="56" spans="1:19" ht="12" customHeight="1" x14ac:dyDescent="0.2">
      <c r="A56" s="214"/>
      <c r="B56" s="214"/>
      <c r="C56" s="214"/>
      <c r="D56" s="214"/>
      <c r="E56" s="214"/>
      <c r="F56" s="214"/>
      <c r="G56" s="214"/>
      <c r="H56" s="214"/>
      <c r="I56" s="214"/>
      <c r="J56" s="214"/>
      <c r="K56" s="214"/>
      <c r="L56" s="214"/>
      <c r="M56" s="214"/>
      <c r="N56" s="214"/>
      <c r="O56" s="214"/>
      <c r="P56" s="214"/>
      <c r="Q56" s="214"/>
      <c r="R56" s="214"/>
      <c r="S56" s="214"/>
    </row>
    <row r="57" spans="1:19" ht="12" customHeight="1" x14ac:dyDescent="0.2">
      <c r="A57" s="214"/>
      <c r="B57" s="214"/>
      <c r="C57" s="214"/>
      <c r="D57" s="214"/>
      <c r="E57" s="214"/>
      <c r="F57" s="214"/>
      <c r="G57" s="214"/>
      <c r="H57" s="214"/>
      <c r="I57" s="214"/>
      <c r="J57" s="214"/>
      <c r="K57" s="214"/>
      <c r="L57" s="214"/>
      <c r="M57" s="214"/>
      <c r="N57" s="214"/>
      <c r="O57" s="214"/>
      <c r="P57" s="214"/>
      <c r="Q57" s="214"/>
      <c r="R57" s="214"/>
      <c r="S57" s="214"/>
    </row>
    <row r="58" spans="1:19" ht="12" customHeight="1" x14ac:dyDescent="0.2">
      <c r="A58" s="214"/>
      <c r="B58" s="214"/>
      <c r="C58" s="214"/>
      <c r="D58" s="214"/>
      <c r="E58" s="214"/>
      <c r="F58" s="214"/>
      <c r="G58" s="214"/>
      <c r="H58" s="214"/>
      <c r="I58" s="214"/>
      <c r="J58" s="214"/>
      <c r="K58" s="214"/>
      <c r="L58" s="214"/>
      <c r="M58" s="214"/>
      <c r="N58" s="214"/>
      <c r="O58" s="214"/>
      <c r="P58" s="214"/>
      <c r="Q58" s="214"/>
      <c r="R58" s="214"/>
      <c r="S58" s="214"/>
    </row>
    <row r="59" spans="1:19" ht="12" customHeight="1" x14ac:dyDescent="0.2">
      <c r="A59" s="214"/>
      <c r="B59" s="214"/>
      <c r="C59" s="214"/>
      <c r="D59" s="214"/>
      <c r="E59" s="214"/>
      <c r="F59" s="214"/>
      <c r="G59" s="214"/>
      <c r="H59" s="214"/>
      <c r="I59" s="214"/>
      <c r="J59" s="214"/>
      <c r="K59" s="214"/>
      <c r="L59" s="214"/>
      <c r="M59" s="214"/>
      <c r="N59" s="214"/>
      <c r="O59" s="214"/>
      <c r="P59" s="214"/>
      <c r="Q59" s="214"/>
      <c r="R59" s="214"/>
      <c r="S59" s="214"/>
    </row>
    <row r="60" spans="1:19" ht="12" customHeight="1" x14ac:dyDescent="0.2">
      <c r="A60" s="214"/>
      <c r="B60" s="214"/>
      <c r="C60" s="214"/>
      <c r="D60" s="214"/>
      <c r="E60" s="214"/>
      <c r="F60" s="214"/>
      <c r="G60" s="214"/>
      <c r="H60" s="214"/>
      <c r="I60" s="214"/>
      <c r="J60" s="214"/>
      <c r="K60" s="214"/>
      <c r="L60" s="214"/>
      <c r="M60" s="214"/>
      <c r="N60" s="214"/>
      <c r="O60" s="214"/>
      <c r="P60" s="214"/>
      <c r="Q60" s="214"/>
      <c r="R60" s="214"/>
      <c r="S60" s="214"/>
    </row>
    <row r="61" spans="1:19" ht="12" customHeight="1" x14ac:dyDescent="0.2">
      <c r="A61" s="214"/>
      <c r="B61" s="214"/>
      <c r="C61" s="214"/>
      <c r="D61" s="214"/>
      <c r="E61" s="214"/>
      <c r="F61" s="214"/>
      <c r="G61" s="214"/>
      <c r="H61" s="214"/>
      <c r="I61" s="214"/>
      <c r="J61" s="214"/>
      <c r="K61" s="214"/>
      <c r="L61" s="214"/>
      <c r="M61" s="214"/>
      <c r="N61" s="214"/>
      <c r="O61" s="214"/>
      <c r="P61" s="214"/>
      <c r="Q61" s="214"/>
      <c r="R61" s="214"/>
      <c r="S61" s="214"/>
    </row>
    <row r="62" spans="1:19" ht="12" customHeight="1" x14ac:dyDescent="0.2">
      <c r="A62" s="214"/>
      <c r="B62" s="214"/>
      <c r="C62" s="214"/>
      <c r="D62" s="214"/>
      <c r="E62" s="214"/>
      <c r="F62" s="214"/>
      <c r="G62" s="214"/>
      <c r="H62" s="214"/>
      <c r="I62" s="214"/>
      <c r="J62" s="214"/>
      <c r="K62" s="214"/>
      <c r="L62" s="214"/>
      <c r="M62" s="214"/>
      <c r="N62" s="214"/>
      <c r="O62" s="214"/>
      <c r="P62" s="214"/>
      <c r="Q62" s="214"/>
      <c r="R62" s="214"/>
      <c r="S62" s="214"/>
    </row>
    <row r="63" spans="1:19" ht="12" customHeight="1" x14ac:dyDescent="0.2">
      <c r="A63" s="214"/>
      <c r="B63" s="214"/>
      <c r="C63" s="214"/>
      <c r="D63" s="214"/>
      <c r="E63" s="214"/>
      <c r="F63" s="214"/>
      <c r="G63" s="214"/>
      <c r="H63" s="214"/>
      <c r="I63" s="214"/>
      <c r="J63" s="214"/>
      <c r="K63" s="214"/>
      <c r="L63" s="214"/>
      <c r="M63" s="214"/>
      <c r="N63" s="214"/>
      <c r="O63" s="214"/>
      <c r="P63" s="214"/>
      <c r="Q63" s="214"/>
      <c r="R63" s="214"/>
      <c r="S63" s="214"/>
    </row>
    <row r="64" spans="1:19" ht="12" customHeight="1" x14ac:dyDescent="0.2">
      <c r="A64" s="214"/>
      <c r="B64" s="214"/>
      <c r="C64" s="214"/>
      <c r="D64" s="214"/>
      <c r="E64" s="214"/>
      <c r="F64" s="214"/>
      <c r="G64" s="214"/>
      <c r="H64" s="214"/>
      <c r="I64" s="214"/>
      <c r="J64" s="214"/>
      <c r="K64" s="214"/>
      <c r="L64" s="214"/>
      <c r="M64" s="214"/>
      <c r="N64" s="214"/>
      <c r="O64" s="214"/>
      <c r="P64" s="214"/>
      <c r="Q64" s="214"/>
      <c r="R64" s="214"/>
      <c r="S64" s="214"/>
    </row>
    <row r="65" spans="1:19" ht="12" customHeight="1" x14ac:dyDescent="0.2">
      <c r="A65" s="214"/>
      <c r="B65" s="214"/>
      <c r="C65" s="214"/>
      <c r="D65" s="214"/>
      <c r="E65" s="214"/>
      <c r="F65" s="214"/>
      <c r="G65" s="214"/>
      <c r="H65" s="214"/>
      <c r="I65" s="214"/>
      <c r="J65" s="214"/>
      <c r="K65" s="214"/>
      <c r="L65" s="214"/>
      <c r="M65" s="214"/>
      <c r="N65" s="214"/>
      <c r="O65" s="214"/>
      <c r="P65" s="214"/>
      <c r="Q65" s="214"/>
      <c r="R65" s="214"/>
      <c r="S65" s="214"/>
    </row>
    <row r="66" spans="1:19" ht="12" customHeight="1" x14ac:dyDescent="0.2">
      <c r="A66" s="214"/>
      <c r="B66" s="214"/>
      <c r="C66" s="214"/>
      <c r="D66" s="214"/>
      <c r="E66" s="214"/>
      <c r="F66" s="214"/>
      <c r="G66" s="214"/>
      <c r="H66" s="214"/>
      <c r="I66" s="214"/>
      <c r="J66" s="214"/>
      <c r="K66" s="214"/>
      <c r="L66" s="214"/>
      <c r="M66" s="214"/>
      <c r="N66" s="214"/>
      <c r="O66" s="214"/>
      <c r="P66" s="214"/>
      <c r="Q66" s="214"/>
      <c r="R66" s="214"/>
      <c r="S66" s="214"/>
    </row>
    <row r="67" spans="1:19" ht="12" customHeight="1" x14ac:dyDescent="0.2">
      <c r="A67" s="214"/>
      <c r="B67" s="214"/>
      <c r="C67" s="214"/>
      <c r="D67" s="214"/>
      <c r="E67" s="214"/>
      <c r="F67" s="214"/>
      <c r="G67" s="214"/>
      <c r="H67" s="214"/>
      <c r="I67" s="214"/>
      <c r="J67" s="214"/>
      <c r="K67" s="214"/>
      <c r="L67" s="214"/>
      <c r="M67" s="214"/>
      <c r="N67" s="214"/>
      <c r="O67" s="214"/>
      <c r="P67" s="214"/>
      <c r="Q67" s="214"/>
      <c r="R67" s="214"/>
      <c r="S67" s="214"/>
    </row>
    <row r="68" spans="1:19" ht="12" customHeight="1" x14ac:dyDescent="0.2">
      <c r="A68" s="214"/>
      <c r="B68" s="214"/>
      <c r="C68" s="214"/>
      <c r="D68" s="214"/>
      <c r="E68" s="214"/>
      <c r="F68" s="214"/>
      <c r="G68" s="214"/>
      <c r="H68" s="214"/>
      <c r="I68" s="214"/>
      <c r="J68" s="214"/>
      <c r="K68" s="214"/>
      <c r="L68" s="214"/>
      <c r="M68" s="214"/>
      <c r="N68" s="214"/>
      <c r="O68" s="214"/>
      <c r="P68" s="214"/>
      <c r="Q68" s="214"/>
      <c r="R68" s="214"/>
      <c r="S68" s="214"/>
    </row>
    <row r="69" spans="1:19" ht="12" customHeight="1" x14ac:dyDescent="0.2">
      <c r="A69" s="214"/>
      <c r="B69" s="214"/>
      <c r="C69" s="214"/>
      <c r="D69" s="214"/>
      <c r="E69" s="214"/>
      <c r="F69" s="214"/>
      <c r="G69" s="214"/>
      <c r="H69" s="214"/>
      <c r="I69" s="214"/>
      <c r="J69" s="214"/>
      <c r="K69" s="214"/>
      <c r="L69" s="214"/>
      <c r="M69" s="214"/>
      <c r="N69" s="214"/>
      <c r="O69" s="214"/>
      <c r="P69" s="214"/>
      <c r="Q69" s="214"/>
      <c r="R69" s="214"/>
      <c r="S69" s="214"/>
    </row>
    <row r="70" spans="1:19" ht="12" customHeight="1" x14ac:dyDescent="0.2">
      <c r="A70" s="214"/>
      <c r="B70" s="214"/>
      <c r="C70" s="214"/>
      <c r="D70" s="214"/>
      <c r="E70" s="214"/>
      <c r="F70" s="214"/>
      <c r="G70" s="214"/>
      <c r="H70" s="214"/>
      <c r="I70" s="214"/>
      <c r="J70" s="214"/>
      <c r="K70" s="214"/>
      <c r="L70" s="214"/>
      <c r="M70" s="214"/>
      <c r="N70" s="214"/>
      <c r="O70" s="214"/>
      <c r="P70" s="214"/>
      <c r="Q70" s="214"/>
      <c r="R70" s="214"/>
      <c r="S70" s="214"/>
    </row>
    <row r="71" spans="1:19" ht="12" customHeight="1" x14ac:dyDescent="0.2">
      <c r="A71" s="214"/>
      <c r="B71" s="214"/>
      <c r="C71" s="214"/>
      <c r="D71" s="214"/>
      <c r="E71" s="214"/>
      <c r="F71" s="214"/>
      <c r="G71" s="214"/>
      <c r="H71" s="214"/>
      <c r="I71" s="214"/>
      <c r="J71" s="214"/>
      <c r="K71" s="214"/>
      <c r="L71" s="214"/>
      <c r="M71" s="214"/>
      <c r="N71" s="214"/>
      <c r="O71" s="214"/>
      <c r="P71" s="214"/>
      <c r="Q71" s="214"/>
      <c r="R71" s="214"/>
      <c r="S71" s="214"/>
    </row>
    <row r="72" spans="1:19" ht="12" customHeight="1" x14ac:dyDescent="0.2">
      <c r="A72" s="214"/>
      <c r="B72" s="214"/>
      <c r="C72" s="214"/>
      <c r="D72" s="214"/>
      <c r="E72" s="214"/>
      <c r="F72" s="214"/>
      <c r="G72" s="214"/>
      <c r="H72" s="214"/>
      <c r="I72" s="214"/>
      <c r="J72" s="214"/>
      <c r="K72" s="214"/>
      <c r="L72" s="214"/>
      <c r="M72" s="214"/>
      <c r="N72" s="214"/>
      <c r="O72" s="214"/>
      <c r="P72" s="214"/>
      <c r="Q72" s="214"/>
      <c r="R72" s="214"/>
      <c r="S72" s="214"/>
    </row>
    <row r="73" spans="1:19" ht="12" customHeight="1" x14ac:dyDescent="0.2">
      <c r="A73" s="214"/>
      <c r="B73" s="214"/>
      <c r="C73" s="214"/>
      <c r="D73" s="214"/>
      <c r="E73" s="214"/>
      <c r="F73" s="214"/>
      <c r="G73" s="214"/>
      <c r="H73" s="214"/>
      <c r="I73" s="214"/>
      <c r="J73" s="214"/>
      <c r="K73" s="214"/>
      <c r="L73" s="214"/>
      <c r="M73" s="214"/>
      <c r="N73" s="214"/>
      <c r="O73" s="214"/>
      <c r="P73" s="214"/>
      <c r="Q73" s="214"/>
      <c r="R73" s="214"/>
      <c r="S73" s="214"/>
    </row>
    <row r="74" spans="1:19" ht="12" customHeight="1" x14ac:dyDescent="0.2">
      <c r="A74" s="214"/>
      <c r="B74" s="214"/>
      <c r="C74" s="214"/>
      <c r="D74" s="214"/>
      <c r="E74" s="214"/>
      <c r="F74" s="214"/>
      <c r="G74" s="214"/>
      <c r="H74" s="214"/>
      <c r="I74" s="214"/>
      <c r="J74" s="214"/>
      <c r="K74" s="214"/>
      <c r="L74" s="214"/>
      <c r="M74" s="214"/>
      <c r="N74" s="214"/>
      <c r="O74" s="214"/>
      <c r="P74" s="214"/>
      <c r="Q74" s="214"/>
      <c r="R74" s="214"/>
      <c r="S74" s="214"/>
    </row>
    <row r="75" spans="1:19" ht="12" customHeight="1" x14ac:dyDescent="0.2">
      <c r="A75" s="214"/>
      <c r="B75" s="214"/>
      <c r="C75" s="214"/>
      <c r="D75" s="214"/>
      <c r="E75" s="214"/>
      <c r="F75" s="214"/>
      <c r="G75" s="214"/>
      <c r="H75" s="214"/>
      <c r="I75" s="214"/>
      <c r="J75" s="214"/>
      <c r="K75" s="214"/>
      <c r="L75" s="214"/>
      <c r="M75" s="214"/>
      <c r="N75" s="214"/>
      <c r="O75" s="214"/>
      <c r="P75" s="214"/>
      <c r="Q75" s="214"/>
      <c r="R75" s="214"/>
      <c r="S75" s="214"/>
    </row>
    <row r="76" spans="1:19" ht="12" customHeight="1" x14ac:dyDescent="0.2">
      <c r="A76" s="214"/>
      <c r="B76" s="214"/>
      <c r="C76" s="214"/>
      <c r="D76" s="214"/>
      <c r="E76" s="214"/>
      <c r="F76" s="214"/>
      <c r="G76" s="214"/>
      <c r="H76" s="214"/>
      <c r="I76" s="214"/>
      <c r="J76" s="214"/>
      <c r="K76" s="214"/>
      <c r="L76" s="214"/>
      <c r="M76" s="214"/>
      <c r="N76" s="214"/>
      <c r="O76" s="214"/>
      <c r="P76" s="214"/>
      <c r="Q76" s="214"/>
      <c r="R76" s="214"/>
      <c r="S76" s="214"/>
    </row>
    <row r="77" spans="1:19" ht="12" customHeight="1" x14ac:dyDescent="0.2">
      <c r="A77" s="214"/>
      <c r="B77" s="214"/>
      <c r="C77" s="214"/>
      <c r="D77" s="214"/>
      <c r="E77" s="214"/>
      <c r="F77" s="214"/>
      <c r="G77" s="214"/>
      <c r="H77" s="214"/>
      <c r="I77" s="214"/>
      <c r="J77" s="214"/>
      <c r="K77" s="214"/>
      <c r="L77" s="214"/>
      <c r="M77" s="214"/>
      <c r="N77" s="214"/>
      <c r="O77" s="214"/>
      <c r="P77" s="214"/>
      <c r="Q77" s="214"/>
      <c r="R77" s="214"/>
      <c r="S77" s="214"/>
    </row>
    <row r="78" spans="1:19" ht="12" customHeight="1" x14ac:dyDescent="0.2">
      <c r="A78" s="214"/>
      <c r="B78" s="214"/>
      <c r="C78" s="214"/>
      <c r="D78" s="214"/>
      <c r="E78" s="214"/>
      <c r="F78" s="214"/>
      <c r="G78" s="214"/>
      <c r="H78" s="214"/>
      <c r="I78" s="214"/>
      <c r="J78" s="214"/>
      <c r="K78" s="214"/>
      <c r="L78" s="214"/>
      <c r="M78" s="214"/>
      <c r="N78" s="214"/>
      <c r="O78" s="214"/>
      <c r="P78" s="214"/>
      <c r="Q78" s="214"/>
      <c r="R78" s="214"/>
      <c r="S78" s="214"/>
    </row>
    <row r="79" spans="1:19" ht="12" customHeight="1" x14ac:dyDescent="0.2">
      <c r="A79" s="214"/>
      <c r="B79" s="214"/>
      <c r="C79" s="214"/>
      <c r="D79" s="214"/>
      <c r="E79" s="214"/>
      <c r="F79" s="214"/>
      <c r="G79" s="214"/>
      <c r="H79" s="214"/>
      <c r="I79" s="214"/>
      <c r="J79" s="214"/>
      <c r="K79" s="214"/>
      <c r="L79" s="214"/>
      <c r="M79" s="214"/>
      <c r="N79" s="214"/>
      <c r="O79" s="214"/>
      <c r="P79" s="214"/>
      <c r="Q79" s="214"/>
      <c r="R79" s="214"/>
      <c r="S79" s="214"/>
    </row>
    <row r="80" spans="1:19" ht="12" customHeight="1" x14ac:dyDescent="0.2">
      <c r="A80" s="214"/>
      <c r="B80" s="214"/>
      <c r="C80" s="214"/>
      <c r="D80" s="214"/>
      <c r="E80" s="214"/>
      <c r="F80" s="214"/>
      <c r="G80" s="214"/>
      <c r="H80" s="214"/>
      <c r="I80" s="214"/>
      <c r="J80" s="214"/>
      <c r="K80" s="214"/>
      <c r="L80" s="214"/>
      <c r="M80" s="214"/>
      <c r="N80" s="214"/>
      <c r="O80" s="214"/>
      <c r="P80" s="214"/>
      <c r="Q80" s="214"/>
      <c r="R80" s="214"/>
      <c r="S80" s="214"/>
    </row>
    <row r="81" spans="1:19" ht="12" customHeight="1" x14ac:dyDescent="0.2">
      <c r="A81" s="214"/>
      <c r="B81" s="214"/>
      <c r="C81" s="214"/>
      <c r="D81" s="214"/>
      <c r="E81" s="214"/>
      <c r="F81" s="214"/>
      <c r="G81" s="214"/>
      <c r="H81" s="214"/>
      <c r="I81" s="214"/>
      <c r="J81" s="214"/>
      <c r="K81" s="214"/>
      <c r="L81" s="214"/>
      <c r="M81" s="214"/>
      <c r="N81" s="214"/>
      <c r="O81" s="214"/>
      <c r="P81" s="214"/>
      <c r="Q81" s="214"/>
      <c r="R81" s="214"/>
      <c r="S81" s="214"/>
    </row>
    <row r="82" spans="1:19" ht="12" customHeight="1" x14ac:dyDescent="0.2">
      <c r="A82" s="214"/>
      <c r="B82" s="214"/>
      <c r="C82" s="214"/>
      <c r="D82" s="214"/>
      <c r="E82" s="214"/>
      <c r="F82" s="214"/>
      <c r="G82" s="214"/>
      <c r="H82" s="214"/>
      <c r="I82" s="214"/>
      <c r="J82" s="214"/>
      <c r="K82" s="214"/>
      <c r="L82" s="214"/>
      <c r="M82" s="214"/>
      <c r="N82" s="214"/>
      <c r="O82" s="214"/>
      <c r="P82" s="214"/>
      <c r="Q82" s="214"/>
      <c r="R82" s="214"/>
      <c r="S82" s="214"/>
    </row>
    <row r="83" spans="1:19" ht="12" customHeight="1" x14ac:dyDescent="0.2">
      <c r="A83" s="214"/>
      <c r="B83" s="214"/>
      <c r="C83" s="214"/>
      <c r="D83" s="214"/>
      <c r="E83" s="214"/>
      <c r="F83" s="214"/>
      <c r="G83" s="214"/>
      <c r="H83" s="214"/>
      <c r="I83" s="214"/>
      <c r="J83" s="214"/>
      <c r="K83" s="214"/>
      <c r="L83" s="214"/>
      <c r="M83" s="214"/>
      <c r="N83" s="214"/>
      <c r="O83" s="214"/>
      <c r="P83" s="214"/>
      <c r="Q83" s="214"/>
      <c r="R83" s="214"/>
      <c r="S83" s="214"/>
    </row>
    <row r="84" spans="1:19" ht="12" customHeight="1" x14ac:dyDescent="0.2">
      <c r="A84" s="214"/>
      <c r="B84" s="214"/>
      <c r="C84" s="214"/>
      <c r="D84" s="214"/>
      <c r="E84" s="214"/>
      <c r="F84" s="214"/>
      <c r="G84" s="214"/>
      <c r="H84" s="214"/>
      <c r="I84" s="214"/>
      <c r="J84" s="214"/>
      <c r="K84" s="214"/>
      <c r="L84" s="214"/>
      <c r="M84" s="214"/>
      <c r="N84" s="214"/>
      <c r="O84" s="214"/>
      <c r="P84" s="214"/>
      <c r="Q84" s="214"/>
      <c r="R84" s="214"/>
      <c r="S84" s="214"/>
    </row>
    <row r="85" spans="1:19" ht="12" customHeight="1" x14ac:dyDescent="0.2">
      <c r="A85" s="214"/>
      <c r="B85" s="214"/>
      <c r="C85" s="214"/>
      <c r="D85" s="214"/>
      <c r="E85" s="214"/>
      <c r="F85" s="214"/>
      <c r="G85" s="214"/>
      <c r="H85" s="214"/>
      <c r="I85" s="214"/>
      <c r="J85" s="214"/>
      <c r="K85" s="214"/>
      <c r="L85" s="214"/>
      <c r="M85" s="214"/>
      <c r="N85" s="214"/>
      <c r="O85" s="214"/>
      <c r="P85" s="214"/>
      <c r="Q85" s="214"/>
      <c r="R85" s="214"/>
      <c r="S85" s="214"/>
    </row>
    <row r="86" spans="1:19" ht="12" customHeight="1" x14ac:dyDescent="0.2">
      <c r="A86" s="214"/>
      <c r="B86" s="214"/>
      <c r="C86" s="214"/>
      <c r="D86" s="214"/>
      <c r="E86" s="214"/>
      <c r="F86" s="214"/>
      <c r="G86" s="214"/>
      <c r="H86" s="214"/>
      <c r="I86" s="214"/>
      <c r="J86" s="214"/>
      <c r="K86" s="214"/>
      <c r="L86" s="214"/>
      <c r="M86" s="214"/>
      <c r="N86" s="214"/>
      <c r="O86" s="214"/>
      <c r="P86" s="214"/>
      <c r="Q86" s="214"/>
      <c r="R86" s="214"/>
      <c r="S86" s="214"/>
    </row>
    <row r="87" spans="1:19" ht="12" customHeight="1" x14ac:dyDescent="0.2">
      <c r="A87" s="214"/>
      <c r="B87" s="214"/>
      <c r="C87" s="214"/>
      <c r="D87" s="214"/>
      <c r="E87" s="214"/>
      <c r="F87" s="214"/>
      <c r="G87" s="214"/>
      <c r="H87" s="214"/>
      <c r="I87" s="214"/>
      <c r="J87" s="214"/>
      <c r="K87" s="214"/>
      <c r="L87" s="214"/>
      <c r="M87" s="214"/>
      <c r="N87" s="214"/>
      <c r="O87" s="214"/>
      <c r="P87" s="214"/>
      <c r="Q87" s="214"/>
      <c r="R87" s="214"/>
      <c r="S87" s="214"/>
    </row>
    <row r="88" spans="1:19" ht="12" customHeight="1" x14ac:dyDescent="0.2">
      <c r="A88" s="214"/>
      <c r="B88" s="214"/>
      <c r="C88" s="214"/>
      <c r="D88" s="214"/>
      <c r="E88" s="214"/>
      <c r="F88" s="214"/>
      <c r="G88" s="214"/>
      <c r="H88" s="214"/>
      <c r="I88" s="214"/>
      <c r="J88" s="214"/>
      <c r="K88" s="214"/>
      <c r="L88" s="214"/>
      <c r="M88" s="214"/>
      <c r="N88" s="214"/>
      <c r="O88" s="214"/>
      <c r="P88" s="214"/>
      <c r="Q88" s="214"/>
      <c r="R88" s="214"/>
      <c r="S88" s="214"/>
    </row>
    <row r="89" spans="1:19" ht="12" customHeight="1" x14ac:dyDescent="0.2">
      <c r="A89" s="214"/>
      <c r="B89" s="214"/>
      <c r="C89" s="214"/>
      <c r="D89" s="214"/>
      <c r="E89" s="214"/>
      <c r="F89" s="214"/>
      <c r="G89" s="214"/>
      <c r="H89" s="214"/>
      <c r="I89" s="214"/>
      <c r="J89" s="214"/>
      <c r="K89" s="214"/>
      <c r="L89" s="214"/>
      <c r="M89" s="214"/>
      <c r="N89" s="214"/>
      <c r="O89" s="214"/>
      <c r="P89" s="214"/>
      <c r="Q89" s="214"/>
      <c r="R89" s="214"/>
      <c r="S89" s="214"/>
    </row>
    <row r="90" spans="1:19" ht="12" customHeight="1" x14ac:dyDescent="0.2">
      <c r="A90" s="214"/>
      <c r="B90" s="214"/>
      <c r="C90" s="214"/>
      <c r="D90" s="214"/>
      <c r="E90" s="214"/>
      <c r="F90" s="214"/>
      <c r="G90" s="214"/>
      <c r="H90" s="214"/>
      <c r="I90" s="214"/>
      <c r="J90" s="214"/>
      <c r="K90" s="214"/>
      <c r="L90" s="214"/>
      <c r="M90" s="214"/>
      <c r="N90" s="214"/>
      <c r="O90" s="214"/>
      <c r="P90" s="214"/>
      <c r="Q90" s="214"/>
      <c r="R90" s="214"/>
      <c r="S90" s="214"/>
    </row>
    <row r="91" spans="1:19" ht="12" customHeight="1" x14ac:dyDescent="0.2">
      <c r="A91" s="214"/>
      <c r="B91" s="214"/>
      <c r="C91" s="214"/>
      <c r="D91" s="214"/>
      <c r="E91" s="214"/>
      <c r="F91" s="214"/>
      <c r="G91" s="214"/>
      <c r="H91" s="214"/>
      <c r="I91" s="214"/>
      <c r="J91" s="214"/>
      <c r="K91" s="214"/>
      <c r="L91" s="214"/>
      <c r="M91" s="214"/>
      <c r="N91" s="214"/>
      <c r="O91" s="214"/>
      <c r="P91" s="214"/>
      <c r="Q91" s="214"/>
      <c r="R91" s="214"/>
      <c r="S91" s="214"/>
    </row>
    <row r="92" spans="1:19" ht="12" customHeight="1" x14ac:dyDescent="0.2">
      <c r="A92" s="214"/>
      <c r="B92" s="214"/>
      <c r="C92" s="214"/>
      <c r="D92" s="214"/>
      <c r="E92" s="214"/>
      <c r="F92" s="214"/>
      <c r="G92" s="214"/>
      <c r="H92" s="214"/>
      <c r="I92" s="214"/>
      <c r="J92" s="214"/>
      <c r="K92" s="214"/>
      <c r="L92" s="214"/>
      <c r="M92" s="214"/>
      <c r="N92" s="214"/>
      <c r="O92" s="214"/>
      <c r="P92" s="214"/>
      <c r="Q92" s="214"/>
      <c r="R92" s="214"/>
      <c r="S92" s="214"/>
    </row>
    <row r="93" spans="1:19" ht="12" customHeight="1" x14ac:dyDescent="0.2">
      <c r="A93" s="214"/>
      <c r="B93" s="214"/>
      <c r="C93" s="214"/>
      <c r="D93" s="214"/>
      <c r="E93" s="214"/>
      <c r="F93" s="214"/>
      <c r="G93" s="214"/>
      <c r="H93" s="214"/>
      <c r="I93" s="214"/>
      <c r="J93" s="214"/>
      <c r="K93" s="214"/>
      <c r="L93" s="214"/>
      <c r="M93" s="214"/>
      <c r="N93" s="214"/>
      <c r="O93" s="214"/>
      <c r="P93" s="214"/>
      <c r="Q93" s="214"/>
      <c r="R93" s="214"/>
      <c r="S93" s="214"/>
    </row>
    <row r="94" spans="1:19" ht="12" customHeight="1" x14ac:dyDescent="0.2">
      <c r="A94" s="214"/>
      <c r="B94" s="214"/>
      <c r="C94" s="214"/>
      <c r="D94" s="214"/>
      <c r="E94" s="214"/>
      <c r="F94" s="214"/>
      <c r="G94" s="214"/>
      <c r="H94" s="214"/>
      <c r="I94" s="214"/>
      <c r="J94" s="214"/>
      <c r="K94" s="214"/>
      <c r="L94" s="214"/>
      <c r="M94" s="214"/>
      <c r="N94" s="214"/>
      <c r="O94" s="214"/>
      <c r="P94" s="214"/>
      <c r="Q94" s="214"/>
      <c r="R94" s="214"/>
      <c r="S94" s="214"/>
    </row>
    <row r="95" spans="1:19" ht="12" customHeight="1" x14ac:dyDescent="0.2">
      <c r="A95" s="214"/>
      <c r="B95" s="214"/>
      <c r="C95" s="214"/>
      <c r="D95" s="214"/>
      <c r="E95" s="214"/>
      <c r="F95" s="214"/>
      <c r="G95" s="214"/>
      <c r="H95" s="214"/>
      <c r="I95" s="214"/>
      <c r="J95" s="214"/>
      <c r="K95" s="214"/>
      <c r="L95" s="214"/>
      <c r="M95" s="214"/>
      <c r="N95" s="214"/>
      <c r="O95" s="214"/>
      <c r="P95" s="214"/>
      <c r="Q95" s="214"/>
      <c r="R95" s="214"/>
      <c r="S95" s="214"/>
    </row>
    <row r="96" spans="1:19" ht="12" customHeight="1" x14ac:dyDescent="0.2">
      <c r="A96" s="214"/>
      <c r="B96" s="214"/>
      <c r="C96" s="214"/>
      <c r="D96" s="214"/>
      <c r="E96" s="214"/>
      <c r="F96" s="214"/>
      <c r="G96" s="214"/>
      <c r="H96" s="214"/>
      <c r="I96" s="214"/>
      <c r="J96" s="214"/>
      <c r="K96" s="214"/>
      <c r="L96" s="214"/>
      <c r="M96" s="214"/>
      <c r="N96" s="214"/>
      <c r="O96" s="214"/>
      <c r="P96" s="214"/>
      <c r="Q96" s="214"/>
      <c r="R96" s="214"/>
      <c r="S96" s="214"/>
    </row>
    <row r="97" spans="1:19" ht="12" customHeight="1" x14ac:dyDescent="0.2">
      <c r="A97" s="214"/>
      <c r="B97" s="214"/>
      <c r="C97" s="214"/>
      <c r="D97" s="214"/>
      <c r="E97" s="214"/>
      <c r="F97" s="214"/>
      <c r="G97" s="214"/>
      <c r="H97" s="214"/>
      <c r="I97" s="214"/>
      <c r="J97" s="214"/>
      <c r="K97" s="214"/>
      <c r="L97" s="214"/>
      <c r="M97" s="214"/>
      <c r="N97" s="214"/>
      <c r="O97" s="214"/>
      <c r="P97" s="214"/>
      <c r="Q97" s="214"/>
      <c r="R97" s="214"/>
      <c r="S97" s="214"/>
    </row>
    <row r="98" spans="1:19" ht="12" customHeight="1" x14ac:dyDescent="0.2">
      <c r="A98" s="214"/>
      <c r="B98" s="214"/>
      <c r="C98" s="214"/>
      <c r="D98" s="214"/>
      <c r="E98" s="214"/>
      <c r="F98" s="214"/>
      <c r="G98" s="214"/>
      <c r="H98" s="214"/>
      <c r="I98" s="214"/>
      <c r="J98" s="214"/>
      <c r="K98" s="214"/>
      <c r="L98" s="214"/>
      <c r="M98" s="214"/>
      <c r="N98" s="214"/>
      <c r="O98" s="214"/>
      <c r="P98" s="214"/>
      <c r="Q98" s="214"/>
      <c r="R98" s="214"/>
      <c r="S98" s="214"/>
    </row>
    <row r="99" spans="1:19" ht="12" customHeight="1" x14ac:dyDescent="0.2">
      <c r="A99" s="214"/>
      <c r="B99" s="214"/>
      <c r="C99" s="214"/>
      <c r="D99" s="214"/>
      <c r="E99" s="214"/>
      <c r="F99" s="214"/>
      <c r="G99" s="214"/>
      <c r="H99" s="214"/>
      <c r="I99" s="214"/>
      <c r="J99" s="214"/>
      <c r="K99" s="214"/>
      <c r="L99" s="214"/>
      <c r="M99" s="214"/>
      <c r="N99" s="214"/>
      <c r="O99" s="214"/>
      <c r="P99" s="214"/>
      <c r="Q99" s="214"/>
      <c r="R99" s="214"/>
      <c r="S99" s="214"/>
    </row>
    <row r="100" spans="1:19" ht="12" customHeight="1" x14ac:dyDescent="0.2">
      <c r="A100" s="214"/>
      <c r="B100" s="214"/>
      <c r="C100" s="214"/>
      <c r="D100" s="214"/>
      <c r="E100" s="214"/>
      <c r="F100" s="214"/>
      <c r="G100" s="214"/>
      <c r="H100" s="214"/>
      <c r="I100" s="214"/>
      <c r="J100" s="214"/>
      <c r="K100" s="214"/>
      <c r="L100" s="214"/>
      <c r="M100" s="214"/>
      <c r="N100" s="214"/>
      <c r="O100" s="214"/>
      <c r="P100" s="214"/>
      <c r="Q100" s="214"/>
      <c r="R100" s="214"/>
      <c r="S100" s="214"/>
    </row>
  </sheetData>
  <mergeCells count="6">
    <mergeCell ref="Q4:R4"/>
    <mergeCell ref="A4:A5"/>
    <mergeCell ref="B4:B5"/>
    <mergeCell ref="C4:I4"/>
    <mergeCell ref="J4:N4"/>
    <mergeCell ref="O4:P4"/>
  </mergeCells>
  <printOptions horizontalCentered="1"/>
  <pageMargins left="0.25" right="0.25" top="0.75" bottom="0.75" header="0" footer="0"/>
  <pageSetup paperSize="9" orientation="landscape"/>
  <headerFooter>
    <oddHeader>&amp;CPROYECTO DE PRESUPUESTO 2021</oddHeader>
    <oddFooter>&amp;LPROYECTO DE PRESUPUESTO PARA EL AÑO FISCAL 2021 INFORMACIÓN PARA LA COMISIÓN DE PRESUPUESTO Y CUENTA GENERAL DE LA REPÚBLICA DEL CONGRESO DE LA REPÚBLICA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Índice</vt:lpstr>
      <vt:lpstr>F-01 </vt:lpstr>
      <vt:lpstr>F-02  </vt:lpstr>
      <vt:lpstr>F-03 </vt:lpstr>
      <vt:lpstr>F-04 </vt:lpstr>
      <vt:lpstr>F-05</vt:lpstr>
      <vt:lpstr>F-06</vt:lpstr>
      <vt:lpstr>F-07</vt:lpstr>
      <vt:lpstr>F-08</vt:lpstr>
      <vt:lpstr>F-09</vt:lpstr>
      <vt:lpstr>F-10</vt:lpstr>
      <vt:lpstr>F-11</vt:lpstr>
      <vt:lpstr>F-12 </vt:lpstr>
      <vt:lpstr>F-13</vt:lpstr>
      <vt:lpstr>F-14</vt:lpstr>
      <vt:lpstr>F-15</vt:lpstr>
      <vt:lpstr>F-16 </vt:lpstr>
      <vt:lpstr>F-17</vt:lpstr>
      <vt:lpstr>F-18</vt:lpstr>
      <vt:lpstr>Hoja1</vt:lpstr>
    </vt:vector>
  </TitlesOfParts>
  <Company>Congreso de la República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Directiva Formulaicón de Presupuesto (V 2008)</dc:title>
  <dc:creator>Asesoria de Presupuesto</dc:creator>
  <cp:lastModifiedBy>pined</cp:lastModifiedBy>
  <cp:lastPrinted>2020-10-09T15:22:25Z</cp:lastPrinted>
  <dcterms:created xsi:type="dcterms:W3CDTF">1998-08-20T20:27:58Z</dcterms:created>
  <dcterms:modified xsi:type="dcterms:W3CDTF">2020-10-11T05:19:54Z</dcterms:modified>
</cp:coreProperties>
</file>