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tabRatio="825" firstSheet="11" activeTab="18"/>
  </bookViews>
  <sheets>
    <sheet name="Índice" sheetId="1" r:id="rId1"/>
    <sheet name="F-01 Planeamiento" sheetId="2" r:id="rId2"/>
    <sheet name=" F-02 Presupuesto" sheetId="3" r:id="rId3"/>
    <sheet name="F-03 Presupuesto" sheetId="4" r:id="rId4"/>
    <sheet name=" F-04 Presupuesto" sheetId="5" r:id="rId5"/>
    <sheet name=" F-05 No Aplica" sheetId="6" r:id="rId6"/>
    <sheet name="F-06 No aplica" sheetId="7" r:id="rId7"/>
    <sheet name="F-07 Presupuesto" sheetId="8" r:id="rId8"/>
    <sheet name="F-08 Presupuesto" sheetId="9" r:id="rId9"/>
    <sheet name="F-09 Personal" sheetId="10" r:id="rId10"/>
    <sheet name="F-10 Personal" sheetId="11" r:id="rId11"/>
    <sheet name="F-11 Personal" sheetId="12" r:id="rId12"/>
    <sheet name="F-12 Presupuesto" sheetId="13" r:id="rId13"/>
    <sheet name="F-13 Logistica No aplica" sheetId="14" r:id="rId14"/>
    <sheet name="F-14 Logistica" sheetId="15" r:id="rId15"/>
    <sheet name="F-15 Logistica" sheetId="16" r:id="rId16"/>
    <sheet name="F-16 Contabilidad" sheetId="17" r:id="rId17"/>
    <sheet name="F-17 Personal" sheetId="18" r:id="rId18"/>
    <sheet name="F-18 Logistica No aplica" sheetId="19" r:id="rId19"/>
    <sheet name="Hoja1" sheetId="20" state="hidden" r:id="rId20"/>
  </sheets>
  <definedNames>
    <definedName name="_xlnm.Print_Area" localSheetId="6">'F-06 No aplica'!$A$1:$O$56</definedName>
    <definedName name="_xlnm.Print_Area" localSheetId="7">'F-07 Presupuesto'!$A$1:$Q$25</definedName>
    <definedName name="_xlnm.Print_Area" localSheetId="8">'F-08 Presupuesto'!$A$1:$R$109</definedName>
    <definedName name="_xlnm.Print_Area" localSheetId="12">'F-12 Presupuesto'!$A$1:$M$48</definedName>
    <definedName name="_xlnm.Print_Area" localSheetId="14">'F-14 Logistica'!$A$1:$K$37</definedName>
    <definedName name="_xlnm.Print_Area" localSheetId="0">'Índice'!$A$1:$E$35</definedName>
    <definedName name="dd" localSheetId="2">#REF!</definedName>
    <definedName name="dd" localSheetId="3">#REF!</definedName>
    <definedName name="dd">#REF!</definedName>
    <definedName name="DIRECREC" localSheetId="2">#REF!</definedName>
    <definedName name="DIRECREC" localSheetId="3">#REF!</definedName>
    <definedName name="DIRECREC">#REF!</definedName>
    <definedName name="DONAC" localSheetId="2">#REF!</definedName>
    <definedName name="DONAC" localSheetId="3">#REF!</definedName>
    <definedName name="DONAC">#REF!</definedName>
    <definedName name="EE" localSheetId="2">#REF!</definedName>
    <definedName name="EE" localSheetId="3">#REF!</definedName>
    <definedName name="EE">#REF!</definedName>
    <definedName name="RECORD" localSheetId="2">#REF!</definedName>
    <definedName name="RECORD" localSheetId="3">#REF!</definedName>
    <definedName name="RECORD">#REF!</definedName>
    <definedName name="RECPUB" localSheetId="2">#REF!</definedName>
    <definedName name="RECPUB" localSheetId="3">#REF!</definedName>
    <definedName name="RECPUB">#REF!</definedName>
    <definedName name="_xlnm.Print_Titles" localSheetId="0">'Índice'!$1:$1</definedName>
    <definedName name="XPRINT" localSheetId="2">#REF!</definedName>
    <definedName name="XPRINT" localSheetId="3">#REF!</definedName>
    <definedName name="XPRINT">#REF!</definedName>
    <definedName name="XPRINT2" localSheetId="2">#REF!</definedName>
    <definedName name="XPRINT2" localSheetId="3">#REF!</definedName>
    <definedName name="XPRINT2">#REF!</definedName>
    <definedName name="XPRINT3" localSheetId="2">#REF!</definedName>
    <definedName name="XPRINT3" localSheetId="3">#REF!</definedName>
    <definedName name="XPRINT3">#REF!</definedName>
    <definedName name="XPRINT4" localSheetId="2">#REF!</definedName>
    <definedName name="XPRINT4" localSheetId="3">#REF!</definedName>
    <definedName name="XPRINT4">#REF!</definedName>
  </definedNames>
  <calcPr fullCalcOnLoad="1"/>
</workbook>
</file>

<file path=xl/comments2.xml><?xml version="1.0" encoding="utf-8"?>
<comments xmlns="http://schemas.openxmlformats.org/spreadsheetml/2006/main">
  <authors>
    <author>pcuba</author>
  </authors>
  <commentList>
    <comment ref="E8" authorId="0">
      <text>
        <r>
          <rPr>
            <sz val="8"/>
            <rFont val="Tahoma"/>
            <family val="2"/>
          </rPr>
          <t xml:space="preserve">
Nombre del Indicador</t>
        </r>
      </text>
    </comment>
  </commentList>
</comments>
</file>

<file path=xl/sharedStrings.xml><?xml version="1.0" encoding="utf-8"?>
<sst xmlns="http://schemas.openxmlformats.org/spreadsheetml/2006/main" count="2093" uniqueCount="839">
  <si>
    <t>03</t>
  </si>
  <si>
    <t>05</t>
  </si>
  <si>
    <t>TOTAL</t>
  </si>
  <si>
    <t>RECURSOS PUBLICOS</t>
  </si>
  <si>
    <t>S/.</t>
  </si>
  <si>
    <t>EST. %</t>
  </si>
  <si>
    <t>GASTOS CORRIENTES */</t>
  </si>
  <si>
    <t>02</t>
  </si>
  <si>
    <t>04</t>
  </si>
  <si>
    <t>06</t>
  </si>
  <si>
    <t>07</t>
  </si>
  <si>
    <t>..</t>
  </si>
  <si>
    <t>OTROS</t>
  </si>
  <si>
    <t>SERVICIOS NO PERSONALES</t>
  </si>
  <si>
    <t>PROPINAS</t>
  </si>
  <si>
    <t>BIENES DISTRIBUCION GRATUITA</t>
  </si>
  <si>
    <t>PASAJES Y GASTOS DE TRANSPORTE</t>
  </si>
  <si>
    <t>CONTRATACION CON EMPRESAS DE SERVICIOS</t>
  </si>
  <si>
    <t>RUBROS</t>
  </si>
  <si>
    <t>OTROS SERVICIOS DE TERCEROS</t>
  </si>
  <si>
    <t>BIENES DE CONSUMO</t>
  </si>
  <si>
    <t>ALIMENTOS DE PERSONAS</t>
  </si>
  <si>
    <t>TARIFAS DE SERVICIOS GENERALES</t>
  </si>
  <si>
    <t>OTROS (DETALLAR)</t>
  </si>
  <si>
    <t>VIATICOS Y ASIGNACIONES</t>
  </si>
  <si>
    <t>NUEVOS SOLES</t>
  </si>
  <si>
    <t>1. RECURSOS ORDINARIOS</t>
  </si>
  <si>
    <t>2. RECURSOS DIRECTAM. RECAUD.</t>
  </si>
  <si>
    <t>3.- RECURSOS OPERACIONES</t>
  </si>
  <si>
    <t>4. DONACIONES Y TRANSFERENCIAS</t>
  </si>
  <si>
    <t>5. RECURSOS DETERMINADOS</t>
  </si>
  <si>
    <t xml:space="preserve">    - CONTRIBUCIONES A FONDOS</t>
  </si>
  <si>
    <t xml:space="preserve">    - FONDO DE COMPENCIÓN MUNICIPAL</t>
  </si>
  <si>
    <t xml:space="preserve">    - IMPUESTOS MUNICIPALES</t>
  </si>
  <si>
    <t xml:space="preserve">    - CANON  Y  SOBRECANON, REGALIAS</t>
  </si>
  <si>
    <t xml:space="preserve">       Y PARTICIPACIONES</t>
  </si>
  <si>
    <t>TOTAL    (*)</t>
  </si>
  <si>
    <t>(PIA) = Presupuesto Institucional de Apertura</t>
  </si>
  <si>
    <t xml:space="preserve">    - OTROS (ESPECIFICAR)</t>
  </si>
  <si>
    <t>TOTAL SECTOR</t>
  </si>
  <si>
    <t>PART. %</t>
  </si>
  <si>
    <t xml:space="preserve">       OFICIALES DE CREDITO</t>
  </si>
  <si>
    <t>SERVICIO DE DEUDA</t>
  </si>
  <si>
    <t xml:space="preserve"> </t>
  </si>
  <si>
    <t>SUB TOTAL GASTOS CORRIENTES</t>
  </si>
  <si>
    <t>SUB TOTAL GASTOS DE CAPITAL</t>
  </si>
  <si>
    <t>SUB TOTAL SERVICIO DE DEUDA</t>
  </si>
  <si>
    <t>GASTOS DE CAPITAL</t>
  </si>
  <si>
    <t>1: Reserva de Contingencia</t>
  </si>
  <si>
    <t>2: Personal y Obligaciones Sociales</t>
  </si>
  <si>
    <t>3: Pensiones y Prestaciones Sociales</t>
  </si>
  <si>
    <t>4: Bienes y Servicios</t>
  </si>
  <si>
    <t>5: Donaciones y Transferencias</t>
  </si>
  <si>
    <t>6: Otros Gastos</t>
  </si>
  <si>
    <t>7: Donaciones y Transferencias</t>
  </si>
  <si>
    <t>8: Otros Gastos</t>
  </si>
  <si>
    <t>9: Adquisiciones de Activos No Financieros</t>
  </si>
  <si>
    <t>10: Adquisiciones de Activos Financieros</t>
  </si>
  <si>
    <t>11: Servicio de la Deuda</t>
  </si>
  <si>
    <t>GASTOS CORRIENTES</t>
  </si>
  <si>
    <t>FUNCIONES</t>
  </si>
  <si>
    <t>PPTO (PIA)</t>
  </si>
  <si>
    <t>1 Legislativa</t>
  </si>
  <si>
    <t>2 Relaciones Exteriores</t>
  </si>
  <si>
    <t>3 Planeam. Gestión y Reserva</t>
  </si>
  <si>
    <t>7: Donaciones y Transferencias (de capital)</t>
  </si>
  <si>
    <t>5: Donaciones y Transferencias (corrientes)</t>
  </si>
  <si>
    <t>6: Otros Gastos (corrientes)</t>
  </si>
  <si>
    <t>8: Otros Gastos (de capital)</t>
  </si>
  <si>
    <t>TOTAL GASTOS UNIDAD EJECUTORA / ENTIDAD PÚBLICA</t>
  </si>
  <si>
    <t>(**) Recursos Públicos / Recursos Ordinarios / Recursos Directamente Recaudados / Donaciones  y  Transferencias / Operaciones Oficiales de Crédito/ Recursos Determinados</t>
  </si>
  <si>
    <t>0: Reserva de Contingencia</t>
  </si>
  <si>
    <t>1: Personal y Obligaciones Sociales</t>
  </si>
  <si>
    <t>2: Pensiones y Prestaciones Sociales</t>
  </si>
  <si>
    <t>3: Bienes y Servicios</t>
  </si>
  <si>
    <t>4: Donaciones y Transferencias</t>
  </si>
  <si>
    <t>5: Otros Gastos</t>
  </si>
  <si>
    <t>6: Adquisiciones de Activos No Financieros</t>
  </si>
  <si>
    <t>7: Adquisiciones de Activos Financieros</t>
  </si>
  <si>
    <t>8: Servicio de la Deuda</t>
  </si>
  <si>
    <t>4 Defensa y Seg. Nacional</t>
  </si>
  <si>
    <t>5 Orden Púb. y Seguridad</t>
  </si>
  <si>
    <t>6 Justicia</t>
  </si>
  <si>
    <t>7 Trabajo</t>
  </si>
  <si>
    <t>8 Comercio</t>
  </si>
  <si>
    <t>9 Turismo</t>
  </si>
  <si>
    <t>10 Agropecuaria</t>
  </si>
  <si>
    <t>11 Pesca</t>
  </si>
  <si>
    <t>12 Energía</t>
  </si>
  <si>
    <t>13 Mineria</t>
  </si>
  <si>
    <t>14 Industria</t>
  </si>
  <si>
    <t>15 Transporte</t>
  </si>
  <si>
    <t>16 Comunicaciones</t>
  </si>
  <si>
    <t>17 Ambiente</t>
  </si>
  <si>
    <t>18 aneamiento</t>
  </si>
  <si>
    <t>19 Vivienda y Des. Urbano</t>
  </si>
  <si>
    <t>20 Salud</t>
  </si>
  <si>
    <t>21 Cultura y Deporte</t>
  </si>
  <si>
    <t>22 Educación</t>
  </si>
  <si>
    <t>23 Protección Social</t>
  </si>
  <si>
    <t>24 Previsión Social</t>
  </si>
  <si>
    <t>25 Deuda Pública</t>
  </si>
  <si>
    <t>SUMINISTROS PARA MANTENIMIENTO Y REPARACION</t>
  </si>
  <si>
    <t>SERVICIOS BASICOS, COMUNICACIONES, PUBLICIDAD Y DIFUSION</t>
  </si>
  <si>
    <t>COMBUSTIBLE, CARBURANTES, LUBRICANTES Y AFINES</t>
  </si>
  <si>
    <t>SERVICIOS DE LIMPIEZA, SEGURIDAD Y VIGILANCIA</t>
  </si>
  <si>
    <t>SERVICIO DE MANTENIMIENTO, ACONDICIONAMIENTO Y REPARA</t>
  </si>
  <si>
    <t>ALQUILERES DE MUEBLES E INMUEBLES</t>
  </si>
  <si>
    <t>MATERIALES Y UTILES</t>
  </si>
  <si>
    <t>REPUESTOS Y ACCESORIOS</t>
  </si>
  <si>
    <t>ENSERES</t>
  </si>
  <si>
    <t>CONTRATO ADMINISTRATIVO DE SERVICIOS</t>
  </si>
  <si>
    <t>SUMINISTROS MEDICOS</t>
  </si>
  <si>
    <t>MATERIALES Y UTILES DE ENSEÑANZA</t>
  </si>
  <si>
    <t>SUMINISTROS PARA USO AGROPECUARIO, FORESTAL Y VETERIN</t>
  </si>
  <si>
    <t>COMPRA DE OTROS BIENES</t>
  </si>
  <si>
    <t>UNIDADES EJECUTORAS O ENTIDADES PÚBLICAS ADSCRITAS AL SECTOR</t>
  </si>
  <si>
    <t>RESERVA DE CONTINGENCIA</t>
  </si>
  <si>
    <t>PERSONAL Y OBLIGAC. SOC.</t>
  </si>
  <si>
    <t>PENSIONES Y PREST. SOC.</t>
  </si>
  <si>
    <t>BIENES Y SERVICIOS</t>
  </si>
  <si>
    <t>DONACIONES TRANSFER.</t>
  </si>
  <si>
    <t>OTROS GASTOS</t>
  </si>
  <si>
    <t>SUB TOTAL GASTO CTE</t>
  </si>
  <si>
    <t>DONACIONES Y TRANSFER,</t>
  </si>
  <si>
    <t>ADQUIS. ACT. NO FINANC.</t>
  </si>
  <si>
    <t>ADQUIS. ACT. FINANC.</t>
  </si>
  <si>
    <t>SUB TOTAL GASTOS CAP.</t>
  </si>
  <si>
    <t xml:space="preserve">SERVICIO DE DEUDA </t>
  </si>
  <si>
    <t>SUB TOTAL SER. DEUDA</t>
  </si>
  <si>
    <t>002</t>
  </si>
  <si>
    <t>003</t>
  </si>
  <si>
    <t>005</t>
  </si>
  <si>
    <t>006</t>
  </si>
  <si>
    <t>007</t>
  </si>
  <si>
    <t>004</t>
  </si>
  <si>
    <t>PLIEGOS DEL SECTOR O GOBIERNO REGIONAL</t>
  </si>
  <si>
    <t>PIA TOTAL S/</t>
  </si>
  <si>
    <t>PIM TOTAL S/</t>
  </si>
  <si>
    <t>EJECUCIÓN TOTAL S/</t>
  </si>
  <si>
    <t>EJECUCIÓN 
POR FUENTE DE FINANCIAMIENTO</t>
  </si>
  <si>
    <t>PIM 
POR FUENTE DE FINANCIAMIENTO</t>
  </si>
  <si>
    <t>PIA 
POR FUENTE DE FINANCIAMIENTO</t>
  </si>
  <si>
    <t>1: Acciones Centrales (AC)</t>
  </si>
  <si>
    <t>2: Asignaciones Presupuestarias que No Resultan en Productos (APNP)</t>
  </si>
  <si>
    <t>3: Programas Presupuestales</t>
  </si>
  <si>
    <t>PIA
POR CATEGORIA PRESUPUESTAL</t>
  </si>
  <si>
    <t>PIM
POR CATEGORIA PRESUPUESTAL</t>
  </si>
  <si>
    <t>EJECUCIÓN
POR CATEGORIA PRESUPUESTAL</t>
  </si>
  <si>
    <t>PPTO 2019 
(PIA)</t>
  </si>
  <si>
    <t>Diferencia PIA (2019-2020)</t>
  </si>
  <si>
    <t>Variación % (2019-2020)</t>
  </si>
  <si>
    <t>(*) DEBE COINCIDIR CON LOS MONTOS ASIGNADOS EN LA GENERICA 3. BIENES Y SERVICIOS CONSIDERADAS EN EL PRESUPUESTO 2018 - 2019 - 2020</t>
  </si>
  <si>
    <t>ÍNDICE DE FORMATOS</t>
  </si>
  <si>
    <t>INDICADORES DE GESTIÓN SEGÚN OBJETIVOS ESTRATÉGICOS INSTITUCIONALES AL 2021</t>
  </si>
  <si>
    <t>FORMATO Nº 1:</t>
  </si>
  <si>
    <t>FORMATO Nº 2:</t>
  </si>
  <si>
    <t>FORMATO Nº 3:</t>
  </si>
  <si>
    <t>FORMATO Nº 4:</t>
  </si>
  <si>
    <t>FORMATO Nº 5:</t>
  </si>
  <si>
    <t>FORMATO Nº 6:</t>
  </si>
  <si>
    <t>FORMATO Nº 7:</t>
  </si>
  <si>
    <t>FORMATO Nº 8:</t>
  </si>
  <si>
    <t>FORMATO Nº 9:</t>
  </si>
  <si>
    <t>FORMATO Nº 10:</t>
  </si>
  <si>
    <t>FORMATO Nº 11:</t>
  </si>
  <si>
    <t>FORMATO Nº 12:</t>
  </si>
  <si>
    <t>FORMATO Nº 13:</t>
  </si>
  <si>
    <t>FORMATO Nº 14:</t>
  </si>
  <si>
    <t>FORMATO Nº 15:</t>
  </si>
  <si>
    <t>FORMATO Nº 16:</t>
  </si>
  <si>
    <t>FORMATO Nº 17:</t>
  </si>
  <si>
    <t>FORMATO Nº 18:</t>
  </si>
  <si>
    <t>INDICADORES INSTITUCIONALES</t>
  </si>
  <si>
    <t>DISTRIBUCIÓN DEL GASTO</t>
  </si>
  <si>
    <t>GASTOS DE PERSONAL</t>
  </si>
  <si>
    <t>GASTOS EN BIENES Y SERVICIOS</t>
  </si>
  <si>
    <t>FORMATO 02: DISTRIBUCIÓN DEL PRESUPUESTO POR CATEGORÍA PRESUPUESTAL 2019, 2020 Y PROYECTO 2021</t>
  </si>
  <si>
    <t>2020 (*)</t>
  </si>
  <si>
    <t>2021 (**)</t>
  </si>
  <si>
    <t>(*) Proyección al 31/12/2020</t>
  </si>
  <si>
    <t>(**) Proyecto 2021</t>
  </si>
  <si>
    <t>FORMATO 03: DISTRIBUCIÓN DEL PRESUPUESTO POR FUENTE DE FINANCIAMIENTO 2019, 2020 Y PROYECTO 2021</t>
  </si>
  <si>
    <t>FORMATO 04: DISTRIBUCIÓN DEL GASTO POR UNIDADES EJECUTORAS / ENTIDAD PÚBLICA Y FUENTES DE FINANCIAMIENTO - PROYECTO 2021</t>
  </si>
  <si>
    <t>FORMATO 07: RESUMEN POR GRUPO GENÉRICO Y FUENTES DE FINANCIAMIENTO PROYECTO 2021</t>
  </si>
  <si>
    <t>GASTO CORRIENTE 2021</t>
  </si>
  <si>
    <t>GASTO CAPITAL 2021</t>
  </si>
  <si>
    <t>SERVICIO DE DEUDA 2021</t>
  </si>
  <si>
    <t>FORMATO 08: RESUMEN DE PRESUPUESTO POR FUNCIONES PIA 2019, 2020 Y PROYECTO 2021</t>
  </si>
  <si>
    <t>Var. % (2020-2021)</t>
  </si>
  <si>
    <t>FORMATO 12: ASIGNACIÓN DE BIENES Y SERVICIOS - COMPARATIVO PRESUPUESTO 2019, 2020 Y PROYECTO 2021</t>
  </si>
  <si>
    <t>PPTO 2019 (PIM)</t>
  </si>
  <si>
    <t>PPTO 2020 
(PIA)</t>
  </si>
  <si>
    <t>PPTO 2020
(PIM 30 JUNIO)</t>
  </si>
  <si>
    <t>PPTO 2021 (PROYECTO)</t>
  </si>
  <si>
    <t>Variación % (2020-2021)</t>
  </si>
  <si>
    <t>Diferencia PIA (2020-2021)</t>
  </si>
  <si>
    <t>DISTRIBUCIÓN DEL PRESUPUESTO POR CATEGORÍA PRESUPUESTAL 2019, 2020 Y PROYECTO 2021</t>
  </si>
  <si>
    <t>DISTRIBUCIÓN DEL PRESUPUESTO POR FUENTE DE FINANCIAMIENTO 2019, 2020 Y PROYECTO 2021</t>
  </si>
  <si>
    <t>DISTRIBUCIÓN DEL GASTO POR UNIDADES EJECUTORAS / ENTIDAD PÚBLICA Y FUENTES DE FINANCIAMIENTO - PROYECTO 2021</t>
  </si>
  <si>
    <t>DISTRIBUCIÓN DEL PRESUPUESTO POR PROGRAMA PRESUPUESTAL 2019, 2020 Y 2021</t>
  </si>
  <si>
    <t>PROGRAMAS SOCIALES PRIORIZADOS SEGÚN EL CICLO DE VIDA POR FUENTE DE FINANCIAMIENTO 2019, 2020 Y PROYECTO 2021</t>
  </si>
  <si>
    <t>RESUMEN POR GRUPO GENÉRICO Y FUENTES DE FINANCIAMIENTO PROYECTO 2021</t>
  </si>
  <si>
    <t>RESUMEN DE PRESUPUESTO POR FUNCIONES PIA 2019, 2020 Y PROYECTO 2021</t>
  </si>
  <si>
    <t>COMPARATIVO DEL NÚMERO DE PLAZAS EN EL PRESUPUESTO 2019, 2020 Y PROYECTO 2021</t>
  </si>
  <si>
    <t>INFORMACIÓN DE REMUNERACIONES Y NÚMERO DE PLAZAS - PRESUPUESTO 2019, 2020 Y PROYECTO 2021</t>
  </si>
  <si>
    <t>INGRESOS MENSUALES POR PERIODO DEL PERSONAL ACTIVO -  COMPARATIVO PRESUPUESTO 2019, 2020 Y PROYECTO 2021</t>
  </si>
  <si>
    <t>ASIGNACIÓN DE BIENES Y SERVICIOS - COMPARATIVO PRESUPUESTO 2019, 2020 Y PROYECTO 2021</t>
  </si>
  <si>
    <t>CONTRATOS DE OBRAS SUSCRITOS EN LOS AÑOS 2019 Y 2020</t>
  </si>
  <si>
    <t>PRINCIPALES ADQUISICIONES DE BIENES Y SERVICIOS - PRESUPUESTO 2019, 2020 Y PROYECTO 2021</t>
  </si>
  <si>
    <t>DETALLE DE CONSULTORIAS PERSONAS JURÍDICAS Y NATURALES - PRESUPUESTO 2019, 2020 Y PROYECTO 2021</t>
  </si>
  <si>
    <t>TESORERIA - RESUMEN POR GRUPO GENERICO Y FUENTES DE FINANCIAMIENTO 2019 Y 2020</t>
  </si>
  <si>
    <t>NOMBRES E INGRESOS MENSUALES DEL PERSONAL CONTRATADO FUERA DEL PAP EN LOS AÑOS FISCALES 2019 Y 2020</t>
  </si>
  <si>
    <t>ALQUILER DE INMUEBLES EN LOS AÑOS FISCALES 2019 Y 2020</t>
  </si>
  <si>
    <t>Tribunal Constitucional</t>
  </si>
  <si>
    <t>Notas</t>
  </si>
  <si>
    <r>
      <rPr>
        <b/>
        <sz val="8"/>
        <rFont val="Arial"/>
        <family val="2"/>
      </rPr>
      <t>1/.</t>
    </r>
    <r>
      <rPr>
        <sz val="8"/>
        <rFont val="Arial"/>
        <family val="2"/>
      </rPr>
      <t xml:space="preserve"> El rubro Combustibles y Lubricantes, se encuentran incluidos en el rubro Combustible, Carburantes, Lubricantes y Afines</t>
    </r>
  </si>
  <si>
    <r>
      <t xml:space="preserve">COMBUSTIBLE Y LUBRICANTES </t>
    </r>
    <r>
      <rPr>
        <b/>
        <sz val="8"/>
        <rFont val="Arial"/>
        <family val="2"/>
      </rPr>
      <t>1/.</t>
    </r>
  </si>
  <si>
    <r>
      <t xml:space="preserve">SEGUROS </t>
    </r>
    <r>
      <rPr>
        <b/>
        <sz val="8"/>
        <rFont val="Arial"/>
        <family val="2"/>
      </rPr>
      <t>3/.</t>
    </r>
  </si>
  <si>
    <r>
      <t>SERVICIO DE CONSULTORIA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2/.</t>
    </r>
  </si>
  <si>
    <r>
      <t>SERVICIOS ADMINISTRATIVOS, FINANCIEROS Y DE SEGUROS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4/.</t>
    </r>
  </si>
  <si>
    <r>
      <t xml:space="preserve">SERVICIOS PROFESIONALES Y TECNICOS </t>
    </r>
    <r>
      <rPr>
        <b/>
        <sz val="8"/>
        <rFont val="Arial"/>
        <family val="2"/>
      </rPr>
      <t>5/.</t>
    </r>
  </si>
  <si>
    <r>
      <t xml:space="preserve">VIAJES </t>
    </r>
    <r>
      <rPr>
        <b/>
        <sz val="8"/>
        <rFont val="Arial"/>
        <family val="2"/>
      </rPr>
      <t>6/.</t>
    </r>
  </si>
  <si>
    <r>
      <rPr>
        <b/>
        <sz val="8"/>
        <rFont val="Arial"/>
        <family val="2"/>
      </rPr>
      <t>2/.</t>
    </r>
    <r>
      <rPr>
        <sz val="8"/>
        <rFont val="Arial"/>
        <family val="2"/>
      </rPr>
      <t xml:space="preserve"> Para el ejercicio 2020 y el proyecto de presupuesto del año 2021 no se ha asignado recursos para consultorias. </t>
    </r>
  </si>
  <si>
    <r>
      <rPr>
        <b/>
        <sz val="8"/>
        <rFont val="Arial"/>
        <family val="2"/>
      </rPr>
      <t>3/</t>
    </r>
    <r>
      <rPr>
        <sz val="8"/>
        <rFont val="Arial"/>
        <family val="2"/>
      </rPr>
      <t>. El rubro seguro considera seguro de vehiculos, SOAT, otros seguros personales, seguros de bienes muebles e inmuebles</t>
    </r>
  </si>
  <si>
    <r>
      <rPr>
        <b/>
        <sz val="8"/>
        <rFont val="Arial"/>
        <family val="2"/>
      </rPr>
      <t>4/.</t>
    </r>
    <r>
      <rPr>
        <sz val="8"/>
        <rFont val="Arial"/>
        <family val="2"/>
      </rPr>
      <t xml:space="preserve"> En el rubro Servicios Administrativos, Financieros y de Seguros, solo se considera gastos legales, judiciales y notariales. No se considera seguros que tiene un rubro aparte.</t>
    </r>
  </si>
  <si>
    <r>
      <rPr>
        <b/>
        <sz val="8"/>
        <rFont val="Arial"/>
        <family val="2"/>
      </rPr>
      <t>5/</t>
    </r>
    <r>
      <rPr>
        <sz val="8"/>
        <rFont val="Arial"/>
        <family val="2"/>
      </rPr>
      <t>. En el rubro Servcios profesionales y técnicos, no se considera los gastos por concepto de consultorias ni propinas para practicantes, que tienen rubros especificos.</t>
    </r>
  </si>
  <si>
    <r>
      <rPr>
        <b/>
        <sz val="8"/>
        <rFont val="Arial"/>
        <family val="2"/>
      </rPr>
      <t>6/</t>
    </r>
    <r>
      <rPr>
        <sz val="8"/>
        <rFont val="Arial"/>
        <family val="2"/>
      </rPr>
      <t>. En el rubro Viajes, se considera montos relacionados con otros gastos, toda vez que, lo que corresponde a viaticos y asignaciones, así como Pasajes y Gastos de Transporte, tienen rubros especificos.</t>
    </r>
  </si>
  <si>
    <t>FORMATO 05: DISTRIBUCIÓN DEL PRESUPUESTO POR PROGRAMA PRESUPUESTAL 2019, 2020 Y 2021</t>
  </si>
  <si>
    <t>PIA
POR PROGRAMA PRESUPUESTAL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</si>
  <si>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</si>
  <si>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</si>
  <si>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</si>
  <si>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</si>
  <si>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</si>
  <si>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0024: Prevencion Y Control Del Cancer</t>
  </si>
  <si>
    <t>0030: Reduccion De Delitos Y Faltas Que Afectan La Seguridad Ciudadana</t>
  </si>
  <si>
    <t>(…)</t>
  </si>
  <si>
    <t>0145: Mejora De La Calidad Del Servicio Electrico</t>
  </si>
  <si>
    <t>0146: Acceso De Las Familias A Vivienda Y Entorno Urbano Adecuado</t>
  </si>
  <si>
    <t>0147: Fortalecimiento De La Educacion Superior Tecnologica</t>
  </si>
  <si>
    <t>0148: Reduccion Del Tiempo, Inseguridad Y Costo Ambiental En El Transporte Urbano</t>
  </si>
  <si>
    <t>0149: Mejora Del Desempeño En Las Contrataciones Publicas</t>
  </si>
  <si>
    <t>PIM
POR PROGRAMA PRESUPUESTAL</t>
  </si>
  <si>
    <t>EJECUCIÓN
POR PROGRAMA PRESUPUESTAL</t>
  </si>
  <si>
    <t>PROYECTO DE PRESUPUESTO 2021</t>
  </si>
  <si>
    <t>FORMATO 06: PROGRAMAS SOCIALES PRIORIZADOS SEGÚN EL CICLO DE VIDA POR FUENTE DE FINANCIAMIENTO 2019, 2020 Y PROYECTO 2021</t>
  </si>
  <si>
    <t>PROGRAMAS SOCIALES</t>
  </si>
  <si>
    <t>PRESUPUESTO PIA</t>
  </si>
  <si>
    <t>PRESUPUESTO PIM</t>
  </si>
  <si>
    <t>BENEFICIARIOS</t>
  </si>
  <si>
    <t>DIferencia 
(2019-2020</t>
  </si>
  <si>
    <t>Proyecto 2021</t>
  </si>
  <si>
    <t>Estimado 2020 (**)</t>
  </si>
  <si>
    <t>DIferencia 
(2020-2021)</t>
  </si>
  <si>
    <t>I.  DE GESTANTES A NIÑOS DE HASTA 14 AÑOS</t>
  </si>
  <si>
    <t>JUNTOS</t>
  </si>
  <si>
    <t>II.  GESTACIÓN</t>
  </si>
  <si>
    <t>SAMU</t>
  </si>
  <si>
    <t>SMN</t>
  </si>
  <si>
    <t>Mortalidad Materna</t>
  </si>
  <si>
    <t>Mortalidad Neonatal</t>
  </si>
  <si>
    <t>III.  De 0 a 2 AÑOS</t>
  </si>
  <si>
    <t>PAN</t>
  </si>
  <si>
    <t>CUNA MAS</t>
  </si>
  <si>
    <t>Desnutrición Cronica</t>
  </si>
  <si>
    <t>Mortalidad Infantil</t>
  </si>
  <si>
    <t>Desarrollo cognitivo, lenguaje, socioemocional y motor</t>
  </si>
  <si>
    <t>IV. DE 3 A 5 AÑOS</t>
  </si>
  <si>
    <t>PELA</t>
  </si>
  <si>
    <t>Logros de aprendizaje</t>
  </si>
  <si>
    <t>Cobertura escolar</t>
  </si>
  <si>
    <t>V. DE 6 A 12 AÑOS</t>
  </si>
  <si>
    <t>PELA Primaria</t>
  </si>
  <si>
    <t>VI. DE 13 A 17 AÑOS</t>
  </si>
  <si>
    <t>PELA Secundaria</t>
  </si>
  <si>
    <t>Logros de aprindizaje</t>
  </si>
  <si>
    <t>Deserción escolar</t>
  </si>
  <si>
    <t>VII. DE 17 A 24 AÑOS</t>
  </si>
  <si>
    <t>Jovenes a la obra</t>
  </si>
  <si>
    <t>Beca 18</t>
  </si>
  <si>
    <t>Acceso a la educación superior de calidad</t>
  </si>
  <si>
    <t>Educacion pertienente para el mercado laboral</t>
  </si>
  <si>
    <t>VIII. DE 65 A MAS</t>
  </si>
  <si>
    <t>Pensión 65</t>
  </si>
  <si>
    <t>Asegurar las condiciones básicas para la subsistencia</t>
  </si>
  <si>
    <t>Est. %</t>
  </si>
  <si>
    <t>(*) Al 30 de junio de 2020</t>
  </si>
  <si>
    <t>(**) Estimado al 31 de diciembre de 2020</t>
  </si>
  <si>
    <t>FORMATO 09: COMPARATIVO DEL NÚMERO DE PLAZAS EN EL PRESUPUESTO  2020 Y PROYECTO 2021</t>
  </si>
  <si>
    <t>CATEGORIA</t>
  </si>
  <si>
    <t>2020 (JUNIO)</t>
  </si>
  <si>
    <t>PROYECCIÓN 2021 (JUNIO)</t>
  </si>
  <si>
    <t xml:space="preserve"> REMUNERATIVA</t>
  </si>
  <si>
    <t>Decreto Legislativo 276 (Regimen Público)</t>
  </si>
  <si>
    <t>Decreto Legislativo 728 (Regimen Privado)</t>
  </si>
  <si>
    <t>Decreto Legislativo 1057 (Contrato Administrativo de Servicios</t>
  </si>
  <si>
    <t>Ley 30057 
(Ley del Servicio Civil)</t>
  </si>
  <si>
    <t>Decreto Legislativo 1024 (Gerentes Públicos) (**)</t>
  </si>
  <si>
    <t>Ley 25650 (Fondo de Apoyo Generencial) (**)</t>
  </si>
  <si>
    <t>Ley 29806 (Personal Altamente Calificado) (**)</t>
  </si>
  <si>
    <t>Practicantes (***)</t>
  </si>
  <si>
    <t>Otros Servidores (especificar) (**) (***)</t>
  </si>
  <si>
    <t xml:space="preserve">Total </t>
  </si>
  <si>
    <t>S/ Anual (****)</t>
  </si>
  <si>
    <t>S/ (****)</t>
  </si>
  <si>
    <t>...</t>
  </si>
  <si>
    <t>TECNICOS</t>
  </si>
  <si>
    <t>TOTAL (A)</t>
  </si>
  <si>
    <t>(*) Incluye GRATIFICACIONES, CAFAE, PNUD, BONOS, PRODUCTIVIDAD, HORAS EXTRAS, GUARDIAS, AETAS, etc.</t>
  </si>
  <si>
    <t>(**) Incluye el monto pagado por otras entidades al personal que presta servidos en el Sector o Gobierno Regional</t>
  </si>
  <si>
    <t xml:space="preserve">(***) Detallar el marco legal </t>
  </si>
  <si>
    <t>(****) Proyectado</t>
  </si>
  <si>
    <t>2019 (PIA)</t>
  </si>
  <si>
    <t>2020 (PIA)</t>
  </si>
  <si>
    <t>2021  (PROYECTO)</t>
  </si>
  <si>
    <t>PEA / Beneficiarios</t>
  </si>
  <si>
    <t>COSTO ANUAL</t>
  </si>
  <si>
    <t>COSTO TOTAL EN PLANILLAS (*)</t>
  </si>
  <si>
    <t>BONIFICACIÓN EXTRAORDINARIA (INACEPTACIÓN DE GRATIFICACIONES)</t>
  </si>
  <si>
    <t>BONOS POR FUNCION JURIDICCIONAL Y FISCAL</t>
  </si>
  <si>
    <t>DIETA DE DIRECTORIO</t>
  </si>
  <si>
    <t>DIETAS</t>
  </si>
  <si>
    <t>ESCOLARIDAD, AGUINALDO Y GRATIFICACIONES</t>
  </si>
  <si>
    <t>GASTOS POR ESTACIONAMIENTO DE VEHICULOS</t>
  </si>
  <si>
    <t>GASTOS VARIABLES Y OCASIONALES</t>
  </si>
  <si>
    <t>MOVILIDAD PARA TRASLADO DE TRABAJADORES</t>
  </si>
  <si>
    <t>OBLIGACIONES DEL EMPLEADOR (CARGAS SOCIALES)</t>
  </si>
  <si>
    <t>PRODUCTIVIDAD</t>
  </si>
  <si>
    <t>RETRIBUCIONES EN BIENES</t>
  </si>
  <si>
    <t>SEGUROS (ESPECIFICAR)</t>
  </si>
  <si>
    <t>TRANSFERENCIAS CAFAE</t>
  </si>
  <si>
    <t>VESTUARIO</t>
  </si>
  <si>
    <t>(*) DEBE COINCIDIR CON LOS MONTOS ASIGNADOS EN LA GENERICA 1. PERSONAL Y OBLIGACIONES SOCIALES CONSIDERADAS EN EL PRESUPUESTO</t>
  </si>
  <si>
    <t>FORMATO 11: INGRESOS MENSUALES POR PERIODO DEL PERSONAL ACTIVO -  COMPARATIVO PRESUPUESTO 2019, 2020 Y PROYECTO 2021</t>
  </si>
  <si>
    <t>NIVELES REMUNERATIVOS</t>
  </si>
  <si>
    <t>INGRESOS PERSONAL PRESUPUESTO 2019</t>
  </si>
  <si>
    <t>INGRESOS PERSONAL PRESUPUESTO 2020</t>
  </si>
  <si>
    <t>DIFERENCIA 
(2019 -2020)</t>
  </si>
  <si>
    <t>PROYECTO 2021</t>
  </si>
  <si>
    <t>PEA</t>
  </si>
  <si>
    <t>REMUNERACION MENSUAL (cada persona)</t>
  </si>
  <si>
    <t>CAFAE MENSUAL (cada persona)</t>
  </si>
  <si>
    <t>AETA MENSUAL (cada persona)</t>
  </si>
  <si>
    <t>INCENTIVOS O PRODUCTIVIDAD (cada persona)</t>
  </si>
  <si>
    <t>MOVILIDAD</t>
  </si>
  <si>
    <t>RACIONAMIENTO</t>
  </si>
  <si>
    <t>BONOS</t>
  </si>
  <si>
    <t>OTROS INGRESOS MENSUAL (cada persona)</t>
  </si>
  <si>
    <t>SUB TOTAL INGRESOS MENSUALES (cada persona)</t>
  </si>
  <si>
    <t>AGUINALDOS, GRAFICACIONES Y ESCOLARIDAD (anual cada persona)</t>
  </si>
  <si>
    <t>OTROS INGRESOS NO MENSUALES 
(anual cada personal)</t>
  </si>
  <si>
    <t>SUB TOTAL OTROS BENEFICIOS ... (no, mensuales, monto anual)</t>
  </si>
  <si>
    <t>TOTAL INGRESOS ANUAL POR PERSONA</t>
  </si>
  <si>
    <t>TOTAL INGRESO ANUAL PEA</t>
  </si>
  <si>
    <t>CAFAE MENSUL (cada persona)</t>
  </si>
  <si>
    <t xml:space="preserve">DIFERENCIA INGRESO ANUAL POR PERSONAL </t>
  </si>
  <si>
    <t>DIFERENCIA INGRESO ANUAL PEA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</si>
  <si>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</si>
  <si>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</si>
  <si>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</si>
  <si>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</si>
  <si>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</si>
  <si>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</si>
  <si>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</si>
  <si>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</si>
  <si>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</si>
  <si>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</si>
  <si>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</si>
  <si>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</si>
  <si>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</si>
  <si>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</si>
  <si>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</si>
  <si>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……</t>
  </si>
  <si>
    <t>NOTAS</t>
  </si>
  <si>
    <t xml:space="preserve">(1) PEA: </t>
  </si>
  <si>
    <t>SE CONSIGNARA EL NUMERO TOTAL DE PERSONAL ACTIVO ( NOMBRADO Y CONTRATADO) SEGÚN EL PRESUPUESTO ANILITOCO DE PERSONAL (PAP) APROBADO</t>
  </si>
  <si>
    <t xml:space="preserve">(2) REMUNERACION: </t>
  </si>
  <si>
    <t xml:space="preserve">SE CONSIGNARA LA REMUNERACION MENSUAL PROMEDIO DE UN SERVIDOR EN CADA NIVEL DE LA CARRERA PUBLICA SEGUN CORRESPONDA </t>
  </si>
  <si>
    <t xml:space="preserve">(3) CAFAE: </t>
  </si>
  <si>
    <t xml:space="preserve">SE CONSIGNARA EL  INCENTIVO LABORAL  MENSUAL PROMEDIO QUE POR DISPOSICION EXPRESA SE LE OTORGUE A UN SERVIDOR EN CADA NIVEL SEGUN CORRESPONDA </t>
  </si>
  <si>
    <t xml:space="preserve">(4) AETA: </t>
  </si>
  <si>
    <t xml:space="preserve">SOLO APLICABLE AL SECTOR SALUD. SE CONSIGNARA LA ASIGNACION EXTRAORDINARIA POR TRABAJO ASISTENCIAL  MENSUAL PROMEDIO DE UN SERVIDOR EN CADA NIVEL </t>
  </si>
  <si>
    <t xml:space="preserve">SEGUN CORRESPONDA </t>
  </si>
  <si>
    <t xml:space="preserve">(5) OTROS BENEFICIOS - ASIGNACION MENSUAL </t>
  </si>
  <si>
    <r>
      <rPr>
        <b/>
        <sz val="9"/>
        <rFont val="Arial"/>
        <family val="2"/>
      </rPr>
      <t xml:space="preserve">LAS COLUMNAS COMO SEAN NECESARIAS, </t>
    </r>
    <r>
      <rPr>
        <sz val="9"/>
        <rFont val="Arial"/>
        <family val="2"/>
      </rPr>
      <t xml:space="preserve">SE CONSIGNARA LOS OTROS BENEFICIOS - ASIGNACIONES MENSUALES PERIODICOS  DE UN SERVIDOR EN CADA NIVEL SEGÚN CORRESPONDA NO CONSIGNADO EN LOS </t>
    </r>
  </si>
  <si>
    <t xml:space="preserve">RUBROS ANTERIORES . EN HOJA INDEPENDIENTES SE DETALLARA CADA CONCEPTO Y MONTO, ASI COMO LA DISPOSICION EXPRESA QUE LOS AUTORICE Y LA PERIODICIDAD CON QUE </t>
  </si>
  <si>
    <t xml:space="preserve">SE OTORGA . DEBERA DETALLAR POR CADA CONCEPTO ASI COMO LA DISPOSICION EXPRESA QUE LOS AUTORICE Y LA PERIODICIDAD CON QUE SE OTORGA (MENSUAL, BIMENSUAL, </t>
  </si>
  <si>
    <t>TRIMESTRAL , CUATRIMENSUAL)</t>
  </si>
  <si>
    <t>(10) SUB TOTAL</t>
  </si>
  <si>
    <t>SUMATORIA DE LAS COLUMNAS (2), (3), (4), (5), (6), (7), (8), (9)</t>
  </si>
  <si>
    <t>(11) AGUINALDOS, GRAFICACIONES Y ESCOLARIDAD</t>
  </si>
  <si>
    <t>MONTO ANUAL</t>
  </si>
  <si>
    <t>(12) OTROS BENEFICIOS - ASIGNACION ANUAL</t>
  </si>
  <si>
    <r>
      <rPr>
        <b/>
        <sz val="9"/>
        <rFont val="Arial"/>
        <family val="2"/>
      </rPr>
      <t xml:space="preserve">LAS COLUMNAS COMO SEAN NECESARIAS, </t>
    </r>
    <r>
      <rPr>
        <sz val="9"/>
        <rFont val="Arial"/>
        <family val="2"/>
      </rPr>
      <t xml:space="preserve">SE CONSIGNARA LOS OTROS BENEFICIOS - ASIGNACIONES PERIODICOS O NO PERIODICAS DE UN SERVIDOR EN CADA NIVEL SEGÚN CORRESPONDA NO CONSIGNADO EN LOS </t>
    </r>
  </si>
  <si>
    <t>TRIMESTRAL , CUATRIMENSUAL  O SIN PERIODICIDAD)</t>
  </si>
  <si>
    <t>(13) SUB TOTAL OTROS BENEFICIOS</t>
  </si>
  <si>
    <t>SUMATORIA DE LAS COLUMNAS (11) Y (12)</t>
  </si>
  <si>
    <t>(14) TOTAL INGRESOS ANUAL POR PERSONA</t>
  </si>
  <si>
    <t xml:space="preserve">MULTIMPLACIÓN DE LA COLUMNA (10) POR 12 (MESES) Y AL RESULTADO SE SUMA LA COLUMNA (13) </t>
  </si>
  <si>
    <t>(15) TOTAL ANUAL PEA</t>
  </si>
  <si>
    <t>MULTIPLICACIÓN DEL A COMUNTA (1) POR LA COLUMNA (14)</t>
  </si>
  <si>
    <t>FORMATO 13: CONTRATOS DE OBRAS SUSCRITOS EN LOS AÑOS 2019 Y 2020</t>
  </si>
  <si>
    <t>SECTOR:</t>
  </si>
  <si>
    <t>PROYECTO</t>
  </si>
  <si>
    <t>CODIGO SNIP</t>
  </si>
  <si>
    <t>TIPO DE PROCESO DE SELECCIÓN</t>
  </si>
  <si>
    <t>MODALIDAD</t>
  </si>
  <si>
    <t>NUMERO DEL PROCESO</t>
  </si>
  <si>
    <t>MONTO PRESUPUESTADO (*)</t>
  </si>
  <si>
    <t>FECHA DE SUSCRIPCION DEL CONTRATO</t>
  </si>
  <si>
    <t>CONTRATISTA (RUC y Denominacion)</t>
  </si>
  <si>
    <t>PLAZO DE EJEUCION DE OBRAS</t>
  </si>
  <si>
    <t>FECHA DE VENCIMIENTO DEL PLAZO</t>
  </si>
  <si>
    <t>AMPLIACION DE PLAZO</t>
  </si>
  <si>
    <t>FECHA DE VENCIMIENTO DE PLAZO</t>
  </si>
  <si>
    <t>FECHA DE ENTREGA</t>
  </si>
  <si>
    <t>FECHA DE CONFORMIDAD DE OBRA</t>
  </si>
  <si>
    <t>No aplica</t>
  </si>
  <si>
    <t>…</t>
  </si>
  <si>
    <t>(*) Una línea por cada año fiscal, consignado en monto presupuestado por cada año presupuestal</t>
  </si>
  <si>
    <t>FORMATO 14: PRINCIPALES ADQUISICIONES DE BIENES Y SERVICIOS - PRESUPUESTO 2019, 2020 Y PROYECTO 2021</t>
  </si>
  <si>
    <t>SECTOR: Tribunal Constitucional</t>
  </si>
  <si>
    <t>ADQUISICIÓN</t>
  </si>
  <si>
    <t>MONTO</t>
  </si>
  <si>
    <t>ESTADO DEL PROCESO</t>
  </si>
  <si>
    <t>OBSERVACIONES</t>
  </si>
  <si>
    <t>PRESUPUESTO 2019</t>
  </si>
  <si>
    <t>1 CONTRATACIÓN DEL SERVICIO DE MENSAJERIA LOCAL, NACIONAL E INTERNACIONAL PARA EL TRIBUNAL CONSTITUCIONAL</t>
  </si>
  <si>
    <t>ADJUDICACION SIMPLIFICADA</t>
  </si>
  <si>
    <t>006-2018-TC</t>
  </si>
  <si>
    <t>20553892253 CA &amp; PE CARGO S.A.C.</t>
  </si>
  <si>
    <t>EJECUTADO</t>
  </si>
  <si>
    <t>01/03/2019 HASTA 28/02/2020</t>
  </si>
  <si>
    <t>2 SEGUROS PATRIMONIALES PARA EL TRIBUNAL CONSTITUCIONAL</t>
  </si>
  <si>
    <t>001-2019-TC</t>
  </si>
  <si>
    <t>20100041953 RIMAC SEGUROS Y REASEGUROS</t>
  </si>
  <si>
    <t>01/04/2019 HASTA 01/04/2020</t>
  </si>
  <si>
    <t>3 CONTRATACIÓN DE SERVICIO DE LIMPIEZA Y FUMIGACIÓN PARA LAS INSTALACIONES DEL TRIBUNAL CONSTITUCIONAL</t>
  </si>
  <si>
    <t>CONCURSO PUBLICO</t>
  </si>
  <si>
    <t>002-2018-TC</t>
  </si>
  <si>
    <t>20334073514 ORGANIZACIÓN EMPRESARIAL ZEGARRA S.A.C.</t>
  </si>
  <si>
    <t>EJECUTADO/RESUELTO</t>
  </si>
  <si>
    <t>17/04/2019 HASTA 15/11/2019</t>
  </si>
  <si>
    <t>Carta Notarial N° 168-2019-OL/TC, 13/11/2019</t>
  </si>
  <si>
    <t>4 SERVICIO DE VIGILANCIA DE LOS LOCALES DEL TRIBUNAL CONSTITUCIONAL</t>
  </si>
  <si>
    <t>003-2018-TC</t>
  </si>
  <si>
    <t>2054648101 GRUPO GURKAS S.A.C.</t>
  </si>
  <si>
    <t>EN EJECUCIÓN</t>
  </si>
  <si>
    <t>01/04/2019 HASTA 31/03/2021</t>
  </si>
  <si>
    <t>5 ADQUISICIÓN DE SERVIDOR TIPO BLADE Y ALMACENAMIENTO</t>
  </si>
  <si>
    <t>003-2019-TC</t>
  </si>
  <si>
    <t>20101064515 J EVANS Y ASOCIADOS S.A.C.</t>
  </si>
  <si>
    <t>45 DIAS</t>
  </si>
  <si>
    <t>6 SUMIBISTRO DE COMBUSTIBLE</t>
  </si>
  <si>
    <t>002-2019-TC</t>
  </si>
  <si>
    <t>20511995028 TERPEL PERÚ S.A.C.</t>
  </si>
  <si>
    <t>29/07/2019 HASTA 28/07/2020</t>
  </si>
  <si>
    <t>7 ADQUISICIÓN DE UNIFORMES INSTITUCOIONALES, ÍTEM PQT 2: CABALLEROS</t>
  </si>
  <si>
    <t>004-2019-TC</t>
  </si>
  <si>
    <t>20126942967 STAROST S.R.L.</t>
  </si>
  <si>
    <t>45 DÍAS</t>
  </si>
  <si>
    <t>8 SERVICIO DE TELEFONÍA Y ACCESO A INTERNET MOVIL PARA EL TRIBUNAL CONSTITUCIONAL</t>
  </si>
  <si>
    <t>005-2019-TC</t>
  </si>
  <si>
    <t>20106897914 ENTEL PERU S.A.</t>
  </si>
  <si>
    <t>24 MESES</t>
  </si>
  <si>
    <t>9 SERVICIO DE RENOVACIÓN Y AMPLIACIÓN DE LICIENCIAS DE LA PLATAFORMA DE COMUNICACIÓN, COLABORACIÓN Y MENSAJERIA ELECTRÓNICA EN LA NUBE PARA EL TRIBUNAL CONSTITUCIONAL</t>
  </si>
  <si>
    <t>006-2019-TC</t>
  </si>
  <si>
    <t>20601726174 XERTICA LABS S.A.C.</t>
  </si>
  <si>
    <t>16/10/2019 HASTA 14/10/2020</t>
  </si>
  <si>
    <t>10 ADQUISICIÓN DE UNIFORMES INSTITUCOIONALES, ÍTEM PQT 1: DAMAS</t>
  </si>
  <si>
    <t>20100306337 INDUSTRIAL GORAK S.A.</t>
  </si>
  <si>
    <t>11 SERVICIO DE ALQUILER DE ESTACIONAMIENTO VEHICULAR PARA EL TRIBUNAL CONSTITUCIONAL</t>
  </si>
  <si>
    <t>20603381697 LOS PORTALES ESTACIONAMIENTOS OPERADORA S.A.</t>
  </si>
  <si>
    <t>29/02/2020 HASTA 27/02/2022</t>
  </si>
  <si>
    <t>12 SERVICIO DE LIMPIEZA Y FUMIGACIÓN PARA LAS INSTALACIONES DEL TRIBUNAL CONSTITUCIONAL</t>
  </si>
  <si>
    <t>CONTRATACIÓN DIRECTA</t>
  </si>
  <si>
    <t>20523973089 R &amp; C LIMPIEZA TOTAL S.A.C. - R &amp; C LITO S.A.C.</t>
  </si>
  <si>
    <t>02/01/2020 HASTA 29/06/2020</t>
  </si>
  <si>
    <r>
      <t>PRESUPUESTO 2020</t>
    </r>
    <r>
      <rPr>
        <sz val="9"/>
        <rFont val="Arial"/>
        <family val="2"/>
      </rPr>
      <t xml:space="preserve"> (*)</t>
    </r>
  </si>
  <si>
    <t>13 SERVICIO DE ACCESO A INTERNET PARA EL TRIBUNAL CONSTITUCIONAL</t>
  </si>
  <si>
    <t>ADJUDICACIÓN SIMPLIFICADA</t>
  </si>
  <si>
    <t>007-2019-TC-2</t>
  </si>
  <si>
    <t>2055504641 OPTICAL TECHNOLOGIES S.A.C.</t>
  </si>
  <si>
    <t>11/04/2020 HASTA 10/04/2022</t>
  </si>
  <si>
    <t>14 SEGUROS PATRIMONIALES Y PERSONALES PARA EL TRIBUNAL CONSTITUCIONAL</t>
  </si>
  <si>
    <t>01/04/2020 HASTA 01/04/2021</t>
  </si>
  <si>
    <r>
      <t>PRESUPUESTO 2021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(**)</t>
    </r>
  </si>
  <si>
    <t>15 CONTRATACIÓN DEL SERVICIO DE MENSAJERIA LOCAL, NACIONAL E INTERNACIONAL PARA EL TRIBUNAL CONSTITUCIONAL</t>
  </si>
  <si>
    <t>16 SERVICIO DE VIGILANCIA DE LOS LOCALES DEL TRIBUNAL CONSTITUCIONAL</t>
  </si>
  <si>
    <t>17 SUMIBISTRO DE COMBUSTIBLE</t>
  </si>
  <si>
    <t>18 ADQUISICIÓN DE UNIFORMES INSTITUCOIONALES, DAMAS Y CABALLEROS</t>
  </si>
  <si>
    <t>19 SERVICIO DE TELEFONÍA Y ACCESO A INTERNET MOVIL PARA EL TRIBUNAL CONSTITUCIONAL</t>
  </si>
  <si>
    <t>20 SERVICIO DE RENOVACIÓN Y AMPLIACIÓN DE LICIENCIAS DE LA PLATAFORMA DE COMUNICACIÓN, COLABORACIÓN Y MENSAJERIA ELECTRÓNICA EN LA NUBE PARA EL TRIBUNAL CONSTITUCIONAL</t>
  </si>
  <si>
    <t>21 SEGUROS PATRIMONIALES Y PERSONALES PARA EL TRIBUNAL CONSTITUCIONAL</t>
  </si>
  <si>
    <t>(*) Los procedimientos de selección no considerados por estar en curso, en la fase de selección y en diferentes etapas y son: SERVICIO DE LIMPIEZA Y FUMIGACIÓN PARA LAS INSTALACIONES DEL TRIBUNAL CONSTITUCIONAL por S/ 924,000.00; SUMINISTRO DE COMBUSTIBLE por S/ 219 292.00; SERVICIO DE MENSAJERÍA LOCAL, NACIONAL E INTERNACIONAL PARA EL TRIBUNAL CONSTITUCIONAL por S/ 487 925.00 y en la fase de actuaciones preparatorias estan:  SERVICIO DE IMPLEMENTACIÓN DE PLATAFORMA DE COMUNICACIÓN, COLABORACIÓN Y MENSAJERÍA ELECTRÓNICA EN LA NUBE PARA EL TRIBUNAL CONSTITUCIONAL por S/ 59 400.00 y ADQUISICION DE AUTOMOVILES TIPO SEDAN POR REPOSICION PARA EL TRIBUNAL CONSTTIUCIONAL por S/ 654 000.00; todos programados según el PAC-2020, versión 3.</t>
  </si>
  <si>
    <t>(**) Son procedimientos de selección que serán programados en el PAC -2021; las mismas que pueden variar en función al Presupuesto Inical Aprobado para el ejercico fiscal 2021.</t>
  </si>
  <si>
    <t>FORMATO 15: DETALLE DE CONSULTORIAS PERSONAS JURÍDICAS Y NATURALES - PRESUPUESTO 2019 Y 2020</t>
  </si>
  <si>
    <t>CONSULTORIAS</t>
  </si>
  <si>
    <t>PERSONA JURIDICA (RUC)</t>
  </si>
  <si>
    <t>PERSONA NATURAL (DNI)</t>
  </si>
  <si>
    <t>PPTO 2019 (AL 31/12)</t>
  </si>
  <si>
    <t>PPTO 2020 (AL 30/06)</t>
  </si>
  <si>
    <t>PPTO 2020 (PROYECCION 31/12)</t>
  </si>
  <si>
    <t>TIPO DE ESTUDIO Y/O INFORME (*)</t>
  </si>
  <si>
    <t>ESPECIALIDAD (**)</t>
  </si>
  <si>
    <t>EJECUCIÓN S/</t>
  </si>
  <si>
    <t>1 ANALISIS Y ESTUDIO DE LA EJECUCION DEL PROYECTO IP</t>
  </si>
  <si>
    <t>20510037562</t>
  </si>
  <si>
    <t xml:space="preserve">ANALISIS Y ESTUDIO DE LA EJECUCION DEL PROYECTO DE INVERSION PUBLICA NRO170062 </t>
  </si>
  <si>
    <t xml:space="preserve">06 Justicia </t>
  </si>
  <si>
    <t>2 PROCESOS Y DESARROLLO DE PROPUESTAS DE INDICADORES</t>
  </si>
  <si>
    <t>20604195510</t>
  </si>
  <si>
    <t>CONSULTORIA EN ACTUALIZACION DE PROCESOS Y DESARROLLO DE PROPUESTAS DE INDICADORES</t>
  </si>
  <si>
    <t>3 ESTRATEGIA COMUNICACIONAL</t>
  </si>
  <si>
    <t>CONSULTORIA EN ESTRATEGIA COMUNICACIONAL</t>
  </si>
  <si>
    <t>4 PROCESOS CRITICOS DEL TC</t>
  </si>
  <si>
    <t>CONSULTORIA DE PROCESOS CRITICOS DEL TC EN EL MARCO DEL RPE N° 316-2017-SERVIR/PE</t>
  </si>
  <si>
    <t>5 ELABORACION DE CONTENIDO PARA EL PROGRAMA "TUS DERECHOS" DEL TRIBUNAL CONSTITUCIONAL</t>
  </si>
  <si>
    <t>CONSULTORIA EN ELABORACION DE CONTENIDO PARA EL "PROGRAMA TUS DERECHOS" DEL TRIBUNAL CONSTITUCIONAL</t>
  </si>
  <si>
    <t>6 ELABORACION DEL MANUAL DE PROCEDIMIENTOS Y OPORTUNIDADES</t>
  </si>
  <si>
    <t>CONSULTORIA "ELABORACION DEL MANUAL DE PROCEDIMIENTOS Y OPORTUNIDADES"</t>
  </si>
  <si>
    <t>7 MEDICIÓN DEL CLIMA LABORAL</t>
  </si>
  <si>
    <t>CONSULTORIA EN MEDICIÓN DEL CLIMA LABORAL</t>
  </si>
  <si>
    <t>8 IMPLEMENTACION DEL COMPONENTE DE EVALUACION DE RIESGOS DEL SCI</t>
  </si>
  <si>
    <t>09751401</t>
  </si>
  <si>
    <t>CONSULTORIA PARA LA IMPLEMENTACION DEL COMPONENTE DE EVALUACION DE RIESGOS DEL SCI</t>
  </si>
  <si>
    <t>9 ELABORACION DEL PLAN DE MEJORA DE PROCESOS CRITICOS</t>
  </si>
  <si>
    <t>CONSULTORIA PARA LA ELABORACION DEL PLAN DE MEJORA DE PROCESOS CRITICOS</t>
  </si>
  <si>
    <t>10 ELABORACIÓN DE CUADROS DE PUESTOS</t>
  </si>
  <si>
    <t>09600611</t>
  </si>
  <si>
    <t xml:space="preserve">CONSULTORIA EN ELABORACIÓN DE CUADRO DE PUESTOS  </t>
  </si>
  <si>
    <t>11 ELABORACIÓN DE PLAN DE CONTINGENCIA PARA GARANTIZAR LA CONTINUIDAD OPERATIVA DEL TRIBUNAL CONSTITUCIONAL</t>
  </si>
  <si>
    <t>06289352</t>
  </si>
  <si>
    <t>CONTRATACIÓN DE CONSULTORIA PARA LA ELABORACIÓN DE PLAN DE CONTINGENCIA PARA GARANTIZAR LA CONTINUIDAD OPERATIVA DEL TRIBUNAL CONSTITUCIONAL</t>
  </si>
  <si>
    <t>12  ELABORACIÓN DE ESPECIFICACIONES TÉCNICAS DE VEHÍCULOS PARA  SU ADQUISICIÓN POR REPOSISCIÓN</t>
  </si>
  <si>
    <t>09998152</t>
  </si>
  <si>
    <t>CONTRATACIÓN DE CONSULTORIA PARA LA ELABORACIÓN DE ESPECIFICACIONES TÉCNICAS DE VEHÍCULOS PARA  SU ADQUISICIÓN POR REPOSISCIÓN</t>
  </si>
  <si>
    <t>13 ELABORACIÓN DEL INFORME DE LA IOARR REPOSICIÓN DE VEHÍCULOS DEL TRIBUNAL CONSTITUCIONAL</t>
  </si>
  <si>
    <t>SERVICIO DER CONSULTORIA PARA LA ELABORACIÓN DEL INFORME DE LA IOARR REPOSICIÓN DE VEHÍCULOS DEL TRIBUNAL CONSTITUCIONAL</t>
  </si>
  <si>
    <t>14 EVALUACIÓNDEL ESTUDIO DE PRE INVERSIÓN MEJORAMIENTO DE LOS SERVICIOS DE ADMINISTRACIÓN DE JUSTICIA DEL tc MEDIANTE LA IMPLEMENTACIÓN DEL EXPEDIENTES JUDICIAL ELECTRÓNICO</t>
  </si>
  <si>
    <t>CONSULTORIA EN EVALUACIÓNDEL ESTUDIO DE PRE INVERSIÓN MEJORAMIENTO DE LOS SERVICIOS DE ADMINISTRACIÓN DE JUSTICIA DEL tc MEDIANTE LA IMPLEMENTACIÓN DEL EXPEDIENTES JUDICIAL ELECTRÓNICO</t>
  </si>
  <si>
    <t>PRESUPUESTO 2020</t>
  </si>
  <si>
    <t>15 (***)</t>
  </si>
  <si>
    <t xml:space="preserve">TOTAL </t>
  </si>
  <si>
    <t>(*) EL PRODUCTO QUE SE ADQUIERE</t>
  </si>
  <si>
    <t>(**) LA ESPECIALIDAD TOMANDO ENCUENTA HACIENDO REFERENCIA UNA O MAS DE LAS 25 FUNCIONES DEL CLASIFICADOR FUNCIONAL PROGRAMATICO</t>
  </si>
  <si>
    <t>(***) SIN ASIGNACIÓN PRESUPUESTAL</t>
  </si>
  <si>
    <t>FORMATO 17: NOMBRES E INGRESOS MENSUALES DEL PERSONAL CONTRATADO FUERA DEL PAP EN LOS AÑOS FISCALES 2019 Y 2020</t>
  </si>
  <si>
    <t>CONTRATANTE</t>
  </si>
  <si>
    <t>CONTRATADO</t>
  </si>
  <si>
    <t>AÑO FISCAL 2019</t>
  </si>
  <si>
    <t>AÑO FISCAL 2020 (*)</t>
  </si>
  <si>
    <t>UNIDAD EJECUTORA</t>
  </si>
  <si>
    <t>FUENTE DE FINANCIAMIENTO</t>
  </si>
  <si>
    <t>TIPO DE CONTRATO</t>
  </si>
  <si>
    <t>FUNCIÓN DESEMPEÑADA</t>
  </si>
  <si>
    <t xml:space="preserve">CONTRAPRESTACIÓN MENSUAL </t>
  </si>
  <si>
    <t>DNI</t>
  </si>
  <si>
    <t>Apellidos y Nombres</t>
  </si>
  <si>
    <t>Profesión</t>
  </si>
  <si>
    <t>Grado Academico</t>
  </si>
  <si>
    <t>Numero de contratos o renovaciones</t>
  </si>
  <si>
    <t>Meses Ejecutados</t>
  </si>
  <si>
    <t>Monto Ejecutado</t>
  </si>
  <si>
    <t>FORMATO 18: ALQUILER DE INMUEBLES EN LOS AÑOS FISCALES 2019 Y 2020</t>
  </si>
  <si>
    <t>ARRENDATARIO</t>
  </si>
  <si>
    <t>ARRENDADOR</t>
  </si>
  <si>
    <t>INMUEBLE</t>
  </si>
  <si>
    <t>CONTRATO</t>
  </si>
  <si>
    <t>EJECUCIÓN 2019</t>
  </si>
  <si>
    <t>EJECUCIÓN 2020 (*)</t>
  </si>
  <si>
    <t>PLIEGO</t>
  </si>
  <si>
    <t>Apellidos y Nombres o Denominación</t>
  </si>
  <si>
    <t>DNI O PARTIDA REGISTRAL</t>
  </si>
  <si>
    <t>BIEN PROPIO DE TERCEROS O AJENO</t>
  </si>
  <si>
    <t>PARTIDA REGISTRAL DE INCRIPCION DE PROPIEDAD</t>
  </si>
  <si>
    <t>METROS CUADRADOS</t>
  </si>
  <si>
    <t>COCHERAS</t>
  </si>
  <si>
    <t>VIGENCIA DEL CONTRATO</t>
  </si>
  <si>
    <t>MONTO MENSUAL</t>
  </si>
  <si>
    <t xml:space="preserve">FORMA DE PAGO (MENSUAL O ANUAL) Y FECHA DE PAGO </t>
  </si>
  <si>
    <t>(*) = Al 30 de junio de 2020</t>
  </si>
  <si>
    <t>FORMATO 16: TESORERIA - RESUMEN POR GRUPO GENERICO Y FUENTES DE FINANCIAMIENTO 2019 Y 2020</t>
  </si>
  <si>
    <t>ESPECIFICACIONES RECURSOS PUBLICOS</t>
  </si>
  <si>
    <t>CUENTAS BANCARIAS</t>
  </si>
  <si>
    <t>BANCO / INSTITUCIÓN FINANCIERA</t>
  </si>
  <si>
    <t>CUENTA</t>
  </si>
  <si>
    <t>FECHA DE APERTURA</t>
  </si>
  <si>
    <t>MONEDA</t>
  </si>
  <si>
    <t>SALDO 2019 (*)</t>
  </si>
  <si>
    <t>SALDO 2020 (**)</t>
  </si>
  <si>
    <t xml:space="preserve">       OFICIALES DE CRED. EXTERNO</t>
  </si>
  <si>
    <t xml:space="preserve">    - OTROS (ESPECIFIQUE)</t>
  </si>
  <si>
    <t>(*) Saldo al 31 de Diciembre de 2019</t>
  </si>
  <si>
    <t>(**) Saldo al 30 de Junio de 2020</t>
  </si>
  <si>
    <t>BANCO DE LA NACION</t>
  </si>
  <si>
    <t>00-000-282782</t>
  </si>
  <si>
    <t>SOLES</t>
  </si>
  <si>
    <t>SECTOR : Tribunal Constitucional</t>
  </si>
  <si>
    <t>FORMATO 10: INFORMACIÓN DE REMUNERACIONES Y NÚMERO DE PLAZAS - PRESUPUESTO 2019, 2020 Y PROYECTO 2021</t>
  </si>
  <si>
    <t>NO APLICA</t>
  </si>
  <si>
    <t>FORMATO 01: INDICADORES DE GESTIÓN SEGÚN OBJETIVOS ESTRATÉGICOS INSTITUCIONALES AL 2021</t>
  </si>
  <si>
    <t>SECTOR : TRIBUNAL CONSTITUCIONAL</t>
  </si>
  <si>
    <t>PLIEGO O ENTIDAD DEL SECTOR</t>
  </si>
  <si>
    <t>Objetivo Estrategico Sectorial
(Código)</t>
  </si>
  <si>
    <t>Objetivo Estrategico Institucional
(Código y Enunciado)</t>
  </si>
  <si>
    <t>Nombre del Indicador</t>
  </si>
  <si>
    <t>Linea Base</t>
  </si>
  <si>
    <t>Meta 2017</t>
  </si>
  <si>
    <t>Fuente de Información</t>
  </si>
  <si>
    <t>Responsable</t>
  </si>
  <si>
    <t>Meta</t>
  </si>
  <si>
    <t>Resultado</t>
  </si>
  <si>
    <t>TRIBUNAL CONSTITUCIONAL</t>
  </si>
  <si>
    <t>OEI.01. Atender oportunamente los procesos constitucionales</t>
  </si>
  <si>
    <t>IND.01.OEI.01. Porcentaje de capacidad de atención de expedientes</t>
  </si>
  <si>
    <t>Informes POI</t>
  </si>
  <si>
    <t>Secretaría Relatoría</t>
  </si>
  <si>
    <t>N.D</t>
  </si>
  <si>
    <t>OEI.02. Promover el conocimiento a las atribuciones, competencias y la doctrina jurisprudencial del TC</t>
  </si>
  <si>
    <t>IND.01.OEI.02 Número de eventos orientados a la difusión de las atribuciones, competencias y la doctrina jurisprudencial del TC ejecutadas.</t>
  </si>
  <si>
    <t>Centro de Estudios Constitucionales</t>
  </si>
  <si>
    <t>OEI.03. Fortalecer la Gestión Institucional</t>
  </si>
  <si>
    <t>IND.1.OEI.03. Porcentaje de acciones implementadas en el PEI por año.</t>
  </si>
  <si>
    <t>Oficina de Planeamiento y Desarrollo</t>
  </si>
  <si>
    <t>OEI.04. Gestionar los Riesgos de Desastre</t>
  </si>
  <si>
    <t>IND.1.OEI.04. Porcentaje de componentes implementados en el Plan de Riesgo.</t>
  </si>
  <si>
    <t>Dirección General de Administración</t>
  </si>
  <si>
    <t>IND.02.OEI.01. Indice de reducción de la carga procesal</t>
  </si>
  <si>
    <t>PERSONAL EN ACTIVIDAD</t>
  </si>
  <si>
    <t>Magistrados</t>
  </si>
  <si>
    <t>DIRECTIVOS Y FUNCIONARIOS</t>
  </si>
  <si>
    <t>Secretario General</t>
  </si>
  <si>
    <t>Director General de Administración</t>
  </si>
  <si>
    <t>Secretario Relator</t>
  </si>
  <si>
    <t>Asesor de Magistrado</t>
  </si>
  <si>
    <t xml:space="preserve">Procurador </t>
  </si>
  <si>
    <t>Jefe de la Oficina de Asesoramiento</t>
  </si>
  <si>
    <t>Jefe de la Oficina de Control Institucional</t>
  </si>
  <si>
    <t>Profesional A</t>
  </si>
  <si>
    <t>Profesional B</t>
  </si>
  <si>
    <t>Profesional C</t>
  </si>
  <si>
    <t xml:space="preserve">Profesional </t>
  </si>
  <si>
    <t>Técnicos</t>
  </si>
  <si>
    <t>Auxiliar</t>
  </si>
  <si>
    <t>PRACTICANTES</t>
  </si>
  <si>
    <t>VARIACION 2020-2021</t>
  </si>
  <si>
    <t>OTROS (ESPECIFICAR) (CTS**)</t>
  </si>
  <si>
    <t>TOTAL INGRESO ANUAL PEA (Proyección al 31 de diciembre de  2020)</t>
  </si>
  <si>
    <t>TOTAL INGRESO ANUAL PEA (Proyección al 31 de diciembre de 2021)</t>
  </si>
  <si>
    <t>MAGISTRADOS</t>
  </si>
  <si>
    <t>Técnico A</t>
  </si>
  <si>
    <t>Técnico B</t>
  </si>
  <si>
    <t>Título Profesional, Técnico o Capacitación Ocupacional</t>
  </si>
  <si>
    <t>Tesoro Publico</t>
  </si>
  <si>
    <t>Contrato Administrativo de servicios</t>
  </si>
  <si>
    <t xml:space="preserve">Asistente de Cafetería </t>
  </si>
  <si>
    <t>AGUILAR ERHUAY, JESÚS</t>
  </si>
  <si>
    <t>-</t>
  </si>
  <si>
    <t>AUXILIAR</t>
  </si>
  <si>
    <t>Abogada II</t>
  </si>
  <si>
    <t xml:space="preserve">ALCANTARA TORRES RUBI </t>
  </si>
  <si>
    <t>Abogado</t>
  </si>
  <si>
    <t>Profesional</t>
  </si>
  <si>
    <t>PROFESIONAL</t>
  </si>
  <si>
    <t>Analista de Recursos Humanos</t>
  </si>
  <si>
    <t xml:space="preserve">ARCE ROBLE, ELIZABETH LILIA </t>
  </si>
  <si>
    <t>Psicologa</t>
  </si>
  <si>
    <t>Asistente en Cafetería</t>
  </si>
  <si>
    <t>ATOCHE PRADO ESMERALDA SOFIA</t>
  </si>
  <si>
    <t>Técnico en Abogacía II</t>
  </si>
  <si>
    <t xml:space="preserve">AVILA ROMERO, JHONATHAN ALEXANDER </t>
  </si>
  <si>
    <t>Derecho</t>
  </si>
  <si>
    <t>Bachiller</t>
  </si>
  <si>
    <t>TECNICO</t>
  </si>
  <si>
    <t xml:space="preserve">Derecho </t>
  </si>
  <si>
    <t>Asistente</t>
  </si>
  <si>
    <t>BARTRA HUAMAN, LESLY ANALI</t>
  </si>
  <si>
    <t xml:space="preserve">Abogado II </t>
  </si>
  <si>
    <t>BOLAÑOS SALAZAR, ELARD RICARDO</t>
  </si>
  <si>
    <t>Abogada</t>
  </si>
  <si>
    <t xml:space="preserve">CABEZAS POMA, ASTRID KELLY </t>
  </si>
  <si>
    <t>TÉCNICO</t>
  </si>
  <si>
    <t>Especialista en Recursos Humanos</t>
  </si>
  <si>
    <t>CAMPOS CERNA, ROCIO MARLENE</t>
  </si>
  <si>
    <t>Comunicador</t>
  </si>
  <si>
    <t>Asistente Administrativo</t>
  </si>
  <si>
    <t>41507210</t>
  </si>
  <si>
    <t xml:space="preserve">CANO QUISPE LIDIA MARIANA </t>
  </si>
  <si>
    <t>Asistenta Social</t>
  </si>
  <si>
    <t>Encargada de Limpieza</t>
  </si>
  <si>
    <t>29550167</t>
  </si>
  <si>
    <t>CARI CÁCERES, AGUSTA</t>
  </si>
  <si>
    <t xml:space="preserve">Asistente en  Investigación </t>
  </si>
  <si>
    <t>70883593</t>
  </si>
  <si>
    <t xml:space="preserve">CARRASCO ISOLA CAROLINA MERCEDES </t>
  </si>
  <si>
    <t xml:space="preserve">Técnico Administrativo </t>
  </si>
  <si>
    <t>CASTILLO BELTRAN, ANA LUCIA</t>
  </si>
  <si>
    <t xml:space="preserve">Auxiliar Administrativo </t>
  </si>
  <si>
    <t>46058627</t>
  </si>
  <si>
    <t>CHAMPA ANTON, CHRISTIAN ALEXANDER</t>
  </si>
  <si>
    <t>Economía</t>
  </si>
  <si>
    <t>Estudiante</t>
  </si>
  <si>
    <t>Chofer</t>
  </si>
  <si>
    <t>09768060</t>
  </si>
  <si>
    <t>CHUQUILLANQUI CHIHUAN DEMETRIO</t>
  </si>
  <si>
    <t xml:space="preserve">Secretaria </t>
  </si>
  <si>
    <t>40481457</t>
  </si>
  <si>
    <t>CRUZADO LAZARO CARLA FIORELLA DE LOS ANGELES</t>
  </si>
  <si>
    <t>Secretariado</t>
  </si>
  <si>
    <t>Técnico</t>
  </si>
  <si>
    <t xml:space="preserve">Asistente Administrativo </t>
  </si>
  <si>
    <t xml:space="preserve">DEL RIO PARRA, CARLOS ALBERTO </t>
  </si>
  <si>
    <t>Administrador</t>
  </si>
  <si>
    <t>Profesional en Auditoría Gubernamental</t>
  </si>
  <si>
    <t>DIAZ PADILLA, DANTE EDMUNDO</t>
  </si>
  <si>
    <t>Contador Publico</t>
  </si>
  <si>
    <t>Auxiliar Jurídico</t>
  </si>
  <si>
    <t>ENCISO CAILLAHUA, SADIT</t>
  </si>
  <si>
    <t>Asistente de Mantenimiento</t>
  </si>
  <si>
    <t>FALCON ASTUQUIPAN, EVERTH</t>
  </si>
  <si>
    <t>ASISTENTE</t>
  </si>
  <si>
    <t>07232558</t>
  </si>
  <si>
    <t>FARJE LOZADA, RONALD MIGUEL</t>
  </si>
  <si>
    <t>Técnico en Abogacía</t>
  </si>
  <si>
    <t>FEIJOO CAMBIASSO RAUL HUMBERTO</t>
  </si>
  <si>
    <t xml:space="preserve">GARCIA ALTAMIRANO, MARTIN VICENTE </t>
  </si>
  <si>
    <t xml:space="preserve">Técnico en Tecnología de la Información </t>
  </si>
  <si>
    <t>48091151</t>
  </si>
  <si>
    <t xml:space="preserve">GARCIA REYES, CHRISTIAN ANDERSON </t>
  </si>
  <si>
    <t>Ing. Sistemas</t>
  </si>
  <si>
    <t>Analista de Sistemas</t>
  </si>
  <si>
    <t>Lingüista</t>
  </si>
  <si>
    <t>07416362</t>
  </si>
  <si>
    <t xml:space="preserve">GARCIA YSLA EUGENIO MARIO </t>
  </si>
  <si>
    <t xml:space="preserve">Técnico en abogacía </t>
  </si>
  <si>
    <t>GHERSI MURILLO, LUCAS DANIEL</t>
  </si>
  <si>
    <t>07394529</t>
  </si>
  <si>
    <t xml:space="preserve">GONZALES PALOMARES CARLOS FRANCISCO </t>
  </si>
  <si>
    <t xml:space="preserve">Chofer </t>
  </si>
  <si>
    <t xml:space="preserve">Especialista en comunicación Audiovisual </t>
  </si>
  <si>
    <t>GUERRA MOLINA, CHRISTIAN MICHAELL</t>
  </si>
  <si>
    <t>09825629</t>
  </si>
  <si>
    <t>GUTIERREZ ARREDONDO, ORLANDO RAFAEL</t>
  </si>
  <si>
    <t>Asistente PAD</t>
  </si>
  <si>
    <t>GUZMAN CHAVEZ, ANDREA DENNISSE</t>
  </si>
  <si>
    <t xml:space="preserve">Abogado </t>
  </si>
  <si>
    <t>45604084</t>
  </si>
  <si>
    <t xml:space="preserve">LA TORRE ALIAGA, LUIS MIGUEL </t>
  </si>
  <si>
    <t>10116041</t>
  </si>
  <si>
    <t>LESCANO  VDA DE DE LOS RIOS, MARIA ESTHER</t>
  </si>
  <si>
    <t>70868721</t>
  </si>
  <si>
    <t xml:space="preserve">LINARES LUNA SEBASTIAN MIGUEL </t>
  </si>
  <si>
    <t xml:space="preserve">Asistente en Investigación y Documentación </t>
  </si>
  <si>
    <t>46565788</t>
  </si>
  <si>
    <t xml:space="preserve">LORENZO QUILLA, NORA </t>
  </si>
  <si>
    <t>Auxiliar Júridico</t>
  </si>
  <si>
    <t>MAMANI CUNO, JUAN LUIS</t>
  </si>
  <si>
    <t>Especialista en Contrataciones Públicas II</t>
  </si>
  <si>
    <t>MAMANI UCHASARA, SANTIAGO</t>
  </si>
  <si>
    <t>Contador Pùblico</t>
  </si>
  <si>
    <t>Contador Público</t>
  </si>
  <si>
    <t xml:space="preserve">Técnico en Abogacía </t>
  </si>
  <si>
    <t xml:space="preserve">MARCHAN CARLOS, STEFANNY NELIDA </t>
  </si>
  <si>
    <t xml:space="preserve">Abogado I </t>
  </si>
  <si>
    <t>45344191</t>
  </si>
  <si>
    <t xml:space="preserve">MENDOZA OCHOA, RONALD MARCIAL </t>
  </si>
  <si>
    <t>44081905</t>
  </si>
  <si>
    <t xml:space="preserve">MEZA FIGUEROA MOSI MARCELA </t>
  </si>
  <si>
    <t>46581594</t>
  </si>
  <si>
    <t xml:space="preserve">OTOYA JIMENEZ, VICTOR ALFONSO </t>
  </si>
  <si>
    <t xml:space="preserve">Profesional en Ingeniería de Sistemas </t>
  </si>
  <si>
    <t xml:space="preserve">  41017015</t>
  </si>
  <si>
    <t>PEÑA ZAVALETA LUIS ANTONIO</t>
  </si>
  <si>
    <t>08156945</t>
  </si>
  <si>
    <t>PEREDO PIAGGIO, JULISSA</t>
  </si>
  <si>
    <t>Egresado</t>
  </si>
  <si>
    <t>72423061</t>
  </si>
  <si>
    <t xml:space="preserve">PEREZ VILCHEZ, YON BERTOLT ROALD </t>
  </si>
  <si>
    <t>07134442</t>
  </si>
  <si>
    <t xml:space="preserve">PINEDO MINAYA , JOSÉ JORGE </t>
  </si>
  <si>
    <t xml:space="preserve">Técnico Digitalización </t>
  </si>
  <si>
    <t>47212747</t>
  </si>
  <si>
    <t xml:space="preserve">QUINTANILLA CARDENAS, RONALD RONY </t>
  </si>
  <si>
    <t xml:space="preserve">Lingüista </t>
  </si>
  <si>
    <t>46100172</t>
  </si>
  <si>
    <t>QUIÑONES LEZAMA, DIANA ISABEL</t>
  </si>
  <si>
    <t xml:space="preserve">Técnico en Contrataciones </t>
  </si>
  <si>
    <t>40043945</t>
  </si>
  <si>
    <t xml:space="preserve">QUISPE GAVILÁN, ROBERTO CARLOS </t>
  </si>
  <si>
    <t>29616691</t>
  </si>
  <si>
    <t xml:space="preserve">QUISPE PONCE, MARÍA CANDELARIA </t>
  </si>
  <si>
    <t>41449685</t>
  </si>
  <si>
    <t>RAMIREZ-GASTÓN DURAN. JOSÉ C</t>
  </si>
  <si>
    <t xml:space="preserve">Asistente  de Informática II </t>
  </si>
  <si>
    <t>41152610</t>
  </si>
  <si>
    <t xml:space="preserve">RODRIGUEZ NEYRA  JILVER PEPE </t>
  </si>
  <si>
    <t>Sistemas y Networking</t>
  </si>
  <si>
    <t>46332447</t>
  </si>
  <si>
    <t>ROJAS MACEDO, JACQUELINE PAMELA</t>
  </si>
  <si>
    <t>Negocios Internacionales</t>
  </si>
  <si>
    <t>Abogado I</t>
  </si>
  <si>
    <t>70285087</t>
  </si>
  <si>
    <t>RUIZ RIQUERO, JOSÉ HUMBERTO</t>
  </si>
  <si>
    <t>41772135</t>
  </si>
  <si>
    <t>SAENZ ASENCIOS, ALFREDO EDUARDO</t>
  </si>
  <si>
    <t>10522259</t>
  </si>
  <si>
    <t>SALAZAR CARDENAS, VIDAL</t>
  </si>
  <si>
    <t>44510371</t>
  </si>
  <si>
    <t xml:space="preserve">SALAZAR TARRILLO ESBIN YONEL </t>
  </si>
  <si>
    <t xml:space="preserve">Abogado Junior </t>
  </si>
  <si>
    <t>48126113</t>
  </si>
  <si>
    <t xml:space="preserve">SALVATIERRA CASTRO, MILAGROS </t>
  </si>
  <si>
    <t>Título</t>
  </si>
  <si>
    <t>45335140</t>
  </si>
  <si>
    <t>SANCHEZ BENITES, ROSA ISABEL</t>
  </si>
  <si>
    <t>44146336</t>
  </si>
  <si>
    <t>SANTISTEBAN TORRE, CHRISTIAN ADRIAN</t>
  </si>
  <si>
    <t>Marketing</t>
  </si>
  <si>
    <t>Profesional Técnico</t>
  </si>
  <si>
    <t>40309054</t>
  </si>
  <si>
    <t xml:space="preserve">SARAVIA CHIRITO, CARLOS </t>
  </si>
  <si>
    <t>10524634</t>
  </si>
  <si>
    <t xml:space="preserve">SEGURA GUTIERREZ, SHEILAH KATIA </t>
  </si>
  <si>
    <t xml:space="preserve">Director en Investigaciones </t>
  </si>
  <si>
    <t>42776803</t>
  </si>
  <si>
    <t>TORNERO CRUZATT YURI ALEKANDROV</t>
  </si>
  <si>
    <t>Asistente Administrativo en RRHH</t>
  </si>
  <si>
    <t>47137765</t>
  </si>
  <si>
    <t>TORRES VILLANUEVA CHRISTIAN ARTURO</t>
  </si>
  <si>
    <t>Ing. Industrial</t>
  </si>
  <si>
    <t>06767479</t>
  </si>
  <si>
    <t xml:space="preserve">VELARDE DELGADO, TERESA CRISTINA </t>
  </si>
  <si>
    <t xml:space="preserve">Asistente de Publicaciones </t>
  </si>
  <si>
    <t>VILCA APAZA, ROGER ALFONSIN</t>
  </si>
  <si>
    <t>Técnicos  A</t>
  </si>
  <si>
    <t>Técnicos A</t>
  </si>
  <si>
    <t>Técnicos B</t>
  </si>
</sst>
</file>

<file path=xl/styles.xml><?xml version="1.0" encoding="utf-8"?>
<styleSheet xmlns="http://schemas.openxmlformats.org/spreadsheetml/2006/main">
  <numFmts count="3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[$-280A]d&quot; de &quot;mmmm&quot; de &quot;yyyy;@"/>
    <numFmt numFmtId="173" formatCode="#,##0.000"/>
    <numFmt numFmtId="174" formatCode="#,##0.0"/>
    <numFmt numFmtId="175" formatCode="0.0%"/>
    <numFmt numFmtId="176" formatCode="0.000%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* #,##0_-;\-* #,##0_-;_-* &quot;-&quot;??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u val="single"/>
      <sz val="8"/>
      <name val="Arial"/>
      <family val="2"/>
    </font>
    <font>
      <sz val="9"/>
      <color indexed="32"/>
      <name val="Arial"/>
      <family val="2"/>
    </font>
    <font>
      <b/>
      <u val="single"/>
      <sz val="9"/>
      <name val="Arial"/>
      <family val="2"/>
    </font>
    <font>
      <sz val="8"/>
      <name val="Tahoma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8.5"/>
      <name val="Calibri"/>
      <family val="2"/>
    </font>
    <font>
      <sz val="7"/>
      <name val="Calibri"/>
      <family val="2"/>
    </font>
    <font>
      <sz val="9"/>
      <color indexed="8"/>
      <name val="Times New Roman"/>
      <family val="1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imes New Roman"/>
      <family val="1"/>
    </font>
    <font>
      <b/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/>
    </border>
    <border>
      <left style="thin"/>
      <right/>
      <top/>
      <bottom style="medium"/>
    </border>
    <border>
      <left>
        <color indexed="63"/>
      </left>
      <right/>
      <top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medium"/>
      <top/>
      <bottom style="thick"/>
    </border>
    <border>
      <left style="medium"/>
      <right style="thin"/>
      <top/>
      <bottom style="thick"/>
    </border>
    <border>
      <left/>
      <right/>
      <top/>
      <bottom style="thick"/>
    </border>
    <border>
      <left style="thin"/>
      <right style="thin"/>
      <top/>
      <bottom style="thick"/>
    </border>
    <border>
      <left/>
      <right style="medium"/>
      <top/>
      <bottom style="thick"/>
    </border>
    <border>
      <left/>
      <right style="thin"/>
      <top/>
      <bottom style="thick"/>
    </border>
    <border>
      <left style="thin"/>
      <right style="medium"/>
      <top/>
      <bottom style="thick"/>
    </border>
    <border>
      <left style="medium"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680">
    <xf numFmtId="0" fontId="0" fillId="0" borderId="0" xfId="0" applyAlignment="1">
      <alignment/>
    </xf>
    <xf numFmtId="0" fontId="8" fillId="0" borderId="0" xfId="55" applyFont="1" applyFill="1" applyBorder="1" applyAlignment="1">
      <alignment horizontal="left" vertical="center"/>
      <protection/>
    </xf>
    <xf numFmtId="0" fontId="9" fillId="0" borderId="0" xfId="55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56" applyFont="1" applyAlignment="1">
      <alignment vertical="center"/>
      <protection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8" fillId="0" borderId="13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33" borderId="14" xfId="55" applyFont="1" applyFill="1" applyBorder="1" applyAlignment="1">
      <alignment horizontal="center" vertical="center"/>
      <protection/>
    </xf>
    <xf numFmtId="0" fontId="8" fillId="0" borderId="15" xfId="0" applyFont="1" applyBorder="1" applyAlignment="1">
      <alignment/>
    </xf>
    <xf numFmtId="49" fontId="8" fillId="0" borderId="13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0" xfId="55" applyFont="1" applyFill="1" applyBorder="1" applyAlignment="1">
      <alignment vertical="center"/>
      <protection/>
    </xf>
    <xf numFmtId="0" fontId="2" fillId="0" borderId="0" xfId="0" applyFont="1" applyAlignment="1">
      <alignment/>
    </xf>
    <xf numFmtId="0" fontId="8" fillId="34" borderId="16" xfId="0" applyFont="1" applyFill="1" applyBorder="1" applyAlignment="1">
      <alignment horizontal="right"/>
    </xf>
    <xf numFmtId="0" fontId="8" fillId="0" borderId="17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0" fontId="8" fillId="0" borderId="20" xfId="0" applyNumberFormat="1" applyFont="1" applyBorder="1" applyAlignment="1">
      <alignment/>
    </xf>
    <xf numFmtId="0" fontId="8" fillId="0" borderId="21" xfId="0" applyNumberFormat="1" applyFont="1" applyBorder="1" applyAlignment="1">
      <alignment/>
    </xf>
    <xf numFmtId="0" fontId="8" fillId="0" borderId="22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0" fontId="8" fillId="0" borderId="25" xfId="0" applyNumberFormat="1" applyFont="1" applyBorder="1" applyAlignment="1">
      <alignment/>
    </xf>
    <xf numFmtId="0" fontId="8" fillId="0" borderId="26" xfId="0" applyNumberFormat="1" applyFont="1" applyBorder="1" applyAlignment="1">
      <alignment/>
    </xf>
    <xf numFmtId="0" fontId="8" fillId="0" borderId="27" xfId="0" applyNumberFormat="1" applyFont="1" applyBorder="1" applyAlignment="1">
      <alignment/>
    </xf>
    <xf numFmtId="0" fontId="8" fillId="0" borderId="28" xfId="0" applyNumberFormat="1" applyFont="1" applyBorder="1" applyAlignment="1">
      <alignment/>
    </xf>
    <xf numFmtId="0" fontId="8" fillId="34" borderId="29" xfId="0" applyNumberFormat="1" applyFont="1" applyFill="1" applyBorder="1" applyAlignment="1">
      <alignment/>
    </xf>
    <xf numFmtId="0" fontId="8" fillId="34" borderId="30" xfId="0" applyNumberFormat="1" applyFont="1" applyFill="1" applyBorder="1" applyAlignment="1">
      <alignment/>
    </xf>
    <xf numFmtId="0" fontId="8" fillId="34" borderId="31" xfId="0" applyNumberFormat="1" applyFont="1" applyFill="1" applyBorder="1" applyAlignment="1">
      <alignment/>
    </xf>
    <xf numFmtId="0" fontId="8" fillId="34" borderId="32" xfId="0" applyNumberFormat="1" applyFont="1" applyFill="1" applyBorder="1" applyAlignment="1">
      <alignment/>
    </xf>
    <xf numFmtId="0" fontId="8" fillId="0" borderId="33" xfId="0" applyNumberFormat="1" applyFont="1" applyBorder="1" applyAlignment="1">
      <alignment/>
    </xf>
    <xf numFmtId="0" fontId="8" fillId="0" borderId="34" xfId="0" applyNumberFormat="1" applyFont="1" applyBorder="1" applyAlignment="1">
      <alignment/>
    </xf>
    <xf numFmtId="0" fontId="8" fillId="0" borderId="35" xfId="0" applyNumberFormat="1" applyFont="1" applyBorder="1" applyAlignment="1">
      <alignment/>
    </xf>
    <xf numFmtId="0" fontId="8" fillId="0" borderId="36" xfId="0" applyNumberFormat="1" applyFont="1" applyBorder="1" applyAlignment="1">
      <alignment/>
    </xf>
    <xf numFmtId="0" fontId="8" fillId="34" borderId="3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7" fillId="35" borderId="0" xfId="0" applyFont="1" applyFill="1" applyAlignment="1">
      <alignment vertical="center"/>
    </xf>
    <xf numFmtId="0" fontId="12" fillId="35" borderId="0" xfId="0" applyFont="1" applyFill="1" applyAlignment="1">
      <alignment vertical="center" wrapText="1"/>
    </xf>
    <xf numFmtId="0" fontId="12" fillId="3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55" applyFont="1" applyFill="1" applyAlignment="1">
      <alignment vertical="center"/>
      <protection/>
    </xf>
    <xf numFmtId="0" fontId="5" fillId="0" borderId="0" xfId="0" applyFont="1" applyFill="1" applyAlignment="1">
      <alignment horizontal="left"/>
    </xf>
    <xf numFmtId="0" fontId="5" fillId="0" borderId="0" xfId="55" applyFont="1" applyFill="1" applyAlignment="1">
      <alignment vertical="center"/>
      <protection/>
    </xf>
    <xf numFmtId="0" fontId="38" fillId="0" borderId="0" xfId="55" applyFont="1" applyFill="1" applyAlignment="1">
      <alignment vertical="center"/>
      <protection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37" xfId="0" applyFont="1" applyBorder="1" applyAlignment="1">
      <alignment/>
    </xf>
    <xf numFmtId="0" fontId="39" fillId="0" borderId="0" xfId="0" applyFont="1" applyFill="1" applyAlignment="1">
      <alignment horizontal="centerContinuous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wrapText="1"/>
    </xf>
    <xf numFmtId="49" fontId="38" fillId="0" borderId="0" xfId="56" applyFont="1" applyBorder="1" applyAlignment="1">
      <alignment horizontal="left" vertical="center"/>
      <protection/>
    </xf>
    <xf numFmtId="3" fontId="39" fillId="0" borderId="0" xfId="56" applyNumberFormat="1" applyFont="1" applyBorder="1" applyAlignment="1">
      <alignment vertical="center"/>
      <protection/>
    </xf>
    <xf numFmtId="3" fontId="39" fillId="0" borderId="0" xfId="56" applyNumberFormat="1" applyFont="1" applyAlignment="1">
      <alignment vertical="center"/>
      <protection/>
    </xf>
    <xf numFmtId="3" fontId="39" fillId="0" borderId="0" xfId="56" applyNumberFormat="1" applyFont="1" applyAlignment="1">
      <alignment horizontal="right" vertical="center"/>
      <protection/>
    </xf>
    <xf numFmtId="3" fontId="39" fillId="0" borderId="11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38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11" xfId="0" applyNumberFormat="1" applyFont="1" applyBorder="1" applyAlignment="1">
      <alignment/>
    </xf>
    <xf numFmtId="0" fontId="39" fillId="0" borderId="16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Fill="1" applyAlignment="1">
      <alignment horizontal="center" vertical="center" wrapText="1"/>
    </xf>
    <xf numFmtId="0" fontId="39" fillId="0" borderId="11" xfId="0" applyFont="1" applyBorder="1" applyAlignment="1">
      <alignment/>
    </xf>
    <xf numFmtId="3" fontId="39" fillId="0" borderId="38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38" xfId="0" applyFont="1" applyBorder="1" applyAlignment="1">
      <alignment/>
    </xf>
    <xf numFmtId="49" fontId="38" fillId="0" borderId="14" xfId="56" applyFont="1" applyBorder="1" applyAlignment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/>
    </xf>
    <xf numFmtId="0" fontId="38" fillId="36" borderId="39" xfId="0" applyFont="1" applyFill="1" applyBorder="1" applyAlignment="1">
      <alignment horizontal="center" vertical="center" textRotation="90" wrapText="1"/>
    </xf>
    <xf numFmtId="0" fontId="38" fillId="36" borderId="37" xfId="0" applyFont="1" applyFill="1" applyBorder="1" applyAlignment="1">
      <alignment horizontal="center" vertical="center" textRotation="90" wrapText="1"/>
    </xf>
    <xf numFmtId="0" fontId="38" fillId="36" borderId="40" xfId="0" applyFont="1" applyFill="1" applyBorder="1" applyAlignment="1">
      <alignment horizontal="center" vertical="center" textRotation="90" wrapText="1"/>
    </xf>
    <xf numFmtId="49" fontId="11" fillId="36" borderId="29" xfId="56" applyFont="1" applyFill="1" applyBorder="1" applyAlignment="1">
      <alignment horizontal="center" textRotation="90" wrapText="1"/>
      <protection/>
    </xf>
    <xf numFmtId="49" fontId="11" fillId="36" borderId="30" xfId="56" applyFont="1" applyFill="1" applyBorder="1" applyAlignment="1">
      <alignment horizontal="center" textRotation="90" wrapText="1"/>
      <protection/>
    </xf>
    <xf numFmtId="49" fontId="11" fillId="36" borderId="31" xfId="56" applyFont="1" applyFill="1" applyBorder="1" applyAlignment="1">
      <alignment horizontal="center" textRotation="90" wrapText="1"/>
      <protection/>
    </xf>
    <xf numFmtId="49" fontId="11" fillId="36" borderId="32" xfId="56" applyFont="1" applyFill="1" applyBorder="1" applyAlignment="1">
      <alignment horizontal="center" textRotation="90" wrapText="1"/>
      <protection/>
    </xf>
    <xf numFmtId="49" fontId="10" fillId="36" borderId="30" xfId="56" applyFont="1" applyFill="1" applyBorder="1" applyAlignment="1">
      <alignment horizontal="center" textRotation="90" wrapText="1"/>
      <protection/>
    </xf>
    <xf numFmtId="49" fontId="9" fillId="36" borderId="31" xfId="56" applyFont="1" applyFill="1" applyBorder="1" applyAlignment="1">
      <alignment horizontal="center" textRotation="90" wrapText="1"/>
      <protection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49" fontId="13" fillId="36" borderId="41" xfId="56" applyFont="1" applyFill="1" applyBorder="1" applyAlignment="1">
      <alignment horizontal="center" textRotation="90" wrapText="1"/>
      <protection/>
    </xf>
    <xf numFmtId="49" fontId="13" fillId="36" borderId="42" xfId="56" applyFont="1" applyFill="1" applyBorder="1" applyAlignment="1">
      <alignment horizontal="center" textRotation="90" wrapText="1"/>
      <protection/>
    </xf>
    <xf numFmtId="49" fontId="13" fillId="36" borderId="43" xfId="56" applyFont="1" applyFill="1" applyBorder="1" applyAlignment="1">
      <alignment horizontal="center" textRotation="90" wrapText="1"/>
      <protection/>
    </xf>
    <xf numFmtId="49" fontId="5" fillId="36" borderId="41" xfId="56" applyNumberFormat="1" applyFont="1" applyFill="1" applyBorder="1" applyAlignment="1" applyProtection="1">
      <alignment horizontal="center" textRotation="90" wrapText="1"/>
      <protection/>
    </xf>
    <xf numFmtId="49" fontId="5" fillId="36" borderId="44" xfId="56" applyFont="1" applyFill="1" applyBorder="1" applyAlignment="1">
      <alignment horizontal="center" textRotation="90" wrapText="1"/>
      <protection/>
    </xf>
    <xf numFmtId="49" fontId="2" fillId="0" borderId="45" xfId="56" applyFont="1" applyBorder="1" applyAlignment="1">
      <alignment vertical="center"/>
      <protection/>
    </xf>
    <xf numFmtId="49" fontId="2" fillId="0" borderId="46" xfId="56" applyFont="1" applyBorder="1" applyAlignment="1">
      <alignment vertical="center"/>
      <protection/>
    </xf>
    <xf numFmtId="4" fontId="5" fillId="0" borderId="21" xfId="56" applyNumberFormat="1" applyFont="1" applyBorder="1" applyAlignment="1">
      <alignment vertical="center"/>
      <protection/>
    </xf>
    <xf numFmtId="4" fontId="5" fillId="0" borderId="22" xfId="56" applyNumberFormat="1" applyFont="1" applyBorder="1" applyAlignment="1">
      <alignment vertical="center"/>
      <protection/>
    </xf>
    <xf numFmtId="4" fontId="5" fillId="0" borderId="47" xfId="56" applyNumberFormat="1" applyFont="1" applyBorder="1" applyAlignment="1">
      <alignment vertical="center"/>
      <protection/>
    </xf>
    <xf numFmtId="4" fontId="5" fillId="0" borderId="23" xfId="56" applyNumberFormat="1" applyFont="1" applyBorder="1" applyAlignment="1">
      <alignment vertical="center"/>
      <protection/>
    </xf>
    <xf numFmtId="4" fontId="2" fillId="0" borderId="21" xfId="56" applyNumberFormat="1" applyFont="1" applyBorder="1" applyAlignment="1">
      <alignment horizontal="justify" vertical="center"/>
      <protection/>
    </xf>
    <xf numFmtId="4" fontId="2" fillId="0" borderId="22" xfId="56" applyNumberFormat="1" applyFont="1" applyBorder="1" applyAlignment="1">
      <alignment horizontal="justify" vertical="center"/>
      <protection/>
    </xf>
    <xf numFmtId="4" fontId="2" fillId="0" borderId="22" xfId="56" applyNumberFormat="1" applyFont="1" applyBorder="1" applyAlignment="1">
      <alignment horizontal="right" vertical="center"/>
      <protection/>
    </xf>
    <xf numFmtId="4" fontId="2" fillId="0" borderId="47" xfId="56" applyNumberFormat="1" applyFont="1" applyBorder="1" applyAlignment="1">
      <alignment horizontal="justify" vertical="center"/>
      <protection/>
    </xf>
    <xf numFmtId="4" fontId="2" fillId="0" borderId="47" xfId="56" applyNumberFormat="1" applyFont="1" applyBorder="1" applyAlignment="1">
      <alignment horizontal="right" vertical="center"/>
      <protection/>
    </xf>
    <xf numFmtId="4" fontId="2" fillId="0" borderId="21" xfId="56" applyNumberFormat="1" applyFont="1" applyBorder="1" applyAlignment="1">
      <alignment horizontal="right" vertical="center"/>
      <protection/>
    </xf>
    <xf numFmtId="4" fontId="2" fillId="0" borderId="23" xfId="56" applyNumberFormat="1" applyFont="1" applyBorder="1" applyAlignment="1">
      <alignment horizontal="right" vertical="center"/>
      <protection/>
    </xf>
    <xf numFmtId="4" fontId="2" fillId="0" borderId="21" xfId="56" applyNumberFormat="1" applyFont="1" applyBorder="1" applyAlignment="1">
      <alignment vertical="center"/>
      <protection/>
    </xf>
    <xf numFmtId="4" fontId="2" fillId="0" borderId="22" xfId="56" applyNumberFormat="1" applyFont="1" applyBorder="1" applyAlignment="1">
      <alignment vertical="center"/>
      <protection/>
    </xf>
    <xf numFmtId="4" fontId="2" fillId="0" borderId="47" xfId="56" applyNumberFormat="1" applyFont="1" applyBorder="1" applyAlignment="1">
      <alignment vertical="center"/>
      <protection/>
    </xf>
    <xf numFmtId="4" fontId="2" fillId="0" borderId="23" xfId="56" applyNumberFormat="1" applyFont="1" applyBorder="1" applyAlignment="1">
      <alignment vertical="center"/>
      <protection/>
    </xf>
    <xf numFmtId="49" fontId="2" fillId="0" borderId="47" xfId="56" applyFont="1" applyBorder="1" applyAlignment="1">
      <alignment vertical="center"/>
      <protection/>
    </xf>
    <xf numFmtId="49" fontId="2" fillId="0" borderId="21" xfId="56" applyFont="1" applyBorder="1" applyAlignment="1">
      <alignment vertical="center"/>
      <protection/>
    </xf>
    <xf numFmtId="49" fontId="2" fillId="0" borderId="48" xfId="56" applyFont="1" applyBorder="1" applyAlignment="1">
      <alignment vertical="center"/>
      <protection/>
    </xf>
    <xf numFmtId="4" fontId="5" fillId="0" borderId="25" xfId="56" applyNumberFormat="1" applyFont="1" applyBorder="1" applyAlignment="1">
      <alignment vertical="center"/>
      <protection/>
    </xf>
    <xf numFmtId="4" fontId="5" fillId="0" borderId="26" xfId="56" applyNumberFormat="1" applyFont="1" applyBorder="1" applyAlignment="1">
      <alignment vertical="center"/>
      <protection/>
    </xf>
    <xf numFmtId="4" fontId="5" fillId="0" borderId="49" xfId="56" applyNumberFormat="1" applyFont="1" applyBorder="1" applyAlignment="1">
      <alignment vertical="center"/>
      <protection/>
    </xf>
    <xf numFmtId="4" fontId="5" fillId="0" borderId="27" xfId="56" applyNumberFormat="1" applyFont="1" applyBorder="1" applyAlignment="1">
      <alignment vertical="center"/>
      <protection/>
    </xf>
    <xf numFmtId="49" fontId="5" fillId="33" borderId="14" xfId="56" applyFont="1" applyFill="1" applyBorder="1" applyAlignment="1">
      <alignment horizontal="center" vertical="center"/>
      <protection/>
    </xf>
    <xf numFmtId="4" fontId="5" fillId="33" borderId="41" xfId="56" applyNumberFormat="1" applyFont="1" applyFill="1" applyBorder="1" applyAlignment="1">
      <alignment horizontal="right" vertical="center"/>
      <protection/>
    </xf>
    <xf numFmtId="0" fontId="0" fillId="37" borderId="0" xfId="0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5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indent="2"/>
    </xf>
    <xf numFmtId="0" fontId="3" fillId="0" borderId="22" xfId="0" applyFont="1" applyBorder="1" applyAlignment="1">
      <alignment horizontal="left" vertical="center"/>
    </xf>
    <xf numFmtId="3" fontId="5" fillId="33" borderId="42" xfId="56" applyNumberFormat="1" applyFont="1" applyFill="1" applyBorder="1" applyAlignment="1">
      <alignment horizontal="right" vertical="center"/>
      <protection/>
    </xf>
    <xf numFmtId="3" fontId="5" fillId="33" borderId="43" xfId="56" applyNumberFormat="1" applyFont="1" applyFill="1" applyBorder="1" applyAlignment="1">
      <alignment horizontal="right" vertical="center"/>
      <protection/>
    </xf>
    <xf numFmtId="3" fontId="5" fillId="33" borderId="41" xfId="56" applyNumberFormat="1" applyFont="1" applyFill="1" applyBorder="1" applyAlignment="1">
      <alignment horizontal="right" vertical="center"/>
      <protection/>
    </xf>
    <xf numFmtId="3" fontId="5" fillId="33" borderId="44" xfId="56" applyNumberFormat="1" applyFont="1" applyFill="1" applyBorder="1" applyAlignment="1">
      <alignment horizontal="right" vertical="center"/>
      <protection/>
    </xf>
    <xf numFmtId="0" fontId="2" fillId="0" borderId="22" xfId="0" applyFont="1" applyFill="1" applyBorder="1" applyAlignment="1">
      <alignment horizontal="left" indent="2"/>
    </xf>
    <xf numFmtId="171" fontId="2" fillId="0" borderId="22" xfId="47" applyFont="1" applyFill="1" applyBorder="1" applyAlignment="1">
      <alignment/>
    </xf>
    <xf numFmtId="0" fontId="5" fillId="38" borderId="22" xfId="0" applyFont="1" applyFill="1" applyBorder="1" applyAlignment="1">
      <alignment/>
    </xf>
    <xf numFmtId="171" fontId="5" fillId="38" borderId="22" xfId="47" applyFont="1" applyFill="1" applyBorder="1" applyAlignment="1">
      <alignment/>
    </xf>
    <xf numFmtId="0" fontId="5" fillId="38" borderId="22" xfId="0" applyFont="1" applyFill="1" applyBorder="1" applyAlignment="1">
      <alignment horizontal="right" vertical="center"/>
    </xf>
    <xf numFmtId="171" fontId="5" fillId="38" borderId="22" xfId="47" applyFont="1" applyFill="1" applyBorder="1" applyAlignment="1">
      <alignment vertical="center"/>
    </xf>
    <xf numFmtId="0" fontId="2" fillId="0" borderId="22" xfId="0" applyFont="1" applyFill="1" applyBorder="1" applyAlignment="1">
      <alignment/>
    </xf>
    <xf numFmtId="0" fontId="5" fillId="38" borderId="26" xfId="0" applyFont="1" applyFill="1" applyBorder="1" applyAlignment="1">
      <alignment horizontal="right" vertical="center"/>
    </xf>
    <xf numFmtId="10" fontId="39" fillId="0" borderId="11" xfId="58" applyNumberFormat="1" applyFont="1" applyBorder="1" applyAlignment="1">
      <alignment/>
    </xf>
    <xf numFmtId="3" fontId="38" fillId="0" borderId="37" xfId="0" applyNumberFormat="1" applyFont="1" applyBorder="1" applyAlignment="1">
      <alignment/>
    </xf>
    <xf numFmtId="0" fontId="38" fillId="0" borderId="37" xfId="0" applyFont="1" applyBorder="1" applyAlignment="1">
      <alignment/>
    </xf>
    <xf numFmtId="10" fontId="38" fillId="0" borderId="39" xfId="0" applyNumberFormat="1" applyFont="1" applyBorder="1" applyAlignment="1">
      <alignment/>
    </xf>
    <xf numFmtId="3" fontId="2" fillId="0" borderId="33" xfId="56" applyNumberFormat="1" applyFont="1" applyBorder="1" applyAlignment="1">
      <alignment vertical="center"/>
      <protection/>
    </xf>
    <xf numFmtId="3" fontId="2" fillId="0" borderId="34" xfId="56" applyNumberFormat="1" applyFont="1" applyBorder="1" applyAlignment="1">
      <alignment vertical="center"/>
      <protection/>
    </xf>
    <xf numFmtId="3" fontId="2" fillId="0" borderId="51" xfId="56" applyNumberFormat="1" applyFont="1" applyBorder="1" applyAlignment="1">
      <alignment vertical="center"/>
      <protection/>
    </xf>
    <xf numFmtId="3" fontId="2" fillId="0" borderId="35" xfId="56" applyNumberFormat="1" applyFont="1" applyBorder="1" applyAlignment="1">
      <alignment vertical="center"/>
      <protection/>
    </xf>
    <xf numFmtId="0" fontId="2" fillId="0" borderId="18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34" borderId="30" xfId="0" applyNumberFormat="1" applyFont="1" applyFill="1" applyBorder="1" applyAlignment="1">
      <alignment/>
    </xf>
    <xf numFmtId="0" fontId="2" fillId="34" borderId="31" xfId="0" applyNumberFormat="1" applyFont="1" applyFill="1" applyBorder="1" applyAlignment="1">
      <alignment/>
    </xf>
    <xf numFmtId="0" fontId="2" fillId="34" borderId="29" xfId="0" applyNumberFormat="1" applyFont="1" applyFill="1" applyBorder="1" applyAlignment="1">
      <alignment/>
    </xf>
    <xf numFmtId="0" fontId="2" fillId="0" borderId="31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2" fillId="0" borderId="33" xfId="0" applyNumberFormat="1" applyFont="1" applyBorder="1" applyAlignment="1">
      <alignment/>
    </xf>
    <xf numFmtId="180" fontId="2" fillId="0" borderId="18" xfId="47" applyNumberFormat="1" applyFont="1" applyBorder="1" applyAlignment="1">
      <alignment/>
    </xf>
    <xf numFmtId="180" fontId="2" fillId="0" borderId="19" xfId="47" applyNumberFormat="1" applyFont="1" applyBorder="1" applyAlignment="1">
      <alignment/>
    </xf>
    <xf numFmtId="180" fontId="2" fillId="0" borderId="20" xfId="47" applyNumberFormat="1" applyFont="1" applyBorder="1" applyAlignment="1">
      <alignment/>
    </xf>
    <xf numFmtId="180" fontId="2" fillId="0" borderId="22" xfId="47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180" fontId="5" fillId="0" borderId="19" xfId="47" applyNumberFormat="1" applyFont="1" applyBorder="1" applyAlignment="1">
      <alignment/>
    </xf>
    <xf numFmtId="177" fontId="2" fillId="34" borderId="30" xfId="0" applyNumberFormat="1" applyFont="1" applyFill="1" applyBorder="1" applyAlignment="1">
      <alignment/>
    </xf>
    <xf numFmtId="177" fontId="2" fillId="34" borderId="31" xfId="0" applyNumberFormat="1" applyFont="1" applyFill="1" applyBorder="1" applyAlignment="1">
      <alignment/>
    </xf>
    <xf numFmtId="177" fontId="2" fillId="34" borderId="29" xfId="0" applyNumberFormat="1" applyFont="1" applyFill="1" applyBorder="1" applyAlignment="1">
      <alignment/>
    </xf>
    <xf numFmtId="10" fontId="2" fillId="34" borderId="30" xfId="58" applyNumberFormat="1" applyFont="1" applyFill="1" applyBorder="1" applyAlignment="1">
      <alignment/>
    </xf>
    <xf numFmtId="10" fontId="5" fillId="34" borderId="30" xfId="58" applyNumberFormat="1" applyFont="1" applyFill="1" applyBorder="1" applyAlignment="1">
      <alignment/>
    </xf>
    <xf numFmtId="180" fontId="5" fillId="0" borderId="35" xfId="47" applyNumberFormat="1" applyFont="1" applyBorder="1" applyAlignment="1">
      <alignment/>
    </xf>
    <xf numFmtId="180" fontId="5" fillId="0" borderId="18" xfId="47" applyNumberFormat="1" applyFont="1" applyBorder="1" applyAlignment="1">
      <alignment/>
    </xf>
    <xf numFmtId="180" fontId="5" fillId="0" borderId="34" xfId="47" applyNumberFormat="1" applyFont="1" applyBorder="1" applyAlignment="1">
      <alignment/>
    </xf>
    <xf numFmtId="180" fontId="5" fillId="0" borderId="52" xfId="47" applyNumberFormat="1" applyFont="1" applyBorder="1" applyAlignment="1">
      <alignment/>
    </xf>
    <xf numFmtId="180" fontId="5" fillId="0" borderId="47" xfId="47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10" fontId="5" fillId="34" borderId="53" xfId="58" applyNumberFormat="1" applyFont="1" applyFill="1" applyBorder="1" applyAlignment="1">
      <alignment/>
    </xf>
    <xf numFmtId="0" fontId="2" fillId="0" borderId="52" xfId="0" applyNumberFormat="1" applyFont="1" applyBorder="1" applyAlignment="1">
      <alignment/>
    </xf>
    <xf numFmtId="0" fontId="2" fillId="0" borderId="47" xfId="0" applyNumberFormat="1" applyFont="1" applyBorder="1" applyAlignment="1">
      <alignment/>
    </xf>
    <xf numFmtId="0" fontId="2" fillId="34" borderId="53" xfId="0" applyNumberFormat="1" applyFont="1" applyFill="1" applyBorder="1" applyAlignment="1">
      <alignment/>
    </xf>
    <xf numFmtId="10" fontId="5" fillId="34" borderId="31" xfId="58" applyNumberFormat="1" applyFont="1" applyFill="1" applyBorder="1" applyAlignment="1">
      <alignment/>
    </xf>
    <xf numFmtId="180" fontId="5" fillId="0" borderId="22" xfId="47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0" fontId="5" fillId="34" borderId="30" xfId="0" applyNumberFormat="1" applyFont="1" applyFill="1" applyBorder="1" applyAlignment="1">
      <alignment/>
    </xf>
    <xf numFmtId="0" fontId="5" fillId="36" borderId="22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right" vertical="center" indent="2"/>
    </xf>
    <xf numFmtId="171" fontId="5" fillId="38" borderId="22" xfId="0" applyNumberFormat="1" applyFont="1" applyFill="1" applyBorder="1" applyAlignment="1">
      <alignment vertical="center"/>
    </xf>
    <xf numFmtId="180" fontId="2" fillId="0" borderId="22" xfId="47" applyNumberFormat="1" applyFont="1" applyFill="1" applyBorder="1" applyAlignment="1">
      <alignment/>
    </xf>
    <xf numFmtId="180" fontId="5" fillId="38" borderId="22" xfId="47" applyNumberFormat="1" applyFont="1" applyFill="1" applyBorder="1" applyAlignment="1">
      <alignment vertical="center"/>
    </xf>
    <xf numFmtId="180" fontId="5" fillId="38" borderId="22" xfId="0" applyNumberFormat="1" applyFont="1" applyFill="1" applyBorder="1" applyAlignment="1">
      <alignment vertical="center"/>
    </xf>
    <xf numFmtId="3" fontId="9" fillId="33" borderId="14" xfId="55" applyNumberFormat="1" applyFont="1" applyFill="1" applyBorder="1" applyAlignment="1">
      <alignment vertical="center"/>
      <protection/>
    </xf>
    <xf numFmtId="3" fontId="9" fillId="33" borderId="44" xfId="55" applyNumberFormat="1" applyFont="1" applyFill="1" applyBorder="1" applyAlignment="1">
      <alignment vertical="center"/>
      <protection/>
    </xf>
    <xf numFmtId="171" fontId="8" fillId="0" borderId="0" xfId="47" applyFont="1" applyAlignment="1">
      <alignment/>
    </xf>
    <xf numFmtId="3" fontId="0" fillId="37" borderId="54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 horizontal="right"/>
    </xf>
    <xf numFmtId="3" fontId="0" fillId="37" borderId="55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9" fillId="33" borderId="56" xfId="55" applyNumberFormat="1" applyFont="1" applyFill="1" applyBorder="1" applyAlignment="1">
      <alignment vertical="center"/>
      <protection/>
    </xf>
    <xf numFmtId="3" fontId="9" fillId="33" borderId="40" xfId="55" applyNumberFormat="1" applyFont="1" applyFill="1" applyBorder="1" applyAlignment="1">
      <alignment vertical="center"/>
      <protection/>
    </xf>
    <xf numFmtId="0" fontId="8" fillId="37" borderId="11" xfId="55" applyFont="1" applyFill="1" applyBorder="1" applyAlignment="1">
      <alignment horizontal="left" vertical="center"/>
      <protection/>
    </xf>
    <xf numFmtId="0" fontId="9" fillId="37" borderId="10" xfId="55" applyFont="1" applyFill="1" applyBorder="1" applyAlignment="1">
      <alignment vertical="center"/>
      <protection/>
    </xf>
    <xf numFmtId="0" fontId="9" fillId="37" borderId="55" xfId="55" applyFont="1" applyFill="1" applyBorder="1" applyAlignment="1">
      <alignment vertical="center"/>
      <protection/>
    </xf>
    <xf numFmtId="0" fontId="8" fillId="37" borderId="13" xfId="55" applyFont="1" applyFill="1" applyBorder="1" applyAlignment="1">
      <alignment vertical="center"/>
      <protection/>
    </xf>
    <xf numFmtId="0" fontId="8" fillId="37" borderId="57" xfId="55" applyFont="1" applyFill="1" applyBorder="1" applyAlignment="1">
      <alignment vertical="center"/>
      <protection/>
    </xf>
    <xf numFmtId="0" fontId="8" fillId="37" borderId="11" xfId="55" applyFont="1" applyFill="1" applyBorder="1" applyAlignment="1">
      <alignment vertical="center"/>
      <protection/>
    </xf>
    <xf numFmtId="0" fontId="8" fillId="37" borderId="38" xfId="55" applyFont="1" applyFill="1" applyBorder="1" applyAlignment="1">
      <alignment vertical="center"/>
      <protection/>
    </xf>
    <xf numFmtId="3" fontId="0" fillId="37" borderId="58" xfId="0" applyNumberFormat="1" applyFont="1" applyFill="1" applyBorder="1" applyAlignment="1">
      <alignment/>
    </xf>
    <xf numFmtId="3" fontId="0" fillId="37" borderId="38" xfId="0" applyNumberFormat="1" applyFont="1" applyFill="1" applyBorder="1" applyAlignment="1">
      <alignment/>
    </xf>
    <xf numFmtId="3" fontId="0" fillId="37" borderId="55" xfId="0" applyNumberFormat="1" applyFont="1" applyFill="1" applyBorder="1" applyAlignment="1">
      <alignment horizontal="right"/>
    </xf>
    <xf numFmtId="0" fontId="8" fillId="37" borderId="59" xfId="55" applyFont="1" applyFill="1" applyBorder="1" applyAlignment="1">
      <alignment vertical="center"/>
      <protection/>
    </xf>
    <xf numFmtId="3" fontId="8" fillId="0" borderId="0" xfId="0" applyNumberFormat="1" applyFont="1" applyAlignment="1">
      <alignment/>
    </xf>
    <xf numFmtId="3" fontId="9" fillId="33" borderId="42" xfId="55" applyNumberFormat="1" applyFont="1" applyFill="1" applyBorder="1" applyAlignment="1">
      <alignment vertical="center"/>
      <protection/>
    </xf>
    <xf numFmtId="3" fontId="9" fillId="33" borderId="37" xfId="55" applyNumberFormat="1" applyFont="1" applyFill="1" applyBorder="1" applyAlignment="1">
      <alignment vertical="center"/>
      <protection/>
    </xf>
    <xf numFmtId="0" fontId="8" fillId="37" borderId="60" xfId="55" applyFont="1" applyFill="1" applyBorder="1" applyAlignment="1">
      <alignment vertical="center"/>
      <protection/>
    </xf>
    <xf numFmtId="3" fontId="0" fillId="37" borderId="15" xfId="0" applyNumberFormat="1" applyFont="1" applyFill="1" applyBorder="1" applyAlignment="1">
      <alignment/>
    </xf>
    <xf numFmtId="3" fontId="0" fillId="37" borderId="11" xfId="0" applyNumberFormat="1" applyFont="1" applyFill="1" applyBorder="1" applyAlignment="1">
      <alignment/>
    </xf>
    <xf numFmtId="175" fontId="0" fillId="37" borderId="61" xfId="58" applyNumberFormat="1" applyFont="1" applyFill="1" applyBorder="1" applyAlignment="1">
      <alignment vertical="center"/>
    </xf>
    <xf numFmtId="175" fontId="0" fillId="37" borderId="0" xfId="58" applyNumberFormat="1" applyFont="1" applyFill="1" applyBorder="1" applyAlignment="1">
      <alignment vertical="center"/>
    </xf>
    <xf numFmtId="175" fontId="9" fillId="33" borderId="40" xfId="58" applyNumberFormat="1" applyFont="1" applyFill="1" applyBorder="1" applyAlignment="1">
      <alignment vertical="center"/>
    </xf>
    <xf numFmtId="175" fontId="8" fillId="0" borderId="0" xfId="58" applyNumberFormat="1" applyFont="1" applyAlignment="1">
      <alignment/>
    </xf>
    <xf numFmtId="175" fontId="0" fillId="37" borderId="54" xfId="58" applyNumberFormat="1" applyFont="1" applyFill="1" applyBorder="1" applyAlignment="1">
      <alignment vertical="center"/>
    </xf>
    <xf numFmtId="175" fontId="0" fillId="37" borderId="55" xfId="58" applyNumberFormat="1" applyFont="1" applyFill="1" applyBorder="1" applyAlignment="1">
      <alignment vertical="center"/>
    </xf>
    <xf numFmtId="175" fontId="9" fillId="33" borderId="39" xfId="58" applyNumberFormat="1" applyFont="1" applyFill="1" applyBorder="1" applyAlignment="1">
      <alignment vertical="center"/>
    </xf>
    <xf numFmtId="0" fontId="9" fillId="0" borderId="0" xfId="55" applyFont="1" applyFill="1" applyBorder="1" applyAlignment="1">
      <alignment horizontal="left" vertical="center"/>
      <protection/>
    </xf>
    <xf numFmtId="0" fontId="2" fillId="0" borderId="0" xfId="55" applyFont="1" applyAlignment="1">
      <alignment horizontal="left" vertical="center"/>
      <protection/>
    </xf>
    <xf numFmtId="0" fontId="5" fillId="0" borderId="0" xfId="0" applyFont="1" applyAlignment="1">
      <alignment horizontal="left"/>
    </xf>
    <xf numFmtId="0" fontId="5" fillId="0" borderId="0" xfId="55" applyFont="1" applyAlignment="1">
      <alignment vertical="center"/>
      <protection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3" fillId="38" borderId="22" xfId="0" applyFont="1" applyFill="1" applyBorder="1" applyAlignment="1">
      <alignment horizontal="right" vertical="center" indent="2"/>
    </xf>
    <xf numFmtId="0" fontId="3" fillId="38" borderId="22" xfId="0" applyFont="1" applyFill="1" applyBorder="1" applyAlignment="1">
      <alignment vertical="center"/>
    </xf>
    <xf numFmtId="0" fontId="2" fillId="0" borderId="50" xfId="0" applyFont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36" borderId="41" xfId="0" applyFont="1" applyFill="1" applyBorder="1" applyAlignment="1">
      <alignment horizontal="center" vertical="center" textRotation="90" wrapText="1"/>
    </xf>
    <xf numFmtId="0" fontId="5" fillId="36" borderId="42" xfId="0" applyFont="1" applyFill="1" applyBorder="1" applyAlignment="1">
      <alignment horizontal="center" vertical="center" textRotation="90" wrapText="1"/>
    </xf>
    <xf numFmtId="0" fontId="5" fillId="36" borderId="39" xfId="0" applyFont="1" applyFill="1" applyBorder="1" applyAlignment="1">
      <alignment horizontal="center" vertical="center" textRotation="90" wrapText="1"/>
    </xf>
    <xf numFmtId="0" fontId="5" fillId="36" borderId="56" xfId="0" applyFont="1" applyFill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7" fillId="0" borderId="11" xfId="0" applyFont="1" applyBorder="1" applyAlignment="1">
      <alignment wrapText="1"/>
    </xf>
    <xf numFmtId="3" fontId="5" fillId="0" borderId="65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5" fillId="0" borderId="64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65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64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 quotePrefix="1">
      <alignment horizontal="left" wrapText="1"/>
    </xf>
    <xf numFmtId="0" fontId="17" fillId="0" borderId="11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62" xfId="0" applyNumberFormat="1" applyFont="1" applyBorder="1" applyAlignment="1">
      <alignment/>
    </xf>
    <xf numFmtId="3" fontId="2" fillId="0" borderId="61" xfId="0" applyNumberFormat="1" applyFont="1" applyBorder="1" applyAlignment="1">
      <alignment/>
    </xf>
    <xf numFmtId="3" fontId="2" fillId="0" borderId="66" xfId="0" applyNumberFormat="1" applyFont="1" applyBorder="1" applyAlignment="1">
      <alignment/>
    </xf>
    <xf numFmtId="3" fontId="2" fillId="0" borderId="58" xfId="0" applyNumberFormat="1" applyFont="1" applyBorder="1" applyAlignment="1">
      <alignment/>
    </xf>
    <xf numFmtId="3" fontId="2" fillId="0" borderId="67" xfId="0" applyNumberFormat="1" applyFont="1" applyBorder="1" applyAlignment="1">
      <alignment/>
    </xf>
    <xf numFmtId="3" fontId="2" fillId="0" borderId="54" xfId="0" applyNumberFormat="1" applyFont="1" applyBorder="1" applyAlignment="1">
      <alignment/>
    </xf>
    <xf numFmtId="0" fontId="5" fillId="0" borderId="68" xfId="0" applyFont="1" applyBorder="1" applyAlignment="1">
      <alignment horizontal="center" wrapText="1"/>
    </xf>
    <xf numFmtId="3" fontId="5" fillId="0" borderId="69" xfId="0" applyNumberFormat="1" applyFont="1" applyBorder="1" applyAlignment="1">
      <alignment/>
    </xf>
    <xf numFmtId="3" fontId="5" fillId="0" borderId="70" xfId="0" applyNumberFormat="1" applyFont="1" applyBorder="1" applyAlignment="1">
      <alignment/>
    </xf>
    <xf numFmtId="3" fontId="5" fillId="0" borderId="71" xfId="0" applyNumberFormat="1" applyFont="1" applyBorder="1" applyAlignment="1">
      <alignment/>
    </xf>
    <xf numFmtId="3" fontId="5" fillId="0" borderId="72" xfId="0" applyNumberFormat="1" applyFont="1" applyBorder="1" applyAlignment="1">
      <alignment/>
    </xf>
    <xf numFmtId="3" fontId="5" fillId="0" borderId="73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0" fontId="5" fillId="0" borderId="37" xfId="0" applyFont="1" applyBorder="1" applyAlignment="1">
      <alignment horizontal="center" wrapText="1"/>
    </xf>
    <xf numFmtId="3" fontId="5" fillId="0" borderId="41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0" fontId="7" fillId="0" borderId="0" xfId="55" applyFont="1" applyAlignment="1">
      <alignment vertical="center"/>
      <protection/>
    </xf>
    <xf numFmtId="0" fontId="8" fillId="0" borderId="0" xfId="55" applyFont="1" applyAlignment="1">
      <alignment vertical="center"/>
      <protection/>
    </xf>
    <xf numFmtId="0" fontId="9" fillId="0" borderId="0" xfId="55" applyFont="1" applyAlignment="1">
      <alignment horizontal="center" vertical="center"/>
      <protection/>
    </xf>
    <xf numFmtId="0" fontId="8" fillId="0" borderId="11" xfId="55" applyFont="1" applyBorder="1" applyAlignment="1">
      <alignment horizontal="center" vertical="center"/>
      <protection/>
    </xf>
    <xf numFmtId="0" fontId="8" fillId="0" borderId="38" xfId="55" applyFont="1" applyBorder="1" applyAlignment="1">
      <alignment vertical="center"/>
      <protection/>
    </xf>
    <xf numFmtId="0" fontId="9" fillId="33" borderId="11" xfId="55" applyFont="1" applyFill="1" applyBorder="1" applyAlignment="1">
      <alignment horizontal="center" vertical="center"/>
      <protection/>
    </xf>
    <xf numFmtId="0" fontId="9" fillId="33" borderId="0" xfId="55" applyFont="1" applyFill="1" applyAlignment="1">
      <alignment vertical="center"/>
      <protection/>
    </xf>
    <xf numFmtId="0" fontId="9" fillId="33" borderId="37" xfId="55" applyFont="1" applyFill="1" applyBorder="1" applyAlignment="1">
      <alignment horizontal="center" vertical="center"/>
      <protection/>
    </xf>
    <xf numFmtId="0" fontId="9" fillId="33" borderId="40" xfId="55" applyFont="1" applyFill="1" applyBorder="1" applyAlignment="1">
      <alignment vertical="center"/>
      <protection/>
    </xf>
    <xf numFmtId="0" fontId="9" fillId="33" borderId="39" xfId="55" applyFont="1" applyFill="1" applyBorder="1" applyAlignment="1">
      <alignment vertical="center"/>
      <protection/>
    </xf>
    <xf numFmtId="0" fontId="8" fillId="0" borderId="0" xfId="55" applyFont="1" applyAlignment="1">
      <alignment horizontal="left" vertical="center"/>
      <protection/>
    </xf>
    <xf numFmtId="0" fontId="9" fillId="0" borderId="0" xfId="55" applyFont="1" applyAlignment="1">
      <alignment vertical="center"/>
      <protection/>
    </xf>
    <xf numFmtId="0" fontId="8" fillId="37" borderId="0" xfId="0" applyFont="1" applyFill="1" applyAlignment="1">
      <alignment/>
    </xf>
    <xf numFmtId="0" fontId="8" fillId="0" borderId="75" xfId="55" applyFont="1" applyBorder="1" applyAlignment="1">
      <alignment horizontal="left" vertical="center"/>
      <protection/>
    </xf>
    <xf numFmtId="0" fontId="9" fillId="0" borderId="21" xfId="55" applyFont="1" applyBorder="1" applyAlignment="1">
      <alignment vertical="center"/>
      <protection/>
    </xf>
    <xf numFmtId="0" fontId="9" fillId="0" borderId="23" xfId="55" applyFont="1" applyBorder="1" applyAlignment="1">
      <alignment vertical="center"/>
      <protection/>
    </xf>
    <xf numFmtId="0" fontId="8" fillId="0" borderId="11" xfId="55" applyFont="1" applyBorder="1" applyAlignment="1">
      <alignment horizontal="left" vertical="center"/>
      <protection/>
    </xf>
    <xf numFmtId="0" fontId="9" fillId="33" borderId="41" xfId="55" applyFont="1" applyFill="1" applyBorder="1" applyAlignment="1">
      <alignment vertical="center"/>
      <protection/>
    </xf>
    <xf numFmtId="0" fontId="9" fillId="33" borderId="44" xfId="55" applyFont="1" applyFill="1" applyBorder="1" applyAlignment="1">
      <alignment vertical="center"/>
      <protection/>
    </xf>
    <xf numFmtId="0" fontId="9" fillId="37" borderId="0" xfId="0" applyFont="1" applyFill="1" applyAlignment="1">
      <alignment/>
    </xf>
    <xf numFmtId="0" fontId="9" fillId="37" borderId="0" xfId="55" applyFont="1" applyFill="1" applyAlignment="1">
      <alignment vertical="center"/>
      <protection/>
    </xf>
    <xf numFmtId="0" fontId="9" fillId="36" borderId="15" xfId="0" applyFont="1" applyFill="1" applyBorder="1" applyAlignment="1">
      <alignment horizontal="center" vertical="center" textRotation="90" wrapText="1"/>
    </xf>
    <xf numFmtId="0" fontId="9" fillId="36" borderId="64" xfId="0" applyFont="1" applyFill="1" applyBorder="1" applyAlignment="1">
      <alignment horizontal="center" vertical="center" textRotation="90" wrapText="1"/>
    </xf>
    <xf numFmtId="0" fontId="9" fillId="36" borderId="63" xfId="0" applyFont="1" applyFill="1" applyBorder="1" applyAlignment="1">
      <alignment horizontal="center" vertical="center" textRotation="90" wrapText="1"/>
    </xf>
    <xf numFmtId="0" fontId="9" fillId="36" borderId="76" xfId="0" applyFont="1" applyFill="1" applyBorder="1" applyAlignment="1">
      <alignment horizontal="center" vertical="center" textRotation="90" wrapText="1"/>
    </xf>
    <xf numFmtId="0" fontId="9" fillId="36" borderId="62" xfId="0" applyFont="1" applyFill="1" applyBorder="1" applyAlignment="1">
      <alignment horizontal="center" vertical="center" textRotation="90" wrapText="1"/>
    </xf>
    <xf numFmtId="0" fontId="9" fillId="36" borderId="58" xfId="0" applyFont="1" applyFill="1" applyBorder="1" applyAlignment="1">
      <alignment horizontal="center" vertical="center" textRotation="90" wrapText="1"/>
    </xf>
    <xf numFmtId="0" fontId="9" fillId="36" borderId="11" xfId="0" applyFont="1" applyFill="1" applyBorder="1" applyAlignment="1">
      <alignment horizontal="center" vertical="center" textRotation="90" wrapText="1"/>
    </xf>
    <xf numFmtId="0" fontId="9" fillId="36" borderId="16" xfId="0" applyFont="1" applyFill="1" applyBorder="1" applyAlignment="1">
      <alignment horizontal="center"/>
    </xf>
    <xf numFmtId="0" fontId="9" fillId="36" borderId="77" xfId="0" applyFont="1" applyFill="1" applyBorder="1" applyAlignment="1">
      <alignment horizontal="center"/>
    </xf>
    <xf numFmtId="0" fontId="9" fillId="36" borderId="78" xfId="0" applyFont="1" applyFill="1" applyBorder="1" applyAlignment="1">
      <alignment horizontal="center"/>
    </xf>
    <xf numFmtId="0" fontId="9" fillId="36" borderId="78" xfId="0" applyFont="1" applyFill="1" applyBorder="1" applyAlignment="1" quotePrefix="1">
      <alignment horizontal="center"/>
    </xf>
    <xf numFmtId="0" fontId="9" fillId="36" borderId="59" xfId="0" applyFont="1" applyFill="1" applyBorder="1" applyAlignment="1" quotePrefix="1">
      <alignment horizontal="center"/>
    </xf>
    <xf numFmtId="0" fontId="9" fillId="36" borderId="79" xfId="0" applyFont="1" applyFill="1" applyBorder="1" applyAlignment="1" quotePrefix="1">
      <alignment horizontal="center"/>
    </xf>
    <xf numFmtId="0" fontId="9" fillId="36" borderId="80" xfId="0" applyFont="1" applyFill="1" applyBorder="1" applyAlignment="1" quotePrefix="1">
      <alignment horizontal="center"/>
    </xf>
    <xf numFmtId="0" fontId="9" fillId="36" borderId="80" xfId="0" applyFont="1" applyFill="1" applyBorder="1" applyAlignment="1">
      <alignment horizontal="center"/>
    </xf>
    <xf numFmtId="0" fontId="8" fillId="0" borderId="64" xfId="0" applyFont="1" applyBorder="1" applyAlignment="1">
      <alignment/>
    </xf>
    <xf numFmtId="0" fontId="8" fillId="0" borderId="65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8" fillId="0" borderId="80" xfId="0" applyFont="1" applyBorder="1" applyAlignment="1">
      <alignment/>
    </xf>
    <xf numFmtId="0" fontId="9" fillId="0" borderId="11" xfId="55" applyFont="1" applyBorder="1" applyAlignment="1">
      <alignment horizontal="left" vertical="center"/>
      <protection/>
    </xf>
    <xf numFmtId="0" fontId="9" fillId="0" borderId="38" xfId="55" applyFont="1" applyBorder="1" applyAlignment="1">
      <alignment horizontal="left" vertical="center"/>
      <protection/>
    </xf>
    <xf numFmtId="0" fontId="9" fillId="0" borderId="38" xfId="55" applyFont="1" applyBorder="1" applyAlignment="1">
      <alignment vertical="center"/>
      <protection/>
    </xf>
    <xf numFmtId="0" fontId="9" fillId="0" borderId="11" xfId="55" applyFont="1" applyBorder="1" applyAlignment="1">
      <alignment vertical="center"/>
      <protection/>
    </xf>
    <xf numFmtId="0" fontId="9" fillId="0" borderId="38" xfId="55" applyFont="1" applyBorder="1" applyAlignment="1">
      <alignment horizontal="center" vertical="center"/>
      <protection/>
    </xf>
    <xf numFmtId="0" fontId="9" fillId="0" borderId="16" xfId="55" applyFont="1" applyBorder="1" applyAlignment="1">
      <alignment horizontal="left" vertical="center"/>
      <protection/>
    </xf>
    <xf numFmtId="0" fontId="8" fillId="0" borderId="80" xfId="55" applyFont="1" applyBorder="1" applyAlignment="1">
      <alignment horizontal="center" vertical="center"/>
      <protection/>
    </xf>
    <xf numFmtId="0" fontId="8" fillId="0" borderId="11" xfId="55" applyFont="1" applyBorder="1" applyAlignment="1">
      <alignment vertical="center"/>
      <protection/>
    </xf>
    <xf numFmtId="0" fontId="9" fillId="33" borderId="16" xfId="55" applyFont="1" applyFill="1" applyBorder="1" applyAlignment="1">
      <alignment horizontal="center" vertical="center"/>
      <protection/>
    </xf>
    <xf numFmtId="0" fontId="9" fillId="33" borderId="13" xfId="55" applyFont="1" applyFill="1" applyBorder="1" applyAlignment="1">
      <alignment horizontal="center" vertical="center"/>
      <protection/>
    </xf>
    <xf numFmtId="0" fontId="9" fillId="33" borderId="37" xfId="55" applyFont="1" applyFill="1" applyBorder="1" applyAlignment="1">
      <alignment vertical="center"/>
      <protection/>
    </xf>
    <xf numFmtId="0" fontId="9" fillId="0" borderId="0" xfId="0" applyFont="1" applyAlignment="1">
      <alignment/>
    </xf>
    <xf numFmtId="49" fontId="18" fillId="0" borderId="0" xfId="54" applyNumberFormat="1" applyFont="1" applyAlignment="1" quotePrefix="1">
      <alignment horizontal="left" vertical="center"/>
      <protection/>
    </xf>
    <xf numFmtId="0" fontId="19" fillId="0" borderId="11" xfId="55" applyFont="1" applyBorder="1" applyAlignment="1">
      <alignment horizontal="center" vertical="center"/>
      <protection/>
    </xf>
    <xf numFmtId="0" fontId="9" fillId="0" borderId="0" xfId="55" applyFont="1" applyAlignment="1">
      <alignment horizontal="left" vertical="center"/>
      <protection/>
    </xf>
    <xf numFmtId="0" fontId="9" fillId="0" borderId="10" xfId="55" applyFont="1" applyBorder="1" applyAlignment="1">
      <alignment horizontal="left" vertical="center"/>
      <protection/>
    </xf>
    <xf numFmtId="0" fontId="8" fillId="0" borderId="11" xfId="55" applyFont="1" applyBorder="1" applyAlignment="1">
      <alignment horizontal="left" vertical="center" wrapText="1"/>
      <protection/>
    </xf>
    <xf numFmtId="0" fontId="8" fillId="0" borderId="38" xfId="55" applyFont="1" applyBorder="1" applyAlignment="1">
      <alignment horizontal="left" vertical="center" wrapText="1"/>
      <protection/>
    </xf>
    <xf numFmtId="0" fontId="8" fillId="0" borderId="11" xfId="55" applyFont="1" applyBorder="1" applyAlignment="1">
      <alignment horizontal="justify" vertical="center" wrapText="1"/>
      <protection/>
    </xf>
    <xf numFmtId="0" fontId="8" fillId="0" borderId="0" xfId="55" applyFont="1" applyAlignment="1">
      <alignment horizontal="left" vertical="center" wrapText="1"/>
      <protection/>
    </xf>
    <xf numFmtId="4" fontId="8" fillId="0" borderId="11" xfId="55" applyNumberFormat="1" applyFont="1" applyBorder="1" applyAlignment="1">
      <alignment horizontal="right" vertical="center" wrapText="1"/>
      <protection/>
    </xf>
    <xf numFmtId="0" fontId="8" fillId="0" borderId="11" xfId="55" applyFont="1" applyBorder="1" applyAlignment="1">
      <alignment horizontal="center" vertical="center" wrapText="1"/>
      <protection/>
    </xf>
    <xf numFmtId="14" fontId="8" fillId="0" borderId="38" xfId="55" applyNumberFormat="1" applyFont="1" applyBorder="1" applyAlignment="1">
      <alignment horizontal="center" vertical="center" wrapText="1"/>
      <protection/>
    </xf>
    <xf numFmtId="0" fontId="8" fillId="0" borderId="38" xfId="55" applyFont="1" applyBorder="1" applyAlignment="1">
      <alignment horizontal="center" vertical="center" wrapText="1"/>
      <protection/>
    </xf>
    <xf numFmtId="14" fontId="8" fillId="0" borderId="11" xfId="55" applyNumberFormat="1" applyFont="1" applyBorder="1" applyAlignment="1">
      <alignment horizontal="center" vertical="center" wrapText="1"/>
      <protection/>
    </xf>
    <xf numFmtId="4" fontId="9" fillId="0" borderId="10" xfId="55" applyNumberFormat="1" applyFont="1" applyBorder="1" applyAlignment="1">
      <alignment horizontal="right" vertical="center"/>
      <protection/>
    </xf>
    <xf numFmtId="0" fontId="9" fillId="33" borderId="40" xfId="55" applyFont="1" applyFill="1" applyBorder="1" applyAlignment="1">
      <alignment horizontal="center" vertical="center"/>
      <protection/>
    </xf>
    <xf numFmtId="4" fontId="9" fillId="33" borderId="14" xfId="55" applyNumberFormat="1" applyFont="1" applyFill="1" applyBorder="1" applyAlignment="1">
      <alignment horizontal="right" vertical="center"/>
      <protection/>
    </xf>
    <xf numFmtId="0" fontId="8" fillId="0" borderId="10" xfId="55" applyFont="1" applyBorder="1" applyAlignment="1">
      <alignment horizontal="center" vertical="center"/>
      <protection/>
    </xf>
    <xf numFmtId="4" fontId="8" fillId="0" borderId="15" xfId="55" applyNumberFormat="1" applyFont="1" applyBorder="1" applyAlignment="1">
      <alignment vertical="center"/>
      <protection/>
    </xf>
    <xf numFmtId="4" fontId="8" fillId="0" borderId="0" xfId="55" applyNumberFormat="1" applyFont="1" applyAlignment="1">
      <alignment vertical="center"/>
      <protection/>
    </xf>
    <xf numFmtId="0" fontId="8" fillId="0" borderId="38" xfId="55" applyFont="1" applyBorder="1" applyAlignment="1">
      <alignment horizontal="left" vertical="center"/>
      <protection/>
    </xf>
    <xf numFmtId="0" fontId="8" fillId="0" borderId="55" xfId="55" applyFont="1" applyBorder="1" applyAlignment="1">
      <alignment horizontal="left" vertical="center"/>
      <protection/>
    </xf>
    <xf numFmtId="0" fontId="8" fillId="0" borderId="11" xfId="55" applyFont="1" applyBorder="1" applyAlignment="1" quotePrefix="1">
      <alignment horizontal="center" vertical="center"/>
      <protection/>
    </xf>
    <xf numFmtId="4" fontId="8" fillId="0" borderId="11" xfId="55" applyNumberFormat="1" applyFont="1" applyBorder="1" applyAlignment="1">
      <alignment vertical="center"/>
      <protection/>
    </xf>
    <xf numFmtId="0" fontId="8" fillId="0" borderId="55" xfId="55" applyFont="1" applyBorder="1" applyAlignment="1">
      <alignment horizontal="left" vertical="center" wrapText="1"/>
      <protection/>
    </xf>
    <xf numFmtId="0" fontId="8" fillId="0" borderId="10" xfId="55" applyFont="1" applyBorder="1" applyAlignment="1" quotePrefix="1">
      <alignment horizontal="center" vertical="center"/>
      <protection/>
    </xf>
    <xf numFmtId="49" fontId="8" fillId="0" borderId="10" xfId="55" applyNumberFormat="1" applyFont="1" applyBorder="1" applyAlignment="1">
      <alignment horizontal="center" vertical="center"/>
      <protection/>
    </xf>
    <xf numFmtId="0" fontId="8" fillId="0" borderId="16" xfId="55" applyFont="1" applyBorder="1" applyAlignment="1">
      <alignment horizontal="left" vertical="center"/>
      <protection/>
    </xf>
    <xf numFmtId="0" fontId="8" fillId="0" borderId="16" xfId="55" applyFont="1" applyBorder="1" applyAlignment="1">
      <alignment horizontal="center" vertical="center"/>
      <protection/>
    </xf>
    <xf numFmtId="0" fontId="8" fillId="0" borderId="13" xfId="55" applyFont="1" applyBorder="1" applyAlignment="1">
      <alignment horizontal="center" vertical="center"/>
      <protection/>
    </xf>
    <xf numFmtId="0" fontId="8" fillId="0" borderId="16" xfId="55" applyFont="1" applyBorder="1" applyAlignment="1">
      <alignment vertical="center"/>
      <protection/>
    </xf>
    <xf numFmtId="0" fontId="8" fillId="0" borderId="55" xfId="55" applyFont="1" applyBorder="1" applyAlignment="1">
      <alignment vertical="center"/>
      <protection/>
    </xf>
    <xf numFmtId="4" fontId="9" fillId="33" borderId="37" xfId="55" applyNumberFormat="1" applyFont="1" applyFill="1" applyBorder="1" applyAlignment="1">
      <alignment vertical="center"/>
      <protection/>
    </xf>
    <xf numFmtId="0" fontId="9" fillId="33" borderId="78" xfId="55" applyFont="1" applyFill="1" applyBorder="1" applyAlignment="1">
      <alignment vertical="center"/>
      <protection/>
    </xf>
    <xf numFmtId="49" fontId="8" fillId="0" borderId="0" xfId="54" applyNumberFormat="1" applyFont="1" applyAlignment="1">
      <alignment horizontal="left" vertical="center"/>
      <protection/>
    </xf>
    <xf numFmtId="172" fontId="8" fillId="0" borderId="0" xfId="0" applyNumberFormat="1" applyFont="1" applyAlignment="1">
      <alignment/>
    </xf>
    <xf numFmtId="0" fontId="8" fillId="0" borderId="62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64" xfId="55" applyFont="1" applyBorder="1" applyAlignment="1">
      <alignment horizontal="left" vertical="center"/>
      <protection/>
    </xf>
    <xf numFmtId="0" fontId="8" fillId="0" borderId="63" xfId="0" applyFont="1" applyBorder="1" applyAlignment="1">
      <alignment/>
    </xf>
    <xf numFmtId="0" fontId="8" fillId="0" borderId="79" xfId="0" applyFont="1" applyBorder="1" applyAlignment="1">
      <alignment/>
    </xf>
    <xf numFmtId="0" fontId="9" fillId="0" borderId="41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76" xfId="55" applyFont="1" applyBorder="1" applyAlignment="1">
      <alignment horizontal="left" vertical="center"/>
      <protection/>
    </xf>
    <xf numFmtId="0" fontId="8" fillId="0" borderId="55" xfId="0" applyFont="1" applyBorder="1" applyAlignment="1">
      <alignment/>
    </xf>
    <xf numFmtId="0" fontId="8" fillId="0" borderId="76" xfId="0" applyFont="1" applyBorder="1" applyAlignment="1">
      <alignment/>
    </xf>
    <xf numFmtId="0" fontId="9" fillId="0" borderId="6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/>
    </xf>
    <xf numFmtId="0" fontId="8" fillId="0" borderId="43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37" xfId="0" applyFont="1" applyBorder="1" applyAlignment="1">
      <alignment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15" xfId="52" applyFont="1" applyBorder="1">
      <alignment/>
      <protection/>
    </xf>
    <xf numFmtId="3" fontId="8" fillId="0" borderId="0" xfId="52" applyNumberFormat="1" applyFont="1">
      <alignment/>
      <protection/>
    </xf>
    <xf numFmtId="3" fontId="8" fillId="0" borderId="11" xfId="52" applyNumberFormat="1" applyFont="1" applyBorder="1">
      <alignment/>
      <protection/>
    </xf>
    <xf numFmtId="0" fontId="8" fillId="0" borderId="11" xfId="52" applyFont="1" applyBorder="1">
      <alignment/>
      <protection/>
    </xf>
    <xf numFmtId="0" fontId="8" fillId="0" borderId="16" xfId="52" applyFont="1" applyBorder="1">
      <alignment/>
      <protection/>
    </xf>
    <xf numFmtId="0" fontId="9" fillId="0" borderId="13" xfId="52" applyFont="1" applyBorder="1" applyAlignment="1">
      <alignment horizontal="center"/>
      <protection/>
    </xf>
    <xf numFmtId="0" fontId="9" fillId="0" borderId="16" xfId="52" applyFont="1" applyBorder="1" applyAlignment="1">
      <alignment horizontal="center"/>
      <protection/>
    </xf>
    <xf numFmtId="0" fontId="8" fillId="0" borderId="40" xfId="52" applyFont="1" applyBorder="1">
      <alignment/>
      <protection/>
    </xf>
    <xf numFmtId="0" fontId="8" fillId="0" borderId="61" xfId="52" applyFont="1" applyBorder="1">
      <alignment/>
      <protection/>
    </xf>
    <xf numFmtId="0" fontId="8" fillId="0" borderId="0" xfId="52" applyFont="1" applyBorder="1">
      <alignment/>
      <protection/>
    </xf>
    <xf numFmtId="0" fontId="8" fillId="0" borderId="60" xfId="52" applyFont="1" applyBorder="1">
      <alignment/>
      <protection/>
    </xf>
    <xf numFmtId="3" fontId="8" fillId="0" borderId="15" xfId="52" applyNumberFormat="1" applyFont="1" applyBorder="1">
      <alignment/>
      <protection/>
    </xf>
    <xf numFmtId="0" fontId="0" fillId="0" borderId="11" xfId="0" applyFont="1" applyBorder="1" applyAlignment="1">
      <alignment horizontal="center"/>
    </xf>
    <xf numFmtId="3" fontId="8" fillId="0" borderId="0" xfId="52" applyNumberFormat="1" applyFont="1" applyBorder="1">
      <alignment/>
      <protection/>
    </xf>
    <xf numFmtId="4" fontId="0" fillId="0" borderId="11" xfId="0" applyNumberFormat="1" applyFont="1" applyBorder="1" applyAlignment="1">
      <alignment/>
    </xf>
    <xf numFmtId="4" fontId="9" fillId="0" borderId="37" xfId="52" applyNumberFormat="1" applyFont="1" applyBorder="1">
      <alignment/>
      <protection/>
    </xf>
    <xf numFmtId="0" fontId="9" fillId="36" borderId="37" xfId="55" applyFont="1" applyFill="1" applyBorder="1" applyAlignment="1">
      <alignment horizontal="center" vertical="center"/>
      <protection/>
    </xf>
    <xf numFmtId="0" fontId="9" fillId="36" borderId="37" xfId="55" applyFont="1" applyFill="1" applyBorder="1" applyAlignment="1">
      <alignment horizontal="center" vertical="center" wrapText="1"/>
      <protection/>
    </xf>
    <xf numFmtId="0" fontId="9" fillId="36" borderId="39" xfId="55" applyFont="1" applyFill="1" applyBorder="1" applyAlignment="1">
      <alignment horizontal="center" vertical="center" wrapText="1"/>
      <protection/>
    </xf>
    <xf numFmtId="0" fontId="9" fillId="36" borderId="14" xfId="55" applyFont="1" applyFill="1" applyBorder="1" applyAlignment="1">
      <alignment horizontal="center" vertical="center"/>
      <protection/>
    </xf>
    <xf numFmtId="0" fontId="9" fillId="36" borderId="37" xfId="52" applyFont="1" applyFill="1" applyBorder="1" applyAlignment="1">
      <alignment horizontal="center"/>
      <protection/>
    </xf>
    <xf numFmtId="0" fontId="9" fillId="36" borderId="14" xfId="52" applyFont="1" applyFill="1" applyBorder="1" applyAlignment="1">
      <alignment horizontal="center"/>
      <protection/>
    </xf>
    <xf numFmtId="0" fontId="9" fillId="36" borderId="37" xfId="52" applyFont="1" applyFill="1" applyBorder="1" applyAlignment="1">
      <alignment horizontal="center" wrapText="1"/>
      <protection/>
    </xf>
    <xf numFmtId="0" fontId="9" fillId="36" borderId="39" xfId="52" applyFont="1" applyFill="1" applyBorder="1" applyAlignment="1">
      <alignment horizontal="center"/>
      <protection/>
    </xf>
    <xf numFmtId="0" fontId="9" fillId="36" borderId="41" xfId="0" applyFont="1" applyFill="1" applyBorder="1" applyAlignment="1">
      <alignment horizontal="center" vertical="center" wrapText="1"/>
    </xf>
    <xf numFmtId="0" fontId="9" fillId="36" borderId="56" xfId="0" applyFont="1" applyFill="1" applyBorder="1" applyAlignment="1">
      <alignment horizontal="center" vertical="center" wrapText="1"/>
    </xf>
    <xf numFmtId="0" fontId="9" fillId="36" borderId="42" xfId="0" applyFont="1" applyFill="1" applyBorder="1" applyAlignment="1">
      <alignment horizontal="center" vertical="center" wrapText="1"/>
    </xf>
    <xf numFmtId="172" fontId="9" fillId="36" borderId="41" xfId="0" applyNumberFormat="1" applyFont="1" applyFill="1" applyBorder="1" applyAlignment="1">
      <alignment horizontal="center" vertical="center" textRotation="90" wrapText="1"/>
    </xf>
    <xf numFmtId="172" fontId="9" fillId="36" borderId="42" xfId="0" applyNumberFormat="1" applyFont="1" applyFill="1" applyBorder="1" applyAlignment="1">
      <alignment horizontal="center" vertical="center" textRotation="90" wrapText="1"/>
    </xf>
    <xf numFmtId="172" fontId="9" fillId="36" borderId="44" xfId="0" applyNumberFormat="1" applyFont="1" applyFill="1" applyBorder="1" applyAlignment="1">
      <alignment horizontal="center" vertical="center" textRotation="90" wrapText="1"/>
    </xf>
    <xf numFmtId="0" fontId="9" fillId="36" borderId="37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0" fontId="9" fillId="36" borderId="39" xfId="0" applyFont="1" applyFill="1" applyBorder="1" applyAlignment="1">
      <alignment horizontal="center" vertical="center" wrapText="1"/>
    </xf>
    <xf numFmtId="9" fontId="8" fillId="0" borderId="0" xfId="58" applyFont="1" applyAlignment="1">
      <alignment/>
    </xf>
    <xf numFmtId="0" fontId="9" fillId="36" borderId="15" xfId="55" applyFont="1" applyFill="1" applyBorder="1" applyAlignment="1">
      <alignment horizontal="center" vertical="center"/>
      <protection/>
    </xf>
    <xf numFmtId="0" fontId="9" fillId="36" borderId="40" xfId="0" applyFont="1" applyFill="1" applyBorder="1" applyAlignment="1">
      <alignment horizontal="center" vertical="center" wrapText="1"/>
    </xf>
    <xf numFmtId="0" fontId="9" fillId="36" borderId="41" xfId="0" applyFont="1" applyFill="1" applyBorder="1" applyAlignment="1">
      <alignment horizontal="center" vertical="center" wrapText="1"/>
    </xf>
    <xf numFmtId="0" fontId="9" fillId="36" borderId="42" xfId="0" applyFont="1" applyFill="1" applyBorder="1" applyAlignment="1">
      <alignment horizontal="center" vertical="center" wrapText="1"/>
    </xf>
    <xf numFmtId="0" fontId="9" fillId="36" borderId="44" xfId="0" applyFont="1" applyFill="1" applyBorder="1" applyAlignment="1">
      <alignment horizontal="center" vertical="center" wrapText="1"/>
    </xf>
    <xf numFmtId="0" fontId="61" fillId="37" borderId="0" xfId="0" applyFont="1" applyFill="1" applyAlignment="1">
      <alignment/>
    </xf>
    <xf numFmtId="0" fontId="40" fillId="37" borderId="0" xfId="0" applyFont="1" applyFill="1" applyAlignment="1">
      <alignment horizontal="left"/>
    </xf>
    <xf numFmtId="0" fontId="40" fillId="37" borderId="0" xfId="0" applyFont="1" applyFill="1" applyAlignment="1">
      <alignment/>
    </xf>
    <xf numFmtId="0" fontId="40" fillId="37" borderId="0" xfId="55" applyFont="1" applyFill="1" applyAlignment="1">
      <alignment vertical="center"/>
      <protection/>
    </xf>
    <xf numFmtId="0" fontId="38" fillId="0" borderId="81" xfId="0" applyFont="1" applyBorder="1" applyAlignment="1">
      <alignment vertical="top"/>
    </xf>
    <xf numFmtId="0" fontId="41" fillId="0" borderId="81" xfId="0" applyFont="1" applyBorder="1" applyAlignment="1">
      <alignment vertical="top" wrapText="1"/>
    </xf>
    <xf numFmtId="0" fontId="41" fillId="0" borderId="81" xfId="0" applyFont="1" applyBorder="1" applyAlignment="1">
      <alignment horizontal="left" vertical="top" wrapText="1"/>
    </xf>
    <xf numFmtId="0" fontId="38" fillId="0" borderId="82" xfId="0" applyFont="1" applyBorder="1" applyAlignment="1">
      <alignment horizontal="center" vertical="center" wrapText="1"/>
    </xf>
    <xf numFmtId="0" fontId="38" fillId="0" borderId="81" xfId="0" applyFont="1" applyBorder="1" applyAlignment="1">
      <alignment horizontal="center" vertical="center" wrapText="1"/>
    </xf>
    <xf numFmtId="0" fontId="42" fillId="0" borderId="82" xfId="0" applyFont="1" applyBorder="1" applyAlignment="1">
      <alignment horizontal="justify" vertical="center" wrapText="1"/>
    </xf>
    <xf numFmtId="0" fontId="38" fillId="0" borderId="81" xfId="0" applyFont="1" applyBorder="1" applyAlignment="1">
      <alignment horizontal="left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41" fillId="0" borderId="75" xfId="0" applyFont="1" applyBorder="1" applyAlignment="1">
      <alignment horizontal="left" vertical="top" wrapText="1"/>
    </xf>
    <xf numFmtId="0" fontId="38" fillId="0" borderId="83" xfId="0" applyFont="1" applyBorder="1" applyAlignment="1">
      <alignment horizontal="center" vertical="center" wrapText="1"/>
    </xf>
    <xf numFmtId="0" fontId="38" fillId="0" borderId="75" xfId="0" applyFont="1" applyBorder="1" applyAlignment="1">
      <alignment horizontal="center" vertical="center" wrapText="1"/>
    </xf>
    <xf numFmtId="0" fontId="42" fillId="0" borderId="83" xfId="0" applyFont="1" applyBorder="1" applyAlignment="1">
      <alignment horizontal="justify" vertical="center" wrapText="1"/>
    </xf>
    <xf numFmtId="0" fontId="38" fillId="0" borderId="75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justify" vertical="top"/>
    </xf>
    <xf numFmtId="0" fontId="38" fillId="0" borderId="29" xfId="0" applyFont="1" applyBorder="1" applyAlignment="1">
      <alignment horizontal="justify" vertical="top"/>
    </xf>
    <xf numFmtId="0" fontId="41" fillId="0" borderId="84" xfId="0" applyFont="1" applyBorder="1" applyAlignment="1">
      <alignment vertical="top" wrapText="1"/>
    </xf>
    <xf numFmtId="0" fontId="41" fillId="0" borderId="84" xfId="0" applyFont="1" applyBorder="1" applyAlignment="1">
      <alignment horizontal="left" vertical="top" wrapText="1"/>
    </xf>
    <xf numFmtId="0" fontId="38" fillId="0" borderId="85" xfId="0" applyFont="1" applyBorder="1" applyAlignment="1">
      <alignment horizontal="center" vertical="center" wrapText="1"/>
    </xf>
    <xf numFmtId="0" fontId="38" fillId="0" borderId="84" xfId="0" applyFont="1" applyBorder="1" applyAlignment="1">
      <alignment horizontal="center" vertical="center" wrapText="1"/>
    </xf>
    <xf numFmtId="0" fontId="42" fillId="0" borderId="85" xfId="0" applyFont="1" applyBorder="1" applyAlignment="1">
      <alignment horizontal="justify" vertical="center" wrapText="1"/>
    </xf>
    <xf numFmtId="0" fontId="38" fillId="0" borderId="84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28" borderId="40" xfId="0" applyFont="1" applyFill="1" applyBorder="1" applyAlignment="1">
      <alignment horizontal="center" vertical="center" wrapText="1"/>
    </xf>
    <xf numFmtId="0" fontId="38" fillId="28" borderId="37" xfId="0" applyFont="1" applyFill="1" applyBorder="1" applyAlignment="1">
      <alignment horizontal="center" vertical="center" wrapText="1"/>
    </xf>
    <xf numFmtId="0" fontId="38" fillId="28" borderId="79" xfId="0" applyFont="1" applyFill="1" applyBorder="1" applyAlignment="1">
      <alignment horizontal="center" vertical="center" wrapText="1"/>
    </xf>
    <xf numFmtId="0" fontId="38" fillId="28" borderId="57" xfId="0" applyFont="1" applyFill="1" applyBorder="1" applyAlignment="1">
      <alignment horizontal="center" vertical="center" wrapText="1"/>
    </xf>
    <xf numFmtId="0" fontId="38" fillId="28" borderId="60" xfId="0" applyFont="1" applyFill="1" applyBorder="1" applyAlignment="1">
      <alignment horizontal="center" vertical="center" wrapText="1"/>
    </xf>
    <xf numFmtId="0" fontId="38" fillId="28" borderId="16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37" borderId="0" xfId="0" applyFont="1" applyFill="1" applyAlignment="1">
      <alignment/>
    </xf>
    <xf numFmtId="0" fontId="8" fillId="0" borderId="12" xfId="55" applyFont="1" applyBorder="1" applyAlignment="1">
      <alignment vertical="center"/>
      <protection/>
    </xf>
    <xf numFmtId="0" fontId="8" fillId="0" borderId="61" xfId="55" applyFont="1" applyBorder="1" applyAlignment="1">
      <alignment vertical="center"/>
      <protection/>
    </xf>
    <xf numFmtId="0" fontId="8" fillId="0" borderId="58" xfId="55" applyFont="1" applyBorder="1" applyAlignment="1">
      <alignment vertical="center"/>
      <protection/>
    </xf>
    <xf numFmtId="0" fontId="9" fillId="33" borderId="10" xfId="55" applyFont="1" applyFill="1" applyBorder="1" applyAlignment="1">
      <alignment vertical="center"/>
      <protection/>
    </xf>
    <xf numFmtId="185" fontId="9" fillId="33" borderId="10" xfId="47" applyNumberFormat="1" applyFont="1" applyFill="1" applyBorder="1" applyAlignment="1">
      <alignment vertical="center"/>
    </xf>
    <xf numFmtId="185" fontId="9" fillId="33" borderId="38" xfId="47" applyNumberFormat="1" applyFont="1" applyFill="1" applyBorder="1" applyAlignment="1">
      <alignment vertical="center"/>
    </xf>
    <xf numFmtId="0" fontId="8" fillId="0" borderId="10" xfId="55" applyFont="1" applyBorder="1" applyAlignment="1">
      <alignment vertical="center"/>
      <protection/>
    </xf>
    <xf numFmtId="0" fontId="8" fillId="0" borderId="0" xfId="55" applyFont="1" applyAlignment="1">
      <alignment horizontal="center" vertical="center"/>
      <protection/>
    </xf>
    <xf numFmtId="185" fontId="8" fillId="0" borderId="10" xfId="47" applyNumberFormat="1" applyFont="1" applyBorder="1" applyAlignment="1">
      <alignment vertical="center"/>
    </xf>
    <xf numFmtId="185" fontId="8" fillId="0" borderId="38" xfId="47" applyNumberFormat="1" applyFont="1" applyBorder="1" applyAlignment="1">
      <alignment vertical="center"/>
    </xf>
    <xf numFmtId="0" fontId="0" fillId="0" borderId="10" xfId="0" applyBorder="1" applyAlignment="1">
      <alignment/>
    </xf>
    <xf numFmtId="185" fontId="0" fillId="0" borderId="10" xfId="47" applyNumberFormat="1" applyFont="1" applyBorder="1" applyAlignment="1">
      <alignment/>
    </xf>
    <xf numFmtId="185" fontId="0" fillId="0" borderId="38" xfId="47" applyNumberFormat="1" applyFont="1" applyBorder="1" applyAlignment="1">
      <alignment/>
    </xf>
    <xf numFmtId="3" fontId="9" fillId="33" borderId="10" xfId="55" applyNumberFormat="1" applyFont="1" applyFill="1" applyBorder="1" applyAlignment="1">
      <alignment vertical="center"/>
      <protection/>
    </xf>
    <xf numFmtId="3" fontId="9" fillId="33" borderId="38" xfId="55" applyNumberFormat="1" applyFont="1" applyFill="1" applyBorder="1" applyAlignment="1">
      <alignment vertical="center"/>
      <protection/>
    </xf>
    <xf numFmtId="1" fontId="9" fillId="33" borderId="0" xfId="55" applyNumberFormat="1" applyFont="1" applyFill="1" applyAlignment="1">
      <alignment vertical="center"/>
      <protection/>
    </xf>
    <xf numFmtId="3" fontId="8" fillId="0" borderId="10" xfId="55" applyNumberFormat="1" applyFont="1" applyBorder="1" applyAlignment="1">
      <alignment vertical="center"/>
      <protection/>
    </xf>
    <xf numFmtId="3" fontId="8" fillId="0" borderId="38" xfId="55" applyNumberFormat="1" applyFont="1" applyBorder="1" applyAlignment="1">
      <alignment vertical="center"/>
      <protection/>
    </xf>
    <xf numFmtId="0" fontId="8" fillId="37" borderId="11" xfId="55" applyFont="1" applyFill="1" applyBorder="1" applyAlignment="1">
      <alignment horizontal="center" vertical="center"/>
      <protection/>
    </xf>
    <xf numFmtId="0" fontId="8" fillId="37" borderId="80" xfId="55" applyFont="1" applyFill="1" applyBorder="1" applyAlignment="1">
      <alignment vertical="center"/>
      <protection/>
    </xf>
    <xf numFmtId="0" fontId="8" fillId="37" borderId="0" xfId="55" applyFont="1" applyFill="1" applyAlignment="1">
      <alignment vertical="center"/>
      <protection/>
    </xf>
    <xf numFmtId="185" fontId="9" fillId="33" borderId="37" xfId="55" applyNumberFormat="1" applyFont="1" applyFill="1" applyBorder="1" applyAlignment="1">
      <alignment vertical="center"/>
      <protection/>
    </xf>
    <xf numFmtId="185" fontId="9" fillId="33" borderId="39" xfId="55" applyNumberFormat="1" applyFont="1" applyFill="1" applyBorder="1" applyAlignment="1">
      <alignment vertical="center"/>
      <protection/>
    </xf>
    <xf numFmtId="185" fontId="9" fillId="33" borderId="14" xfId="55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0" fontId="8" fillId="0" borderId="81" xfId="55" applyFont="1" applyBorder="1" applyAlignment="1">
      <alignment horizontal="left" vertical="center"/>
      <protection/>
    </xf>
    <xf numFmtId="0" fontId="8" fillId="0" borderId="36" xfId="55" applyFont="1" applyBorder="1" applyAlignment="1">
      <alignment horizontal="center" vertical="center"/>
      <protection/>
    </xf>
    <xf numFmtId="3" fontId="8" fillId="0" borderId="82" xfId="55" applyNumberFormat="1" applyFont="1" applyBorder="1" applyAlignment="1">
      <alignment horizontal="right" vertical="center"/>
      <protection/>
    </xf>
    <xf numFmtId="3" fontId="8" fillId="37" borderId="33" xfId="55" applyNumberFormat="1" applyFont="1" applyFill="1" applyBorder="1" applyAlignment="1">
      <alignment horizontal="center" vertical="center"/>
      <protection/>
    </xf>
    <xf numFmtId="3" fontId="8" fillId="37" borderId="86" xfId="55" applyNumberFormat="1" applyFont="1" applyFill="1" applyBorder="1" applyAlignment="1">
      <alignment horizontal="right" vertical="center"/>
      <protection/>
    </xf>
    <xf numFmtId="3" fontId="8" fillId="37" borderId="23" xfId="55" applyNumberFormat="1" applyFont="1" applyFill="1" applyBorder="1" applyAlignment="1">
      <alignment vertical="center"/>
      <protection/>
    </xf>
    <xf numFmtId="3" fontId="8" fillId="0" borderId="33" xfId="55" applyNumberFormat="1" applyFont="1" applyBorder="1" applyAlignment="1">
      <alignment vertical="center"/>
      <protection/>
    </xf>
    <xf numFmtId="3" fontId="8" fillId="0" borderId="35" xfId="55" applyNumberFormat="1" applyFont="1" applyBorder="1" applyAlignment="1">
      <alignment vertical="center"/>
      <protection/>
    </xf>
    <xf numFmtId="0" fontId="8" fillId="0" borderId="24" xfId="0" applyFont="1" applyBorder="1" applyAlignment="1">
      <alignment horizontal="center"/>
    </xf>
    <xf numFmtId="3" fontId="8" fillId="0" borderId="47" xfId="0" applyNumberFormat="1" applyFont="1" applyBorder="1" applyAlignment="1">
      <alignment/>
    </xf>
    <xf numFmtId="0" fontId="8" fillId="37" borderId="21" xfId="0" applyFont="1" applyFill="1" applyBorder="1" applyAlignment="1">
      <alignment horizontal="center"/>
    </xf>
    <xf numFmtId="3" fontId="8" fillId="37" borderId="23" xfId="0" applyNumberFormat="1" applyFont="1" applyFill="1" applyBorder="1" applyAlignment="1">
      <alignment/>
    </xf>
    <xf numFmtId="0" fontId="8" fillId="0" borderId="24" xfId="55" applyFont="1" applyBorder="1" applyAlignment="1">
      <alignment horizontal="center" vertical="center"/>
      <protection/>
    </xf>
    <xf numFmtId="3" fontId="8" fillId="0" borderId="47" xfId="55" applyNumberFormat="1" applyFont="1" applyBorder="1" applyAlignment="1">
      <alignment vertical="center"/>
      <protection/>
    </xf>
    <xf numFmtId="0" fontId="8" fillId="37" borderId="21" xfId="55" applyFont="1" applyFill="1" applyBorder="1" applyAlignment="1">
      <alignment horizontal="center" vertical="center"/>
      <protection/>
    </xf>
    <xf numFmtId="3" fontId="8" fillId="37" borderId="21" xfId="55" applyNumberFormat="1" applyFont="1" applyFill="1" applyBorder="1" applyAlignment="1">
      <alignment horizontal="center" vertical="center"/>
      <protection/>
    </xf>
    <xf numFmtId="3" fontId="9" fillId="0" borderId="23" xfId="55" applyNumberFormat="1" applyFont="1" applyBorder="1" applyAlignment="1">
      <alignment vertical="center"/>
      <protection/>
    </xf>
    <xf numFmtId="0" fontId="8" fillId="37" borderId="21" xfId="55" applyFont="1" applyFill="1" applyBorder="1" applyAlignment="1">
      <alignment vertical="center"/>
      <protection/>
    </xf>
    <xf numFmtId="3" fontId="9" fillId="33" borderId="39" xfId="55" applyNumberFormat="1" applyFont="1" applyFill="1" applyBorder="1" applyAlignment="1">
      <alignment vertical="center"/>
      <protection/>
    </xf>
    <xf numFmtId="0" fontId="9" fillId="36" borderId="44" xfId="55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/>
    </xf>
    <xf numFmtId="185" fontId="8" fillId="0" borderId="64" xfId="47" applyNumberFormat="1" applyFont="1" applyBorder="1" applyAlignment="1">
      <alignment/>
    </xf>
    <xf numFmtId="185" fontId="8" fillId="0" borderId="0" xfId="47" applyNumberFormat="1" applyFont="1" applyAlignment="1">
      <alignment/>
    </xf>
    <xf numFmtId="185" fontId="8" fillId="0" borderId="65" xfId="47" applyNumberFormat="1" applyFont="1" applyBorder="1" applyAlignment="1">
      <alignment/>
    </xf>
    <xf numFmtId="185" fontId="8" fillId="0" borderId="38" xfId="47" applyNumberFormat="1" applyFont="1" applyBorder="1" applyAlignment="1">
      <alignment/>
    </xf>
    <xf numFmtId="0" fontId="9" fillId="0" borderId="37" xfId="0" applyFont="1" applyBorder="1" applyAlignment="1">
      <alignment horizontal="center"/>
    </xf>
    <xf numFmtId="185" fontId="9" fillId="0" borderId="56" xfId="0" applyNumberFormat="1" applyFont="1" applyBorder="1" applyAlignment="1">
      <alignment/>
    </xf>
    <xf numFmtId="185" fontId="9" fillId="0" borderId="42" xfId="0" applyNumberFormat="1" applyFont="1" applyBorder="1" applyAlignment="1">
      <alignment/>
    </xf>
    <xf numFmtId="185" fontId="9" fillId="0" borderId="43" xfId="0" applyNumberFormat="1" applyFont="1" applyBorder="1" applyAlignment="1">
      <alignment/>
    </xf>
    <xf numFmtId="185" fontId="9" fillId="0" borderId="41" xfId="0" applyNumberFormat="1" applyFont="1" applyBorder="1" applyAlignment="1">
      <alignment/>
    </xf>
    <xf numFmtId="185" fontId="9" fillId="0" borderId="39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2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textRotation="90" wrapText="1"/>
    </xf>
    <xf numFmtId="0" fontId="8" fillId="0" borderId="0" xfId="0" applyFont="1" applyAlignment="1">
      <alignment horizontal="center" vertical="center"/>
    </xf>
    <xf numFmtId="0" fontId="21" fillId="0" borderId="22" xfId="0" applyFont="1" applyBorder="1" applyAlignment="1">
      <alignment vertical="center" wrapText="1"/>
    </xf>
    <xf numFmtId="0" fontId="21" fillId="0" borderId="22" xfId="0" applyFont="1" applyBorder="1" applyAlignment="1">
      <alignment vertical="center"/>
    </xf>
    <xf numFmtId="4" fontId="21" fillId="0" borderId="22" xfId="0" applyNumberFormat="1" applyFont="1" applyBorder="1" applyAlignment="1">
      <alignment vertical="center"/>
    </xf>
    <xf numFmtId="0" fontId="21" fillId="0" borderId="22" xfId="53" applyFont="1" applyBorder="1" applyAlignment="1">
      <alignment horizontal="center" vertical="center"/>
      <protection/>
    </xf>
    <xf numFmtId="0" fontId="21" fillId="0" borderId="22" xfId="53" applyFont="1" applyBorder="1" applyAlignment="1">
      <alignment vertical="center" wrapText="1"/>
      <protection/>
    </xf>
    <xf numFmtId="0" fontId="21" fillId="0" borderId="22" xfId="53" applyFont="1" applyBorder="1" applyAlignment="1">
      <alignment horizontal="center" vertical="center" wrapText="1"/>
      <protection/>
    </xf>
    <xf numFmtId="4" fontId="21" fillId="0" borderId="22" xfId="0" applyNumberFormat="1" applyFont="1" applyBorder="1" applyAlignment="1">
      <alignment horizontal="center" vertical="center"/>
    </xf>
    <xf numFmtId="0" fontId="62" fillId="0" borderId="22" xfId="53" applyFont="1" applyBorder="1" applyAlignment="1">
      <alignment horizontal="center" vertical="center"/>
      <protection/>
    </xf>
    <xf numFmtId="49" fontId="21" fillId="0" borderId="22" xfId="53" applyNumberFormat="1" applyFont="1" applyBorder="1" applyAlignment="1">
      <alignment horizontal="center" vertical="center"/>
      <protection/>
    </xf>
    <xf numFmtId="0" fontId="21" fillId="0" borderId="22" xfId="0" applyFont="1" applyBorder="1" applyAlignment="1">
      <alignment horizontal="center" vertical="center"/>
    </xf>
    <xf numFmtId="0" fontId="21" fillId="0" borderId="22" xfId="53" applyFont="1" applyBorder="1" applyAlignment="1">
      <alignment horizontal="left" vertical="center" wrapText="1"/>
      <protection/>
    </xf>
    <xf numFmtId="0" fontId="21" fillId="0" borderId="0" xfId="0" applyFont="1" applyAlignment="1">
      <alignment/>
    </xf>
    <xf numFmtId="49" fontId="21" fillId="0" borderId="22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5" fillId="37" borderId="0" xfId="0" applyFont="1" applyFill="1" applyAlignment="1">
      <alignment horizontal="left"/>
    </xf>
    <xf numFmtId="0" fontId="5" fillId="37" borderId="0" xfId="55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0" borderId="0" xfId="52" applyFont="1">
      <alignment/>
      <protection/>
    </xf>
    <xf numFmtId="0" fontId="5" fillId="0" borderId="0" xfId="0" applyFont="1" applyAlignment="1">
      <alignment vertical="center"/>
    </xf>
    <xf numFmtId="10" fontId="0" fillId="0" borderId="0" xfId="58" applyNumberFormat="1" applyFont="1" applyAlignment="1">
      <alignment/>
    </xf>
    <xf numFmtId="171" fontId="0" fillId="0" borderId="0" xfId="47" applyFont="1" applyAlignment="1">
      <alignment/>
    </xf>
    <xf numFmtId="0" fontId="0" fillId="0" borderId="0" xfId="0" applyFont="1" applyAlignment="1">
      <alignment/>
    </xf>
    <xf numFmtId="15" fontId="9" fillId="36" borderId="15" xfId="55" applyNumberFormat="1" applyFont="1" applyFill="1" applyBorder="1" applyAlignment="1">
      <alignment horizontal="center" vertical="center" wrapText="1"/>
      <protection/>
    </xf>
    <xf numFmtId="0" fontId="9" fillId="36" borderId="15" xfId="55" applyFont="1" applyFill="1" applyBorder="1" applyAlignment="1">
      <alignment horizontal="center" vertical="center" wrapText="1"/>
      <protection/>
    </xf>
    <xf numFmtId="0" fontId="9" fillId="36" borderId="38" xfId="55" applyFont="1" applyFill="1" applyBorder="1" applyAlignment="1">
      <alignment horizontal="center" vertical="center" wrapText="1"/>
      <protection/>
    </xf>
    <xf numFmtId="0" fontId="9" fillId="36" borderId="80" xfId="55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vertical="center"/>
      <protection/>
    </xf>
    <xf numFmtId="0" fontId="5" fillId="24" borderId="37" xfId="55" applyFont="1" applyFill="1" applyBorder="1" applyAlignment="1">
      <alignment horizontal="center" vertical="center"/>
      <protection/>
    </xf>
    <xf numFmtId="0" fontId="5" fillId="24" borderId="81" xfId="55" applyFont="1" applyFill="1" applyBorder="1" applyAlignment="1">
      <alignment horizontal="center" vertical="center" wrapText="1"/>
      <protection/>
    </xf>
    <xf numFmtId="0" fontId="2" fillId="24" borderId="41" xfId="55" applyFont="1" applyFill="1" applyBorder="1" applyAlignment="1">
      <alignment horizontal="center" vertical="center" textRotation="90" wrapText="1"/>
      <protection/>
    </xf>
    <xf numFmtId="0" fontId="2" fillId="24" borderId="56" xfId="55" applyFont="1" applyFill="1" applyBorder="1" applyAlignment="1">
      <alignment horizontal="center" vertical="center" textRotation="90" wrapText="1"/>
      <protection/>
    </xf>
    <xf numFmtId="0" fontId="2" fillId="24" borderId="42" xfId="55" applyFont="1" applyFill="1" applyBorder="1" applyAlignment="1">
      <alignment horizontal="center" vertical="center" textRotation="90" wrapText="1"/>
      <protection/>
    </xf>
    <xf numFmtId="0" fontId="5" fillId="24" borderId="44" xfId="55" applyFont="1" applyFill="1" applyBorder="1" applyAlignment="1">
      <alignment horizontal="center" vertical="center" textRotation="90" wrapText="1"/>
      <protection/>
    </xf>
    <xf numFmtId="0" fontId="5" fillId="24" borderId="14" xfId="55" applyFont="1" applyFill="1" applyBorder="1" applyAlignment="1">
      <alignment horizontal="center" vertical="center" textRotation="90" wrapText="1"/>
      <protection/>
    </xf>
    <xf numFmtId="0" fontId="9" fillId="33" borderId="0" xfId="55" applyFont="1" applyFill="1" applyBorder="1" applyAlignment="1">
      <alignment vertical="center"/>
      <protection/>
    </xf>
    <xf numFmtId="0" fontId="9" fillId="33" borderId="0" xfId="55" applyFont="1" applyFill="1" applyBorder="1" applyAlignment="1">
      <alignment horizontal="center" vertical="center"/>
      <protection/>
    </xf>
    <xf numFmtId="0" fontId="8" fillId="0" borderId="0" xfId="55" applyFont="1" applyBorder="1" applyAlignment="1">
      <alignment vertical="center"/>
      <protection/>
    </xf>
    <xf numFmtId="0" fontId="8" fillId="0" borderId="0" xfId="55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37" borderId="0" xfId="0" applyFill="1" applyAlignment="1">
      <alignment/>
    </xf>
    <xf numFmtId="0" fontId="0" fillId="37" borderId="47" xfId="0" applyFont="1" applyFill="1" applyBorder="1" applyAlignment="1">
      <alignment horizontal="left" vertical="center" wrapText="1"/>
    </xf>
    <xf numFmtId="0" fontId="0" fillId="37" borderId="83" xfId="0" applyFont="1" applyFill="1" applyBorder="1" applyAlignment="1">
      <alignment horizontal="left" vertical="center" wrapText="1"/>
    </xf>
    <xf numFmtId="0" fontId="0" fillId="37" borderId="24" xfId="0" applyFont="1" applyFill="1" applyBorder="1" applyAlignment="1">
      <alignment horizontal="left" vertical="center" wrapText="1"/>
    </xf>
    <xf numFmtId="0" fontId="38" fillId="28" borderId="15" xfId="0" applyFont="1" applyFill="1" applyBorder="1" applyAlignment="1">
      <alignment horizontal="center" vertical="center" wrapText="1"/>
    </xf>
    <xf numFmtId="0" fontId="38" fillId="28" borderId="16" xfId="0" applyFont="1" applyFill="1" applyBorder="1" applyAlignment="1">
      <alignment horizontal="center" vertical="center" wrapText="1"/>
    </xf>
    <xf numFmtId="0" fontId="38" fillId="28" borderId="14" xfId="0" applyFont="1" applyFill="1" applyBorder="1" applyAlignment="1">
      <alignment horizontal="center" vertical="center" wrapText="1"/>
    </xf>
    <xf numFmtId="0" fontId="38" fillId="28" borderId="39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63" fillId="37" borderId="0" xfId="0" applyFont="1" applyFill="1" applyAlignment="1">
      <alignment horizontal="center"/>
    </xf>
    <xf numFmtId="0" fontId="38" fillId="28" borderId="62" xfId="0" applyFont="1" applyFill="1" applyBorder="1" applyAlignment="1">
      <alignment horizontal="center" vertical="center" wrapText="1"/>
    </xf>
    <xf numFmtId="0" fontId="38" fillId="28" borderId="79" xfId="0" applyFont="1" applyFill="1" applyBorder="1" applyAlignment="1">
      <alignment horizontal="center" vertical="center" wrapText="1"/>
    </xf>
    <xf numFmtId="0" fontId="38" fillId="28" borderId="61" xfId="0" applyFont="1" applyFill="1" applyBorder="1" applyAlignment="1">
      <alignment horizontal="center" vertical="center" wrapText="1"/>
    </xf>
    <xf numFmtId="0" fontId="38" fillId="28" borderId="60" xfId="0" applyFont="1" applyFill="1" applyBorder="1" applyAlignment="1">
      <alignment horizontal="center" vertical="center" wrapText="1"/>
    </xf>
    <xf numFmtId="49" fontId="5" fillId="36" borderId="15" xfId="56" applyNumberFormat="1" applyFont="1" applyFill="1" applyBorder="1" applyAlignment="1" applyProtection="1">
      <alignment horizontal="center" vertical="center" wrapText="1"/>
      <protection/>
    </xf>
    <xf numFmtId="49" fontId="5" fillId="36" borderId="16" xfId="56" applyNumberFormat="1" applyFont="1" applyFill="1" applyBorder="1" applyAlignment="1" applyProtection="1">
      <alignment horizontal="center" vertical="center" wrapText="1"/>
      <protection/>
    </xf>
    <xf numFmtId="49" fontId="5" fillId="36" borderId="12" xfId="56" applyFont="1" applyFill="1" applyBorder="1" applyAlignment="1">
      <alignment horizontal="center" vertical="center" wrapText="1"/>
      <protection/>
    </xf>
    <xf numFmtId="49" fontId="5" fillId="36" borderId="61" xfId="56" applyFont="1" applyFill="1" applyBorder="1" applyAlignment="1">
      <alignment horizontal="center" vertical="center" wrapText="1"/>
      <protection/>
    </xf>
    <xf numFmtId="49" fontId="5" fillId="36" borderId="58" xfId="56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wrapText="1"/>
    </xf>
    <xf numFmtId="0" fontId="5" fillId="36" borderId="61" xfId="0" applyFont="1" applyFill="1" applyBorder="1" applyAlignment="1">
      <alignment horizontal="center" wrapText="1"/>
    </xf>
    <xf numFmtId="0" fontId="5" fillId="36" borderId="14" xfId="0" applyFont="1" applyFill="1" applyBorder="1" applyAlignment="1">
      <alignment horizontal="center" wrapText="1"/>
    </xf>
    <xf numFmtId="0" fontId="5" fillId="36" borderId="40" xfId="0" applyFont="1" applyFill="1" applyBorder="1" applyAlignment="1">
      <alignment horizontal="center" wrapText="1"/>
    </xf>
    <xf numFmtId="0" fontId="5" fillId="36" borderId="39" xfId="0" applyFont="1" applyFill="1" applyBorder="1" applyAlignment="1">
      <alignment horizontal="center" wrapText="1"/>
    </xf>
    <xf numFmtId="3" fontId="16" fillId="0" borderId="1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16" fillId="0" borderId="38" xfId="0" applyNumberFormat="1" applyFont="1" applyBorder="1" applyAlignment="1">
      <alignment horizontal="center"/>
    </xf>
    <xf numFmtId="0" fontId="38" fillId="36" borderId="14" xfId="0" applyFont="1" applyFill="1" applyBorder="1" applyAlignment="1">
      <alignment horizontal="center"/>
    </xf>
    <xf numFmtId="0" fontId="38" fillId="36" borderId="39" xfId="0" applyFont="1" applyFill="1" applyBorder="1" applyAlignment="1">
      <alignment horizontal="center"/>
    </xf>
    <xf numFmtId="0" fontId="38" fillId="36" borderId="37" xfId="0" applyFont="1" applyFill="1" applyBorder="1" applyAlignment="1">
      <alignment horizontal="center"/>
    </xf>
    <xf numFmtId="0" fontId="38" fillId="36" borderId="40" xfId="0" applyFont="1" applyFill="1" applyBorder="1" applyAlignment="1">
      <alignment horizontal="center"/>
    </xf>
    <xf numFmtId="0" fontId="38" fillId="36" borderId="37" xfId="0" applyFont="1" applyFill="1" applyBorder="1" applyAlignment="1">
      <alignment horizontal="center" vertical="center"/>
    </xf>
    <xf numFmtId="0" fontId="38" fillId="36" borderId="16" xfId="0" applyFont="1" applyFill="1" applyBorder="1" applyAlignment="1">
      <alignment horizontal="center" vertical="center"/>
    </xf>
    <xf numFmtId="49" fontId="9" fillId="36" borderId="18" xfId="56" applyFont="1" applyFill="1" applyBorder="1" applyAlignment="1">
      <alignment horizontal="center" vertical="center" wrapText="1"/>
      <protection/>
    </xf>
    <xf numFmtId="49" fontId="9" fillId="36" borderId="19" xfId="56" applyFont="1" applyFill="1" applyBorder="1" applyAlignment="1">
      <alignment horizontal="center" vertical="center" wrapText="1"/>
      <protection/>
    </xf>
    <xf numFmtId="0" fontId="9" fillId="36" borderId="15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49" fontId="9" fillId="36" borderId="20" xfId="56" applyFont="1" applyFill="1" applyBorder="1" applyAlignment="1">
      <alignment horizontal="center" vertical="center"/>
      <protection/>
    </xf>
    <xf numFmtId="49" fontId="9" fillId="36" borderId="18" xfId="56" applyFont="1" applyFill="1" applyBorder="1" applyAlignment="1">
      <alignment horizontal="center" vertical="center"/>
      <protection/>
    </xf>
    <xf numFmtId="49" fontId="9" fillId="36" borderId="19" xfId="56" applyFont="1" applyFill="1" applyBorder="1" applyAlignment="1">
      <alignment horizontal="center" vertical="center"/>
      <protection/>
    </xf>
    <xf numFmtId="49" fontId="9" fillId="36" borderId="20" xfId="56" applyFont="1" applyFill="1" applyBorder="1" applyAlignment="1">
      <alignment horizontal="center" vertical="center" wrapText="1"/>
      <protection/>
    </xf>
    <xf numFmtId="49" fontId="9" fillId="36" borderId="17" xfId="56" applyFont="1" applyFill="1" applyBorder="1" applyAlignment="1">
      <alignment horizontal="center" vertical="center" wrapText="1"/>
      <protection/>
    </xf>
    <xf numFmtId="0" fontId="9" fillId="36" borderId="15" xfId="0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5" fillId="24" borderId="12" xfId="55" applyFont="1" applyFill="1" applyBorder="1" applyAlignment="1">
      <alignment horizontal="center" vertical="center"/>
      <protection/>
    </xf>
    <xf numFmtId="0" fontId="5" fillId="24" borderId="61" xfId="55" applyFont="1" applyFill="1" applyBorder="1" applyAlignment="1">
      <alignment horizontal="center" vertical="center"/>
      <protection/>
    </xf>
    <xf numFmtId="0" fontId="5" fillId="24" borderId="58" xfId="55" applyFont="1" applyFill="1" applyBorder="1" applyAlignment="1">
      <alignment horizontal="center" vertical="center"/>
      <protection/>
    </xf>
    <xf numFmtId="0" fontId="9" fillId="36" borderId="61" xfId="55" applyFont="1" applyFill="1" applyBorder="1" applyAlignment="1">
      <alignment horizontal="center" vertical="center"/>
      <protection/>
    </xf>
    <xf numFmtId="0" fontId="9" fillId="36" borderId="14" xfId="55" applyFont="1" applyFill="1" applyBorder="1" applyAlignment="1">
      <alignment horizontal="center" vertical="center"/>
      <protection/>
    </xf>
    <xf numFmtId="0" fontId="9" fillId="36" borderId="40" xfId="55" applyFont="1" applyFill="1" applyBorder="1" applyAlignment="1">
      <alignment horizontal="center" vertical="center"/>
      <protection/>
    </xf>
    <xf numFmtId="0" fontId="9" fillId="36" borderId="39" xfId="55" applyFont="1" applyFill="1" applyBorder="1" applyAlignment="1">
      <alignment horizontal="center" vertical="center"/>
      <protection/>
    </xf>
    <xf numFmtId="0" fontId="5" fillId="37" borderId="0" xfId="0" applyFont="1" applyFill="1" applyBorder="1" applyAlignment="1">
      <alignment horizontal="left" vertical="center" wrapText="1"/>
    </xf>
    <xf numFmtId="0" fontId="9" fillId="36" borderId="14" xfId="0" applyFont="1" applyFill="1" applyBorder="1" applyAlignment="1">
      <alignment horizontal="center" wrapText="1"/>
    </xf>
    <xf numFmtId="0" fontId="9" fillId="36" borderId="39" xfId="0" applyFont="1" applyFill="1" applyBorder="1" applyAlignment="1">
      <alignment horizontal="center" wrapText="1"/>
    </xf>
    <xf numFmtId="0" fontId="9" fillId="36" borderId="11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9" fillId="36" borderId="40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9" fillId="36" borderId="39" xfId="0" applyFont="1" applyFill="1" applyBorder="1" applyAlignment="1">
      <alignment horizontal="center"/>
    </xf>
    <xf numFmtId="0" fontId="9" fillId="36" borderId="12" xfId="55" applyFont="1" applyFill="1" applyBorder="1" applyAlignment="1">
      <alignment horizontal="center" vertical="center" wrapText="1"/>
      <protection/>
    </xf>
    <xf numFmtId="0" fontId="9" fillId="36" borderId="14" xfId="55" applyFont="1" applyFill="1" applyBorder="1" applyAlignment="1">
      <alignment horizontal="center" vertical="center" wrapText="1"/>
      <protection/>
    </xf>
    <xf numFmtId="0" fontId="9" fillId="36" borderId="20" xfId="55" applyFont="1" applyFill="1" applyBorder="1" applyAlignment="1">
      <alignment horizontal="center" vertical="center" wrapText="1"/>
      <protection/>
    </xf>
    <xf numFmtId="0" fontId="9" fillId="36" borderId="29" xfId="55" applyFont="1" applyFill="1" applyBorder="1" applyAlignment="1">
      <alignment horizontal="center" vertical="center" wrapText="1"/>
      <protection/>
    </xf>
    <xf numFmtId="0" fontId="9" fillId="36" borderId="52" xfId="55" applyFont="1" applyFill="1" applyBorder="1" applyAlignment="1">
      <alignment horizontal="center" vertical="center" wrapText="1"/>
      <protection/>
    </xf>
    <xf numFmtId="0" fontId="9" fillId="36" borderId="53" xfId="55" applyFont="1" applyFill="1" applyBorder="1" applyAlignment="1">
      <alignment horizontal="center" vertical="center" wrapText="1"/>
      <protection/>
    </xf>
    <xf numFmtId="0" fontId="9" fillId="36" borderId="19" xfId="55" applyFont="1" applyFill="1" applyBorder="1" applyAlignment="1">
      <alignment horizontal="center" vertical="center" wrapText="1"/>
      <protection/>
    </xf>
    <xf numFmtId="0" fontId="9" fillId="36" borderId="31" xfId="55" applyFont="1" applyFill="1" applyBorder="1" applyAlignment="1">
      <alignment horizontal="center" vertical="center" wrapText="1"/>
      <protection/>
    </xf>
    <xf numFmtId="0" fontId="9" fillId="36" borderId="87" xfId="55" applyFont="1" applyFill="1" applyBorder="1" applyAlignment="1">
      <alignment horizontal="center" vertical="center" wrapText="1"/>
      <protection/>
    </xf>
    <xf numFmtId="0" fontId="9" fillId="36" borderId="88" xfId="55" applyFont="1" applyFill="1" applyBorder="1" applyAlignment="1">
      <alignment horizontal="center" vertical="center" wrapText="1"/>
      <protection/>
    </xf>
    <xf numFmtId="0" fontId="9" fillId="36" borderId="45" xfId="55" applyFont="1" applyFill="1" applyBorder="1" applyAlignment="1">
      <alignment horizontal="center" vertical="center" wrapText="1"/>
      <protection/>
    </xf>
    <xf numFmtId="0" fontId="9" fillId="36" borderId="17" xfId="55" applyFont="1" applyFill="1" applyBorder="1" applyAlignment="1">
      <alignment horizontal="center" vertical="center" wrapText="1"/>
      <protection/>
    </xf>
    <xf numFmtId="0" fontId="9" fillId="36" borderId="32" xfId="55" applyFont="1" applyFill="1" applyBorder="1" applyAlignment="1">
      <alignment horizontal="center" vertical="center" wrapText="1"/>
      <protection/>
    </xf>
    <xf numFmtId="0" fontId="2" fillId="0" borderId="61" xfId="55" applyFont="1" applyBorder="1" applyAlignment="1">
      <alignment horizontal="justify" vertical="center" wrapText="1"/>
      <protection/>
    </xf>
    <xf numFmtId="0" fontId="9" fillId="36" borderId="15" xfId="55" applyFont="1" applyFill="1" applyBorder="1" applyAlignment="1">
      <alignment horizontal="center" vertical="center" wrapText="1"/>
      <protection/>
    </xf>
    <xf numFmtId="0" fontId="9" fillId="36" borderId="37" xfId="55" applyFont="1" applyFill="1" applyBorder="1" applyAlignment="1">
      <alignment horizontal="center" vertical="center" wrapText="1"/>
      <protection/>
    </xf>
    <xf numFmtId="0" fontId="9" fillId="36" borderId="16" xfId="55" applyFont="1" applyFill="1" applyBorder="1" applyAlignment="1">
      <alignment horizontal="center" vertical="center" wrapText="1"/>
      <protection/>
    </xf>
    <xf numFmtId="0" fontId="9" fillId="36" borderId="37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center" vertical="center"/>
      <protection/>
    </xf>
    <xf numFmtId="0" fontId="9" fillId="36" borderId="14" xfId="52" applyFont="1" applyFill="1" applyBorder="1" applyAlignment="1">
      <alignment horizontal="center"/>
      <protection/>
    </xf>
    <xf numFmtId="0" fontId="9" fillId="36" borderId="40" xfId="52" applyFont="1" applyFill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9" fillId="36" borderId="14" xfId="0" applyFont="1" applyFill="1" applyBorder="1" applyAlignment="1">
      <alignment horizontal="center" vertical="center" wrapText="1"/>
    </xf>
    <xf numFmtId="0" fontId="9" fillId="36" borderId="40" xfId="0" applyFont="1" applyFill="1" applyBorder="1" applyAlignment="1">
      <alignment horizontal="center" vertical="center" wrapText="1"/>
    </xf>
    <xf numFmtId="0" fontId="9" fillId="36" borderId="39" xfId="0" applyFont="1" applyFill="1" applyBorder="1" applyAlignment="1">
      <alignment horizontal="center" vertical="center" wrapText="1"/>
    </xf>
    <xf numFmtId="172" fontId="9" fillId="36" borderId="14" xfId="0" applyNumberFormat="1" applyFont="1" applyFill="1" applyBorder="1" applyAlignment="1">
      <alignment horizontal="center" vertical="center" wrapText="1"/>
    </xf>
    <xf numFmtId="172" fontId="9" fillId="36" borderId="40" xfId="0" applyNumberFormat="1" applyFont="1" applyFill="1" applyBorder="1" applyAlignment="1">
      <alignment horizontal="center" vertical="center" wrapText="1"/>
    </xf>
    <xf numFmtId="172" fontId="9" fillId="36" borderId="39" xfId="0" applyNumberFormat="1" applyFont="1" applyFill="1" applyBorder="1" applyAlignment="1">
      <alignment horizontal="center" vertical="center" wrapText="1"/>
    </xf>
    <xf numFmtId="0" fontId="9" fillId="36" borderId="41" xfId="0" applyFont="1" applyFill="1" applyBorder="1" applyAlignment="1">
      <alignment horizontal="center" vertical="center" wrapText="1"/>
    </xf>
    <xf numFmtId="0" fontId="9" fillId="36" borderId="42" xfId="0" applyFont="1" applyFill="1" applyBorder="1" applyAlignment="1">
      <alignment horizontal="center" vertical="center" wrapText="1"/>
    </xf>
    <xf numFmtId="0" fontId="9" fillId="36" borderId="44" xfId="0" applyFont="1" applyFill="1" applyBorder="1" applyAlignment="1">
      <alignment horizontal="center" vertical="center" wrapText="1"/>
    </xf>
    <xf numFmtId="0" fontId="9" fillId="36" borderId="58" xfId="0" applyFont="1" applyFill="1" applyBorder="1" applyAlignment="1">
      <alignment horizontal="center" vertical="center" wrapText="1"/>
    </xf>
    <xf numFmtId="0" fontId="9" fillId="36" borderId="8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_ESTR98" xfId="54"/>
    <cellStyle name="Normal_PLAZAS98" xfId="55"/>
    <cellStyle name="Normal_SPGG9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4"/>
  <sheetViews>
    <sheetView view="pageLayout" zoomScale="98" zoomScaleSheetLayoutView="100" zoomScalePageLayoutView="98" workbookViewId="0" topLeftCell="A76">
      <selection activeCell="B83" sqref="B83"/>
    </sheetView>
  </sheetViews>
  <sheetFormatPr defaultColWidth="11.421875" defaultRowHeight="12.75"/>
  <cols>
    <col min="1" max="1" width="19.8515625" style="46" customWidth="1"/>
    <col min="2" max="2" width="69.8515625" style="47" customWidth="1"/>
    <col min="3" max="5" width="8.7109375" style="46" customWidth="1"/>
    <col min="6" max="16384" width="11.421875" style="46" customWidth="1"/>
  </cols>
  <sheetData>
    <row r="1" spans="1:256" s="45" customFormat="1" ht="15.75">
      <c r="A1" s="43" t="s">
        <v>153</v>
      </c>
      <c r="B1" s="4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</row>
    <row r="2" spans="3:6" ht="12.75">
      <c r="C2" s="48"/>
      <c r="D2" s="48"/>
      <c r="E2" s="52"/>
      <c r="F2" s="51"/>
    </row>
    <row r="3" spans="1:6" ht="12.75">
      <c r="A3" s="49" t="s">
        <v>173</v>
      </c>
      <c r="E3" s="51"/>
      <c r="F3" s="51"/>
    </row>
    <row r="4" spans="5:6" ht="12.75">
      <c r="E4" s="51"/>
      <c r="F4" s="51"/>
    </row>
    <row r="5" spans="1:6" s="129" customFormat="1" ht="27" customHeight="1">
      <c r="A5" s="133" t="s">
        <v>155</v>
      </c>
      <c r="B5" s="580" t="s">
        <v>154</v>
      </c>
      <c r="C5" s="581"/>
      <c r="D5" s="581"/>
      <c r="E5" s="582"/>
      <c r="F5" s="130"/>
    </row>
    <row r="6" spans="1:6" ht="12.75">
      <c r="A6" s="49"/>
      <c r="B6" s="128"/>
      <c r="C6" s="129"/>
      <c r="D6" s="129"/>
      <c r="E6" s="130"/>
      <c r="F6" s="51"/>
    </row>
    <row r="7" spans="1:6" ht="12.75">
      <c r="A7" s="49" t="s">
        <v>174</v>
      </c>
      <c r="B7" s="128"/>
      <c r="C7" s="129"/>
      <c r="D7" s="129"/>
      <c r="E7" s="130"/>
      <c r="F7" s="51"/>
    </row>
    <row r="8" spans="1:6" ht="12.75">
      <c r="A8" s="49"/>
      <c r="B8" s="128"/>
      <c r="C8" s="129"/>
      <c r="D8" s="129"/>
      <c r="E8" s="130"/>
      <c r="F8" s="51"/>
    </row>
    <row r="9" spans="1:6" s="129" customFormat="1" ht="27" customHeight="1">
      <c r="A9" s="133" t="s">
        <v>156</v>
      </c>
      <c r="B9" s="580" t="s">
        <v>197</v>
      </c>
      <c r="C9" s="581"/>
      <c r="D9" s="581"/>
      <c r="E9" s="582"/>
      <c r="F9" s="130"/>
    </row>
    <row r="10" spans="1:6" s="129" customFormat="1" ht="27" customHeight="1">
      <c r="A10" s="133" t="s">
        <v>157</v>
      </c>
      <c r="B10" s="580" t="s">
        <v>198</v>
      </c>
      <c r="C10" s="581"/>
      <c r="D10" s="581"/>
      <c r="E10" s="582"/>
      <c r="F10" s="130"/>
    </row>
    <row r="11" spans="1:6" s="129" customFormat="1" ht="27" customHeight="1">
      <c r="A11" s="133" t="s">
        <v>158</v>
      </c>
      <c r="B11" s="580" t="s">
        <v>199</v>
      </c>
      <c r="C11" s="581"/>
      <c r="D11" s="581"/>
      <c r="E11" s="582"/>
      <c r="F11" s="130"/>
    </row>
    <row r="12" spans="1:6" s="129" customFormat="1" ht="27" customHeight="1">
      <c r="A12" s="133" t="s">
        <v>159</v>
      </c>
      <c r="B12" s="580" t="s">
        <v>200</v>
      </c>
      <c r="C12" s="581"/>
      <c r="D12" s="581"/>
      <c r="E12" s="582"/>
      <c r="F12" s="130"/>
    </row>
    <row r="13" spans="1:6" s="129" customFormat="1" ht="27" customHeight="1">
      <c r="A13" s="133" t="s">
        <v>160</v>
      </c>
      <c r="B13" s="580" t="s">
        <v>201</v>
      </c>
      <c r="C13" s="581"/>
      <c r="D13" s="581"/>
      <c r="E13" s="582"/>
      <c r="F13" s="130"/>
    </row>
    <row r="14" spans="1:6" s="129" customFormat="1" ht="27" customHeight="1">
      <c r="A14" s="133" t="s">
        <v>161</v>
      </c>
      <c r="B14" s="580" t="s">
        <v>202</v>
      </c>
      <c r="C14" s="581"/>
      <c r="D14" s="581"/>
      <c r="E14" s="582"/>
      <c r="F14" s="130"/>
    </row>
    <row r="15" spans="1:6" s="129" customFormat="1" ht="27" customHeight="1">
      <c r="A15" s="133" t="s">
        <v>162</v>
      </c>
      <c r="B15" s="580" t="s">
        <v>203</v>
      </c>
      <c r="C15" s="581"/>
      <c r="D15" s="581"/>
      <c r="E15" s="582"/>
      <c r="F15" s="130"/>
    </row>
    <row r="16" spans="1:6" ht="12.75">
      <c r="A16" s="49"/>
      <c r="B16" s="128"/>
      <c r="C16" s="129"/>
      <c r="D16" s="129"/>
      <c r="E16" s="130"/>
      <c r="F16" s="51"/>
    </row>
    <row r="17" spans="1:6" ht="12.75">
      <c r="A17" s="49" t="s">
        <v>175</v>
      </c>
      <c r="B17" s="128"/>
      <c r="C17" s="129"/>
      <c r="D17" s="129"/>
      <c r="E17" s="130"/>
      <c r="F17" s="51"/>
    </row>
    <row r="18" spans="1:6" ht="12.75">
      <c r="A18" s="49"/>
      <c r="B18" s="128"/>
      <c r="C18" s="129"/>
      <c r="D18" s="129"/>
      <c r="E18" s="130"/>
      <c r="F18" s="51"/>
    </row>
    <row r="19" spans="1:6" s="129" customFormat="1" ht="27" customHeight="1">
      <c r="A19" s="133" t="s">
        <v>163</v>
      </c>
      <c r="B19" s="580" t="s">
        <v>204</v>
      </c>
      <c r="C19" s="581"/>
      <c r="D19" s="581"/>
      <c r="E19" s="582"/>
      <c r="F19" s="130"/>
    </row>
    <row r="20" spans="1:6" s="129" customFormat="1" ht="27" customHeight="1">
      <c r="A20" s="133" t="s">
        <v>164</v>
      </c>
      <c r="B20" s="580" t="s">
        <v>205</v>
      </c>
      <c r="C20" s="581"/>
      <c r="D20" s="581"/>
      <c r="E20" s="582"/>
      <c r="F20" s="130"/>
    </row>
    <row r="21" spans="1:6" s="129" customFormat="1" ht="27" customHeight="1">
      <c r="A21" s="133" t="s">
        <v>165</v>
      </c>
      <c r="B21" s="580" t="s">
        <v>206</v>
      </c>
      <c r="C21" s="581"/>
      <c r="D21" s="581"/>
      <c r="E21" s="582"/>
      <c r="F21" s="130"/>
    </row>
    <row r="22" spans="1:6" ht="12.75">
      <c r="A22" s="49"/>
      <c r="B22" s="128"/>
      <c r="C22" s="129"/>
      <c r="D22" s="129"/>
      <c r="E22" s="130"/>
      <c r="F22" s="51"/>
    </row>
    <row r="23" spans="1:6" ht="12.75">
      <c r="A23" s="49" t="s">
        <v>176</v>
      </c>
      <c r="B23" s="128"/>
      <c r="C23" s="129"/>
      <c r="D23" s="129"/>
      <c r="E23" s="130"/>
      <c r="F23" s="51"/>
    </row>
    <row r="24" spans="1:6" ht="12.75">
      <c r="A24" s="49"/>
      <c r="B24" s="128"/>
      <c r="C24" s="129"/>
      <c r="D24" s="129"/>
      <c r="E24" s="130"/>
      <c r="F24" s="51"/>
    </row>
    <row r="25" spans="1:6" s="129" customFormat="1" ht="27" customHeight="1">
      <c r="A25" s="133" t="s">
        <v>166</v>
      </c>
      <c r="B25" s="580" t="s">
        <v>207</v>
      </c>
      <c r="C25" s="581"/>
      <c r="D25" s="581"/>
      <c r="E25" s="582"/>
      <c r="F25" s="130"/>
    </row>
    <row r="26" spans="1:6" s="129" customFormat="1" ht="27" customHeight="1">
      <c r="A26" s="133" t="s">
        <v>167</v>
      </c>
      <c r="B26" s="580" t="s">
        <v>208</v>
      </c>
      <c r="C26" s="581"/>
      <c r="D26" s="581"/>
      <c r="E26" s="582"/>
      <c r="F26" s="130"/>
    </row>
    <row r="27" spans="1:6" s="129" customFormat="1" ht="27" customHeight="1">
      <c r="A27" s="133" t="s">
        <v>168</v>
      </c>
      <c r="B27" s="580" t="s">
        <v>209</v>
      </c>
      <c r="C27" s="581"/>
      <c r="D27" s="581"/>
      <c r="E27" s="582"/>
      <c r="F27" s="130"/>
    </row>
    <row r="28" spans="1:6" s="129" customFormat="1" ht="27" customHeight="1">
      <c r="A28" s="133" t="s">
        <v>169</v>
      </c>
      <c r="B28" s="580" t="s">
        <v>210</v>
      </c>
      <c r="C28" s="581"/>
      <c r="D28" s="581"/>
      <c r="E28" s="582"/>
      <c r="F28" s="130"/>
    </row>
    <row r="29" spans="1:6" s="129" customFormat="1" ht="27" customHeight="1">
      <c r="A29" s="133" t="s">
        <v>170</v>
      </c>
      <c r="B29" s="580" t="s">
        <v>211</v>
      </c>
      <c r="C29" s="581"/>
      <c r="D29" s="581"/>
      <c r="E29" s="582"/>
      <c r="F29" s="130"/>
    </row>
    <row r="30" spans="1:6" ht="12.75">
      <c r="A30" s="49"/>
      <c r="B30" s="128"/>
      <c r="C30" s="129"/>
      <c r="D30" s="129"/>
      <c r="E30" s="130"/>
      <c r="F30" s="51"/>
    </row>
    <row r="31" spans="1:6" ht="12.75">
      <c r="A31" s="49" t="s">
        <v>12</v>
      </c>
      <c r="B31" s="128"/>
      <c r="C31" s="129"/>
      <c r="D31" s="129"/>
      <c r="E31" s="130"/>
      <c r="F31" s="51"/>
    </row>
    <row r="32" spans="1:6" ht="12.75">
      <c r="A32" s="49"/>
      <c r="B32" s="128"/>
      <c r="C32" s="129"/>
      <c r="D32" s="129"/>
      <c r="E32" s="130"/>
      <c r="F32" s="51"/>
    </row>
    <row r="33" spans="1:6" s="129" customFormat="1" ht="27" customHeight="1">
      <c r="A33" s="133" t="s">
        <v>171</v>
      </c>
      <c r="B33" s="580" t="s">
        <v>212</v>
      </c>
      <c r="C33" s="581"/>
      <c r="D33" s="581"/>
      <c r="E33" s="582"/>
      <c r="F33" s="130"/>
    </row>
    <row r="34" spans="1:6" s="129" customFormat="1" ht="27" customHeight="1">
      <c r="A34" s="133" t="s">
        <v>172</v>
      </c>
      <c r="B34" s="580" t="s">
        <v>213</v>
      </c>
      <c r="C34" s="581"/>
      <c r="D34" s="581"/>
      <c r="E34" s="582"/>
      <c r="F34" s="130"/>
    </row>
  </sheetData>
  <sheetProtection/>
  <mergeCells count="18">
    <mergeCell ref="B33:E33"/>
    <mergeCell ref="B34:E34"/>
    <mergeCell ref="B9:E9"/>
    <mergeCell ref="B10:E10"/>
    <mergeCell ref="B11:E11"/>
    <mergeCell ref="B15:E15"/>
    <mergeCell ref="B21:E21"/>
    <mergeCell ref="B25:E25"/>
    <mergeCell ref="B26:E26"/>
    <mergeCell ref="B27:E27"/>
    <mergeCell ref="B28:E28"/>
    <mergeCell ref="B29:E29"/>
    <mergeCell ref="B20:E20"/>
    <mergeCell ref="B5:E5"/>
    <mergeCell ref="B12:E12"/>
    <mergeCell ref="B13:E13"/>
    <mergeCell ref="B14:E14"/>
    <mergeCell ref="B19:E19"/>
  </mergeCells>
  <printOptions/>
  <pageMargins left="0.8203125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&amp;C&amp;"Arial,Negrita"&amp;18FORMATOS DEL 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X46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0.13671875" style="0" customWidth="1"/>
    <col min="2" max="2" width="42.00390625" style="0" customWidth="1"/>
    <col min="3" max="3" width="5.8515625" style="0" customWidth="1"/>
    <col min="4" max="4" width="9.28125" style="0" customWidth="1"/>
    <col min="5" max="5" width="8.7109375" style="0" customWidth="1"/>
    <col min="6" max="7" width="8.00390625" style="0" customWidth="1"/>
    <col min="8" max="9" width="8.28125" style="0" customWidth="1"/>
    <col min="10" max="10" width="6.28125" style="0" customWidth="1"/>
    <col min="11" max="11" width="5.421875" style="0" customWidth="1"/>
    <col min="12" max="12" width="10.8515625" style="0" customWidth="1"/>
    <col min="13" max="13" width="12.421875" style="0" customWidth="1"/>
    <col min="14" max="14" width="7.28125" style="0" customWidth="1"/>
    <col min="15" max="15" width="10.7109375" style="0" customWidth="1"/>
    <col min="16" max="16" width="9.00390625" style="0" customWidth="1"/>
    <col min="17" max="17" width="10.00390625" style="0" customWidth="1"/>
    <col min="21" max="21" width="5.140625" style="0" customWidth="1"/>
    <col min="22" max="22" width="6.57421875" style="0" customWidth="1"/>
  </cols>
  <sheetData>
    <row r="2" spans="2:24" ht="23.25">
      <c r="B2" s="631" t="s">
        <v>245</v>
      </c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</row>
    <row r="4" spans="2:24" ht="15.75">
      <c r="B4" s="565" t="s">
        <v>289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</row>
    <row r="5" spans="2:24" ht="15.75">
      <c r="B5" s="309" t="s">
        <v>422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</row>
    <row r="6" spans="2:24" ht="13.5" thickBot="1"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1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1"/>
    </row>
    <row r="7" spans="2:24" ht="13.5" thickBot="1">
      <c r="B7" s="566" t="s">
        <v>290</v>
      </c>
      <c r="C7" s="632" t="s">
        <v>291</v>
      </c>
      <c r="D7" s="633"/>
      <c r="E7" s="633"/>
      <c r="F7" s="633"/>
      <c r="G7" s="633"/>
      <c r="H7" s="633"/>
      <c r="I7" s="633"/>
      <c r="J7" s="633"/>
      <c r="K7" s="633"/>
      <c r="L7" s="633"/>
      <c r="M7" s="634"/>
      <c r="N7" s="632" t="s">
        <v>292</v>
      </c>
      <c r="O7" s="633"/>
      <c r="P7" s="633"/>
      <c r="Q7" s="633"/>
      <c r="R7" s="633"/>
      <c r="S7" s="633"/>
      <c r="T7" s="633"/>
      <c r="U7" s="633"/>
      <c r="V7" s="633"/>
      <c r="W7" s="633"/>
      <c r="X7" s="634"/>
    </row>
    <row r="8" spans="2:24" ht="97.5" thickBot="1">
      <c r="B8" s="567" t="s">
        <v>293</v>
      </c>
      <c r="C8" s="568" t="s">
        <v>294</v>
      </c>
      <c r="D8" s="569" t="s">
        <v>295</v>
      </c>
      <c r="E8" s="570" t="s">
        <v>296</v>
      </c>
      <c r="F8" s="570" t="s">
        <v>297</v>
      </c>
      <c r="G8" s="570" t="s">
        <v>298</v>
      </c>
      <c r="H8" s="570" t="s">
        <v>299</v>
      </c>
      <c r="I8" s="570" t="s">
        <v>300</v>
      </c>
      <c r="J8" s="570" t="s">
        <v>301</v>
      </c>
      <c r="K8" s="571" t="s">
        <v>302</v>
      </c>
      <c r="L8" s="572" t="s">
        <v>303</v>
      </c>
      <c r="M8" s="571" t="s">
        <v>304</v>
      </c>
      <c r="N8" s="568" t="s">
        <v>294</v>
      </c>
      <c r="O8" s="569" t="s">
        <v>295</v>
      </c>
      <c r="P8" s="570" t="s">
        <v>296</v>
      </c>
      <c r="Q8" s="570" t="s">
        <v>297</v>
      </c>
      <c r="R8" s="570" t="s">
        <v>298</v>
      </c>
      <c r="S8" s="570" t="s">
        <v>299</v>
      </c>
      <c r="T8" s="570" t="s">
        <v>300</v>
      </c>
      <c r="U8" s="570" t="s">
        <v>301</v>
      </c>
      <c r="V8" s="571" t="s">
        <v>302</v>
      </c>
      <c r="W8" s="572" t="s">
        <v>303</v>
      </c>
      <c r="X8" s="571" t="s">
        <v>305</v>
      </c>
    </row>
    <row r="9" spans="2:24" ht="12.75">
      <c r="B9" s="292"/>
      <c r="C9" s="476"/>
      <c r="D9" s="477"/>
      <c r="E9" s="477"/>
      <c r="F9" s="477"/>
      <c r="G9" s="477"/>
      <c r="H9" s="477"/>
      <c r="I9" s="477"/>
      <c r="J9" s="477"/>
      <c r="K9" s="477"/>
      <c r="L9" s="476"/>
      <c r="M9" s="478"/>
      <c r="N9" s="290"/>
      <c r="O9" s="290"/>
      <c r="P9" s="290"/>
      <c r="Q9" s="290"/>
      <c r="R9" s="290"/>
      <c r="S9" s="290"/>
      <c r="T9" s="290"/>
      <c r="U9" s="290"/>
      <c r="V9" s="290"/>
      <c r="W9" s="476"/>
      <c r="X9" s="478"/>
    </row>
    <row r="10" spans="2:24" ht="12.75">
      <c r="B10" s="294" t="s">
        <v>630</v>
      </c>
      <c r="C10" s="479"/>
      <c r="D10" s="573"/>
      <c r="E10" s="573"/>
      <c r="F10" s="574">
        <f>F12</f>
        <v>7</v>
      </c>
      <c r="G10" s="573"/>
      <c r="H10" s="573"/>
      <c r="I10" s="573"/>
      <c r="J10" s="573"/>
      <c r="K10" s="573"/>
      <c r="L10" s="480">
        <f>L12</f>
        <v>245119</v>
      </c>
      <c r="M10" s="481">
        <f>M12</f>
        <v>3431666</v>
      </c>
      <c r="N10" s="573"/>
      <c r="O10" s="573"/>
      <c r="P10" s="573"/>
      <c r="Q10" s="574">
        <f>Q12</f>
        <v>7</v>
      </c>
      <c r="R10" s="573"/>
      <c r="S10" s="573"/>
      <c r="T10" s="573"/>
      <c r="U10" s="573"/>
      <c r="V10" s="573"/>
      <c r="W10" s="480">
        <f>W12</f>
        <v>245119</v>
      </c>
      <c r="X10" s="481">
        <f>X12</f>
        <v>3431666</v>
      </c>
    </row>
    <row r="11" spans="2:24" ht="12.75">
      <c r="B11" s="292"/>
      <c r="C11" s="482"/>
      <c r="D11" s="575"/>
      <c r="E11" s="575"/>
      <c r="F11" s="576"/>
      <c r="G11" s="575"/>
      <c r="H11" s="575"/>
      <c r="I11" s="575"/>
      <c r="J11" s="575"/>
      <c r="K11" s="575"/>
      <c r="L11" s="484"/>
      <c r="M11" s="485"/>
      <c r="N11" s="575"/>
      <c r="O11" s="575"/>
      <c r="P11" s="575"/>
      <c r="Q11" s="576"/>
      <c r="R11" s="575"/>
      <c r="S11" s="575"/>
      <c r="T11" s="575"/>
      <c r="U11" s="575"/>
      <c r="V11" s="575"/>
      <c r="W11" s="484"/>
      <c r="X11" s="485"/>
    </row>
    <row r="12" spans="2:24" ht="12.75">
      <c r="B12" s="305" t="s">
        <v>631</v>
      </c>
      <c r="C12" s="482"/>
      <c r="D12" s="575"/>
      <c r="E12" s="575"/>
      <c r="F12" s="576">
        <v>7</v>
      </c>
      <c r="G12" s="575"/>
      <c r="H12" s="575"/>
      <c r="I12" s="575"/>
      <c r="J12" s="575"/>
      <c r="K12" s="575"/>
      <c r="L12" s="484">
        <v>245119</v>
      </c>
      <c r="M12" s="485">
        <v>3431666</v>
      </c>
      <c r="N12" s="575"/>
      <c r="O12" s="575"/>
      <c r="P12" s="575"/>
      <c r="Q12" s="576">
        <v>7</v>
      </c>
      <c r="R12" s="575"/>
      <c r="S12" s="575"/>
      <c r="T12" s="575"/>
      <c r="U12" s="575"/>
      <c r="V12" s="575"/>
      <c r="W12" s="484">
        <v>245119</v>
      </c>
      <c r="X12" s="485">
        <v>3431666</v>
      </c>
    </row>
    <row r="13" spans="2:24" ht="12.75">
      <c r="B13" s="292" t="s">
        <v>306</v>
      </c>
      <c r="C13" s="486"/>
      <c r="D13" s="577"/>
      <c r="E13" s="577"/>
      <c r="F13" s="577"/>
      <c r="G13" s="577"/>
      <c r="H13" s="577"/>
      <c r="I13" s="577"/>
      <c r="J13" s="577"/>
      <c r="K13" s="577"/>
      <c r="L13" s="487"/>
      <c r="M13" s="488"/>
      <c r="N13" s="577"/>
      <c r="O13" s="577"/>
      <c r="P13" s="577"/>
      <c r="Q13" s="577"/>
      <c r="R13" s="577"/>
      <c r="S13" s="577"/>
      <c r="T13" s="577"/>
      <c r="U13" s="577"/>
      <c r="V13" s="577"/>
      <c r="W13" s="487"/>
      <c r="X13" s="488"/>
    </row>
    <row r="14" spans="2:24" ht="12.75">
      <c r="B14" s="294" t="s">
        <v>632</v>
      </c>
      <c r="C14" s="479"/>
      <c r="D14" s="574">
        <f>SUM(D15:D23)</f>
        <v>22</v>
      </c>
      <c r="E14" s="573"/>
      <c r="F14" s="573"/>
      <c r="G14" s="573"/>
      <c r="H14" s="573"/>
      <c r="I14" s="573"/>
      <c r="J14" s="573"/>
      <c r="K14" s="573"/>
      <c r="L14" s="480">
        <f>SUM(L15:L22)</f>
        <v>395116</v>
      </c>
      <c r="M14" s="481">
        <f>SUM(M15:M22)</f>
        <v>5611544.880000001</v>
      </c>
      <c r="N14" s="573"/>
      <c r="O14" s="574">
        <f>SUM(O15:O23)</f>
        <v>22</v>
      </c>
      <c r="P14" s="573"/>
      <c r="Q14" s="573"/>
      <c r="R14" s="573"/>
      <c r="S14" s="573"/>
      <c r="T14" s="573"/>
      <c r="U14" s="573"/>
      <c r="V14" s="573"/>
      <c r="W14" s="480">
        <f>SUM(W15:W22)</f>
        <v>395116</v>
      </c>
      <c r="X14" s="481">
        <f>SUM(X15:X22)</f>
        <v>5611544.880000001</v>
      </c>
    </row>
    <row r="15" spans="2:24" ht="12.75">
      <c r="B15" s="305" t="s">
        <v>633</v>
      </c>
      <c r="C15" s="482"/>
      <c r="D15" s="576">
        <v>1</v>
      </c>
      <c r="E15" s="575"/>
      <c r="F15" s="575"/>
      <c r="G15" s="575"/>
      <c r="H15" s="575"/>
      <c r="I15" s="575"/>
      <c r="J15" s="575"/>
      <c r="K15" s="575"/>
      <c r="L15" s="484">
        <v>22593</v>
      </c>
      <c r="M15" s="485">
        <v>320768.74</v>
      </c>
      <c r="N15" s="575"/>
      <c r="O15" s="576">
        <v>1</v>
      </c>
      <c r="P15" s="575"/>
      <c r="Q15" s="575"/>
      <c r="R15" s="575"/>
      <c r="S15" s="575"/>
      <c r="T15" s="575"/>
      <c r="U15" s="575"/>
      <c r="V15" s="575"/>
      <c r="W15" s="484">
        <v>22593</v>
      </c>
      <c r="X15" s="485">
        <v>320768.74</v>
      </c>
    </row>
    <row r="16" spans="2:24" ht="12.75">
      <c r="B16" s="305" t="s">
        <v>634</v>
      </c>
      <c r="C16" s="482"/>
      <c r="D16" s="576">
        <v>1</v>
      </c>
      <c r="E16" s="575"/>
      <c r="F16" s="575"/>
      <c r="G16" s="575"/>
      <c r="H16" s="575"/>
      <c r="I16" s="575"/>
      <c r="J16" s="575"/>
      <c r="K16" s="575"/>
      <c r="L16" s="484">
        <v>20000</v>
      </c>
      <c r="M16" s="485">
        <v>284000</v>
      </c>
      <c r="N16" s="575"/>
      <c r="O16" s="576">
        <v>1</v>
      </c>
      <c r="P16" s="575"/>
      <c r="Q16" s="575"/>
      <c r="R16" s="575"/>
      <c r="S16" s="575"/>
      <c r="T16" s="575"/>
      <c r="U16" s="575"/>
      <c r="V16" s="575"/>
      <c r="W16" s="484">
        <v>20000</v>
      </c>
      <c r="X16" s="485">
        <v>284000</v>
      </c>
    </row>
    <row r="17" spans="2:24" ht="12.75">
      <c r="B17" s="305" t="s">
        <v>635</v>
      </c>
      <c r="C17" s="482"/>
      <c r="D17" s="576">
        <v>1</v>
      </c>
      <c r="E17" s="575"/>
      <c r="F17" s="575"/>
      <c r="G17" s="575"/>
      <c r="H17" s="575"/>
      <c r="I17" s="575"/>
      <c r="J17" s="575"/>
      <c r="K17" s="575"/>
      <c r="L17" s="484">
        <v>19093</v>
      </c>
      <c r="M17" s="485">
        <v>271138.74</v>
      </c>
      <c r="N17" s="575"/>
      <c r="O17" s="576">
        <v>1</v>
      </c>
      <c r="P17" s="575"/>
      <c r="Q17" s="575"/>
      <c r="R17" s="575"/>
      <c r="S17" s="575"/>
      <c r="T17" s="575"/>
      <c r="U17" s="575"/>
      <c r="V17" s="575"/>
      <c r="W17" s="484">
        <v>19093</v>
      </c>
      <c r="X17" s="485">
        <v>271138.74</v>
      </c>
    </row>
    <row r="18" spans="2:24" ht="12.75">
      <c r="B18" s="305" t="s">
        <v>636</v>
      </c>
      <c r="C18" s="482"/>
      <c r="D18" s="576">
        <v>7</v>
      </c>
      <c r="E18" s="575"/>
      <c r="F18" s="575"/>
      <c r="G18" s="575"/>
      <c r="H18" s="575"/>
      <c r="I18" s="575"/>
      <c r="J18" s="575"/>
      <c r="K18" s="575"/>
      <c r="L18" s="484">
        <v>123151</v>
      </c>
      <c r="M18" s="485">
        <v>1749081.18</v>
      </c>
      <c r="N18" s="575"/>
      <c r="O18" s="576">
        <v>7</v>
      </c>
      <c r="P18" s="575"/>
      <c r="Q18" s="575"/>
      <c r="R18" s="575"/>
      <c r="S18" s="575"/>
      <c r="T18" s="575"/>
      <c r="U18" s="575"/>
      <c r="V18" s="575"/>
      <c r="W18" s="484">
        <v>123151</v>
      </c>
      <c r="X18" s="485">
        <v>1749081.18</v>
      </c>
    </row>
    <row r="19" spans="2:24" ht="12.75">
      <c r="B19" s="305" t="s">
        <v>636</v>
      </c>
      <c r="C19" s="482"/>
      <c r="D19" s="576">
        <v>7</v>
      </c>
      <c r="E19" s="575"/>
      <c r="F19" s="575"/>
      <c r="G19" s="575"/>
      <c r="H19" s="575"/>
      <c r="I19" s="575"/>
      <c r="J19" s="575"/>
      <c r="K19" s="575"/>
      <c r="L19" s="484">
        <v>122500</v>
      </c>
      <c r="M19" s="485">
        <v>1739850</v>
      </c>
      <c r="N19" s="575"/>
      <c r="O19" s="576">
        <v>7</v>
      </c>
      <c r="P19" s="575"/>
      <c r="Q19" s="575"/>
      <c r="R19" s="575"/>
      <c r="S19" s="575"/>
      <c r="T19" s="575"/>
      <c r="U19" s="575"/>
      <c r="V19" s="575"/>
      <c r="W19" s="484">
        <v>122500</v>
      </c>
      <c r="X19" s="485">
        <v>1739850</v>
      </c>
    </row>
    <row r="20" spans="2:24" ht="12.75">
      <c r="B20" s="305" t="s">
        <v>637</v>
      </c>
      <c r="C20" s="482"/>
      <c r="D20" s="576">
        <v>1</v>
      </c>
      <c r="E20" s="575"/>
      <c r="F20" s="575"/>
      <c r="G20" s="575"/>
      <c r="H20" s="575"/>
      <c r="I20" s="575"/>
      <c r="J20" s="575"/>
      <c r="K20" s="575"/>
      <c r="L20" s="484">
        <v>17593</v>
      </c>
      <c r="M20" s="485">
        <v>249868.74</v>
      </c>
      <c r="N20" s="575"/>
      <c r="O20" s="576">
        <v>1</v>
      </c>
      <c r="P20" s="575"/>
      <c r="Q20" s="575"/>
      <c r="R20" s="575"/>
      <c r="S20" s="575"/>
      <c r="T20" s="575"/>
      <c r="U20" s="575"/>
      <c r="V20" s="575"/>
      <c r="W20" s="484">
        <v>17593</v>
      </c>
      <c r="X20" s="485">
        <v>249868.74</v>
      </c>
    </row>
    <row r="21" spans="2:24" ht="12.75">
      <c r="B21" s="305" t="s">
        <v>638</v>
      </c>
      <c r="C21" s="482"/>
      <c r="D21" s="576">
        <v>2</v>
      </c>
      <c r="E21" s="575"/>
      <c r="F21" s="575"/>
      <c r="G21" s="575"/>
      <c r="H21" s="575"/>
      <c r="I21" s="575"/>
      <c r="J21" s="575"/>
      <c r="K21" s="575"/>
      <c r="L21" s="484">
        <v>35186</v>
      </c>
      <c r="M21" s="485">
        <v>499737.48</v>
      </c>
      <c r="N21" s="575"/>
      <c r="O21" s="576">
        <v>2</v>
      </c>
      <c r="P21" s="575"/>
      <c r="Q21" s="575"/>
      <c r="R21" s="575"/>
      <c r="S21" s="575"/>
      <c r="T21" s="575"/>
      <c r="U21" s="575"/>
      <c r="V21" s="575"/>
      <c r="W21" s="484">
        <v>35186</v>
      </c>
      <c r="X21" s="485">
        <v>499737.48</v>
      </c>
    </row>
    <row r="22" spans="2:24" ht="12.75">
      <c r="B22" s="305" t="s">
        <v>638</v>
      </c>
      <c r="C22" s="482"/>
      <c r="D22" s="576">
        <v>2</v>
      </c>
      <c r="E22" s="575"/>
      <c r="F22" s="575"/>
      <c r="G22" s="575"/>
      <c r="H22" s="575"/>
      <c r="I22" s="575"/>
      <c r="J22" s="575"/>
      <c r="K22" s="575"/>
      <c r="L22" s="484">
        <v>35000</v>
      </c>
      <c r="M22" s="485">
        <v>497100</v>
      </c>
      <c r="N22" s="575"/>
      <c r="O22" s="576">
        <v>2</v>
      </c>
      <c r="P22" s="575"/>
      <c r="Q22" s="575"/>
      <c r="R22" s="575"/>
      <c r="S22" s="575"/>
      <c r="T22" s="575"/>
      <c r="U22" s="575"/>
      <c r="V22" s="575"/>
      <c r="W22" s="484">
        <v>35000</v>
      </c>
      <c r="X22" s="485">
        <v>497100</v>
      </c>
    </row>
    <row r="23" spans="2:24" ht="12.75">
      <c r="B23" s="305" t="s">
        <v>639</v>
      </c>
      <c r="C23" s="482"/>
      <c r="D23" s="576">
        <v>0</v>
      </c>
      <c r="E23" s="575"/>
      <c r="F23" s="575"/>
      <c r="G23" s="575"/>
      <c r="H23" s="575"/>
      <c r="I23" s="575"/>
      <c r="J23" s="575"/>
      <c r="K23" s="575"/>
      <c r="L23" s="484">
        <v>0</v>
      </c>
      <c r="M23" s="485">
        <v>0</v>
      </c>
      <c r="N23" s="575"/>
      <c r="O23" s="576">
        <v>0</v>
      </c>
      <c r="P23" s="575"/>
      <c r="Q23" s="575"/>
      <c r="R23" s="575"/>
      <c r="S23" s="575"/>
      <c r="T23" s="575"/>
      <c r="U23" s="575"/>
      <c r="V23" s="575"/>
      <c r="W23" s="484">
        <v>0</v>
      </c>
      <c r="X23" s="485">
        <v>0</v>
      </c>
    </row>
    <row r="24" spans="2:24" ht="12.75">
      <c r="B24" s="294" t="s">
        <v>632</v>
      </c>
      <c r="C24" s="479"/>
      <c r="D24" s="574">
        <f>SUM(D25:D30)</f>
        <v>69</v>
      </c>
      <c r="E24" s="573"/>
      <c r="F24" s="573"/>
      <c r="G24" s="573"/>
      <c r="H24" s="573"/>
      <c r="I24" s="573"/>
      <c r="J24" s="573"/>
      <c r="K24" s="573"/>
      <c r="L24" s="480">
        <f>SUM(L25:L30)</f>
        <v>843697</v>
      </c>
      <c r="M24" s="481">
        <f>SUM(M25:M30)</f>
        <v>11991223.46</v>
      </c>
      <c r="N24" s="573"/>
      <c r="O24" s="574">
        <f>SUM(O25:O30)</f>
        <v>69</v>
      </c>
      <c r="P24" s="573"/>
      <c r="Q24" s="573"/>
      <c r="R24" s="573"/>
      <c r="S24" s="573"/>
      <c r="T24" s="573"/>
      <c r="U24" s="573"/>
      <c r="V24" s="573"/>
      <c r="W24" s="480">
        <f>SUM(W25:W30)</f>
        <v>843697</v>
      </c>
      <c r="X24" s="481">
        <f>SUM(X25:X30)</f>
        <v>11991223.46</v>
      </c>
    </row>
    <row r="25" spans="2:24" ht="12.75">
      <c r="B25" s="338" t="s">
        <v>640</v>
      </c>
      <c r="C25" s="482"/>
      <c r="D25" s="576">
        <v>8</v>
      </c>
      <c r="E25" s="575"/>
      <c r="F25" s="575"/>
      <c r="G25" s="575"/>
      <c r="H25" s="578"/>
      <c r="I25" s="575"/>
      <c r="J25" s="575"/>
      <c r="K25" s="575"/>
      <c r="L25" s="484">
        <v>128744</v>
      </c>
      <c r="M25" s="485">
        <v>1828789.92</v>
      </c>
      <c r="N25" s="575"/>
      <c r="O25" s="576">
        <v>8</v>
      </c>
      <c r="P25" s="575"/>
      <c r="Q25" s="575"/>
      <c r="R25" s="575"/>
      <c r="S25" s="575"/>
      <c r="T25" s="575"/>
      <c r="U25" s="575"/>
      <c r="V25" s="575"/>
      <c r="W25" s="484">
        <v>128744</v>
      </c>
      <c r="X25" s="485">
        <v>1828789.92</v>
      </c>
    </row>
    <row r="26" spans="2:24" ht="12.75">
      <c r="B26" s="338" t="s">
        <v>640</v>
      </c>
      <c r="C26" s="482"/>
      <c r="D26" s="576">
        <v>9</v>
      </c>
      <c r="E26" s="575"/>
      <c r="F26" s="575"/>
      <c r="G26" s="575"/>
      <c r="H26" s="578"/>
      <c r="I26" s="575"/>
      <c r="J26" s="575"/>
      <c r="K26" s="575"/>
      <c r="L26" s="484">
        <v>144000</v>
      </c>
      <c r="M26" s="485">
        <v>2045520</v>
      </c>
      <c r="N26" s="575"/>
      <c r="O26" s="576">
        <v>9</v>
      </c>
      <c r="P26" s="575"/>
      <c r="Q26" s="575"/>
      <c r="R26" s="575"/>
      <c r="S26" s="575"/>
      <c r="T26" s="575"/>
      <c r="U26" s="575"/>
      <c r="V26" s="575"/>
      <c r="W26" s="484">
        <v>144000</v>
      </c>
      <c r="X26" s="485">
        <v>2045520</v>
      </c>
    </row>
    <row r="27" spans="2:24" ht="12.75">
      <c r="B27" s="338" t="s">
        <v>641</v>
      </c>
      <c r="C27" s="482"/>
      <c r="D27" s="576">
        <v>9</v>
      </c>
      <c r="E27" s="575"/>
      <c r="F27" s="575"/>
      <c r="G27" s="575"/>
      <c r="H27" s="578"/>
      <c r="I27" s="575"/>
      <c r="J27" s="575"/>
      <c r="K27" s="575"/>
      <c r="L27" s="484">
        <v>122337</v>
      </c>
      <c r="M27" s="485">
        <v>1738338.66</v>
      </c>
      <c r="N27" s="575"/>
      <c r="O27" s="576">
        <v>9</v>
      </c>
      <c r="P27" s="575"/>
      <c r="Q27" s="575"/>
      <c r="R27" s="575"/>
      <c r="S27" s="575"/>
      <c r="T27" s="575"/>
      <c r="U27" s="575"/>
      <c r="V27" s="575"/>
      <c r="W27" s="484">
        <v>122337</v>
      </c>
      <c r="X27" s="485">
        <v>1738338.66</v>
      </c>
    </row>
    <row r="28" spans="2:24" ht="12.75">
      <c r="B28" s="338" t="s">
        <v>641</v>
      </c>
      <c r="C28" s="482"/>
      <c r="D28" s="576">
        <v>5</v>
      </c>
      <c r="E28" s="575"/>
      <c r="F28" s="575"/>
      <c r="G28" s="575"/>
      <c r="H28" s="578"/>
      <c r="I28" s="575"/>
      <c r="J28" s="575"/>
      <c r="K28" s="575"/>
      <c r="L28" s="484">
        <v>67500</v>
      </c>
      <c r="M28" s="485">
        <v>959150</v>
      </c>
      <c r="N28" s="575"/>
      <c r="O28" s="576">
        <v>5</v>
      </c>
      <c r="P28" s="575"/>
      <c r="Q28" s="575"/>
      <c r="R28" s="575"/>
      <c r="S28" s="575"/>
      <c r="T28" s="575"/>
      <c r="U28" s="575"/>
      <c r="V28" s="575"/>
      <c r="W28" s="484">
        <v>67500</v>
      </c>
      <c r="X28" s="485">
        <v>959150</v>
      </c>
    </row>
    <row r="29" spans="2:24" ht="12.75">
      <c r="B29" s="338" t="s">
        <v>642</v>
      </c>
      <c r="C29" s="482"/>
      <c r="D29" s="576">
        <v>12</v>
      </c>
      <c r="E29" s="575"/>
      <c r="F29" s="575"/>
      <c r="G29" s="575"/>
      <c r="H29" s="578"/>
      <c r="I29" s="575"/>
      <c r="J29" s="575"/>
      <c r="K29" s="575"/>
      <c r="L29" s="484">
        <v>121116</v>
      </c>
      <c r="M29" s="485">
        <v>1722224.88</v>
      </c>
      <c r="N29" s="575"/>
      <c r="O29" s="576">
        <v>12</v>
      </c>
      <c r="P29" s="575"/>
      <c r="Q29" s="575"/>
      <c r="R29" s="575"/>
      <c r="S29" s="575"/>
      <c r="T29" s="575"/>
      <c r="U29" s="575"/>
      <c r="V29" s="575"/>
      <c r="W29" s="484">
        <v>121116</v>
      </c>
      <c r="X29" s="485">
        <v>1722224.88</v>
      </c>
    </row>
    <row r="30" spans="2:24" ht="12.75">
      <c r="B30" s="338" t="s">
        <v>642</v>
      </c>
      <c r="C30" s="482"/>
      <c r="D30" s="576">
        <v>26</v>
      </c>
      <c r="E30" s="575"/>
      <c r="F30" s="575"/>
      <c r="G30" s="575"/>
      <c r="H30" s="578"/>
      <c r="I30" s="575"/>
      <c r="J30" s="575"/>
      <c r="K30" s="575"/>
      <c r="L30" s="484">
        <v>260000</v>
      </c>
      <c r="M30" s="485">
        <v>3697200</v>
      </c>
      <c r="N30" s="575"/>
      <c r="O30" s="576">
        <v>26</v>
      </c>
      <c r="P30" s="575"/>
      <c r="Q30" s="575"/>
      <c r="R30" s="575"/>
      <c r="S30" s="575"/>
      <c r="T30" s="575"/>
      <c r="U30" s="575"/>
      <c r="V30" s="575"/>
      <c r="W30" s="484">
        <v>260000</v>
      </c>
      <c r="X30" s="485">
        <v>3697200</v>
      </c>
    </row>
    <row r="31" spans="2:24" ht="12.75">
      <c r="B31" s="294" t="s">
        <v>307</v>
      </c>
      <c r="C31" s="479"/>
      <c r="D31" s="574">
        <f>SUM(D32:D35)</f>
        <v>49</v>
      </c>
      <c r="E31" s="573"/>
      <c r="F31" s="573"/>
      <c r="G31" s="573"/>
      <c r="H31" s="573"/>
      <c r="I31" s="573"/>
      <c r="J31" s="573"/>
      <c r="K31" s="573"/>
      <c r="L31" s="480">
        <f>SUM(L32:L35)</f>
        <v>240418</v>
      </c>
      <c r="M31" s="481">
        <f>SUM(M32:M35)</f>
        <v>3428327.24</v>
      </c>
      <c r="N31" s="573"/>
      <c r="O31" s="574">
        <f>SUM(O32:O35)</f>
        <v>49</v>
      </c>
      <c r="P31" s="573"/>
      <c r="Q31" s="573"/>
      <c r="R31" s="573"/>
      <c r="S31" s="573"/>
      <c r="T31" s="573"/>
      <c r="U31" s="573"/>
      <c r="V31" s="573"/>
      <c r="W31" s="480">
        <f>SUM(W32:W35)</f>
        <v>240418</v>
      </c>
      <c r="X31" s="481">
        <f>SUM(X32:X35)</f>
        <v>3428327.24</v>
      </c>
    </row>
    <row r="32" spans="2:24" ht="12.75">
      <c r="B32" s="305" t="s">
        <v>836</v>
      </c>
      <c r="C32" s="482"/>
      <c r="D32" s="576">
        <v>7</v>
      </c>
      <c r="E32" s="575"/>
      <c r="F32" s="575"/>
      <c r="G32" s="575"/>
      <c r="H32" s="578"/>
      <c r="I32" s="575"/>
      <c r="J32" s="575"/>
      <c r="K32" s="575"/>
      <c r="L32" s="484">
        <v>39851</v>
      </c>
      <c r="M32" s="485">
        <v>567887.18</v>
      </c>
      <c r="N32" s="575"/>
      <c r="O32" s="576">
        <v>7</v>
      </c>
      <c r="P32" s="575"/>
      <c r="Q32" s="575"/>
      <c r="R32" s="575"/>
      <c r="S32" s="575"/>
      <c r="T32" s="575"/>
      <c r="U32" s="575"/>
      <c r="V32" s="575"/>
      <c r="W32" s="484">
        <v>39851</v>
      </c>
      <c r="X32" s="485">
        <v>567887.18</v>
      </c>
    </row>
    <row r="33" spans="2:24" ht="12.75">
      <c r="B33" s="305" t="s">
        <v>837</v>
      </c>
      <c r="C33" s="482"/>
      <c r="D33" s="576">
        <v>14</v>
      </c>
      <c r="E33" s="575"/>
      <c r="F33" s="575"/>
      <c r="G33" s="575"/>
      <c r="H33" s="578"/>
      <c r="I33" s="575"/>
      <c r="J33" s="575"/>
      <c r="K33" s="575"/>
      <c r="L33" s="484">
        <v>72800</v>
      </c>
      <c r="M33" s="485">
        <v>1037504</v>
      </c>
      <c r="N33" s="575"/>
      <c r="O33" s="576">
        <v>14</v>
      </c>
      <c r="P33" s="575"/>
      <c r="Q33" s="575"/>
      <c r="R33" s="575"/>
      <c r="S33" s="575"/>
      <c r="T33" s="575"/>
      <c r="U33" s="575"/>
      <c r="V33" s="575"/>
      <c r="W33" s="484">
        <v>72800</v>
      </c>
      <c r="X33" s="485">
        <v>1037504</v>
      </c>
    </row>
    <row r="34" spans="2:24" ht="12.75">
      <c r="B34" s="305" t="s">
        <v>838</v>
      </c>
      <c r="C34" s="482"/>
      <c r="D34" s="576">
        <v>19</v>
      </c>
      <c r="E34" s="575"/>
      <c r="F34" s="575"/>
      <c r="G34" s="575"/>
      <c r="H34" s="578"/>
      <c r="I34" s="575"/>
      <c r="J34" s="575"/>
      <c r="K34" s="575"/>
      <c r="L34" s="484">
        <v>87267</v>
      </c>
      <c r="M34" s="485">
        <v>1245046.06</v>
      </c>
      <c r="N34" s="575"/>
      <c r="O34" s="576">
        <v>19</v>
      </c>
      <c r="P34" s="575"/>
      <c r="Q34" s="575"/>
      <c r="R34" s="575"/>
      <c r="S34" s="575"/>
      <c r="T34" s="575"/>
      <c r="U34" s="575"/>
      <c r="V34" s="575"/>
      <c r="W34" s="484">
        <v>87267</v>
      </c>
      <c r="X34" s="485">
        <v>1245046.06</v>
      </c>
    </row>
    <row r="35" spans="2:24" ht="12.75">
      <c r="B35" s="305" t="s">
        <v>838</v>
      </c>
      <c r="C35" s="482"/>
      <c r="D35" s="576">
        <v>9</v>
      </c>
      <c r="E35" s="575"/>
      <c r="F35" s="575"/>
      <c r="G35" s="575"/>
      <c r="H35" s="578"/>
      <c r="I35" s="575"/>
      <c r="J35" s="575"/>
      <c r="K35" s="575"/>
      <c r="L35" s="484">
        <v>40500</v>
      </c>
      <c r="M35" s="485">
        <v>577890</v>
      </c>
      <c r="N35" s="575"/>
      <c r="O35" s="576">
        <v>9</v>
      </c>
      <c r="P35" s="575"/>
      <c r="Q35" s="575"/>
      <c r="R35" s="575"/>
      <c r="S35" s="575"/>
      <c r="T35" s="575"/>
      <c r="U35" s="575"/>
      <c r="V35" s="575"/>
      <c r="W35" s="484">
        <v>40500</v>
      </c>
      <c r="X35" s="485">
        <v>577890</v>
      </c>
    </row>
    <row r="36" spans="2:24" ht="12.75">
      <c r="B36" s="294" t="s">
        <v>111</v>
      </c>
      <c r="C36" s="479"/>
      <c r="D36" s="295"/>
      <c r="E36" s="295">
        <v>59</v>
      </c>
      <c r="F36" s="295"/>
      <c r="G36" s="295"/>
      <c r="H36" s="295"/>
      <c r="I36" s="295"/>
      <c r="J36" s="295"/>
      <c r="K36" s="295"/>
      <c r="L36" s="489">
        <v>273350</v>
      </c>
      <c r="M36" s="490">
        <v>3252079</v>
      </c>
      <c r="N36" s="479"/>
      <c r="O36" s="295"/>
      <c r="P36" s="491">
        <f>+SUM(P37:P39)</f>
        <v>98</v>
      </c>
      <c r="Q36" s="295"/>
      <c r="R36" s="295"/>
      <c r="S36" s="295"/>
      <c r="T36" s="295"/>
      <c r="U36" s="295"/>
      <c r="V36" s="295"/>
      <c r="W36" s="489">
        <f>SUM(W37:W39)</f>
        <v>418948</v>
      </c>
      <c r="X36" s="490">
        <f>+SUM(X37:X39)</f>
        <v>5086176</v>
      </c>
    </row>
    <row r="37" spans="2:24" ht="12.75">
      <c r="B37" s="331" t="s">
        <v>643</v>
      </c>
      <c r="C37" s="482"/>
      <c r="D37" s="290"/>
      <c r="E37" s="290">
        <v>28</v>
      </c>
      <c r="F37" s="290"/>
      <c r="G37" s="290"/>
      <c r="H37" s="290"/>
      <c r="I37" s="290"/>
      <c r="J37" s="483"/>
      <c r="K37" s="483"/>
      <c r="L37" s="492">
        <v>174600</v>
      </c>
      <c r="M37" s="493">
        <v>2112000</v>
      </c>
      <c r="N37" s="482"/>
      <c r="O37" s="290"/>
      <c r="P37" s="290">
        <v>44</v>
      </c>
      <c r="Q37" s="290"/>
      <c r="R37" s="290"/>
      <c r="S37" s="290"/>
      <c r="T37" s="290"/>
      <c r="U37" s="483"/>
      <c r="V37" s="483"/>
      <c r="W37" s="492">
        <v>262290</v>
      </c>
      <c r="X37" s="493">
        <f>+W37*12+600*P37</f>
        <v>3173880</v>
      </c>
    </row>
    <row r="38" spans="2:24" ht="12.75">
      <c r="B38" s="331" t="s">
        <v>644</v>
      </c>
      <c r="C38" s="482"/>
      <c r="D38" s="290"/>
      <c r="E38" s="290">
        <v>24</v>
      </c>
      <c r="F38" s="290"/>
      <c r="G38" s="290"/>
      <c r="H38" s="290"/>
      <c r="I38" s="290"/>
      <c r="J38" s="483"/>
      <c r="K38" s="483"/>
      <c r="L38" s="492">
        <v>82150</v>
      </c>
      <c r="M38" s="493">
        <v>1000200</v>
      </c>
      <c r="N38" s="482"/>
      <c r="O38" s="290"/>
      <c r="P38" s="290">
        <v>33</v>
      </c>
      <c r="Q38" s="290">
        <v>0</v>
      </c>
      <c r="R38" s="290"/>
      <c r="S38" s="290"/>
      <c r="T38" s="290"/>
      <c r="U38" s="483"/>
      <c r="V38" s="483"/>
      <c r="W38" s="492">
        <v>98350</v>
      </c>
      <c r="X38" s="493">
        <f>+W38*12+600*P38</f>
        <v>1200000</v>
      </c>
    </row>
    <row r="39" spans="2:24" ht="12.75">
      <c r="B39" s="331" t="s">
        <v>645</v>
      </c>
      <c r="C39" s="482"/>
      <c r="D39" s="290"/>
      <c r="E39" s="290">
        <v>7</v>
      </c>
      <c r="F39" s="290"/>
      <c r="G39" s="290"/>
      <c r="H39" s="290"/>
      <c r="I39" s="290"/>
      <c r="J39" s="483"/>
      <c r="K39" s="483"/>
      <c r="L39" s="492">
        <v>16600</v>
      </c>
      <c r="M39" s="493">
        <v>203400</v>
      </c>
      <c r="N39" s="482"/>
      <c r="O39" s="290"/>
      <c r="P39" s="290">
        <v>21</v>
      </c>
      <c r="Q39" s="290"/>
      <c r="R39" s="290"/>
      <c r="S39" s="290"/>
      <c r="T39" s="290"/>
      <c r="U39" s="483"/>
      <c r="V39" s="483"/>
      <c r="W39" s="492">
        <v>58308</v>
      </c>
      <c r="X39" s="493">
        <f>+W39*12+600*P39</f>
        <v>712296</v>
      </c>
    </row>
    <row r="40" spans="2:24" ht="12.75">
      <c r="B40" s="294" t="s">
        <v>646</v>
      </c>
      <c r="C40" s="479"/>
      <c r="D40" s="295"/>
      <c r="E40" s="295"/>
      <c r="F40" s="295"/>
      <c r="G40" s="295"/>
      <c r="H40" s="295"/>
      <c r="I40" s="295"/>
      <c r="J40" s="295">
        <v>45</v>
      </c>
      <c r="K40" s="295"/>
      <c r="L40" s="489">
        <v>41850</v>
      </c>
      <c r="M40" s="490">
        <v>546405</v>
      </c>
      <c r="N40" s="479"/>
      <c r="O40" s="295"/>
      <c r="P40" s="295"/>
      <c r="Q40" s="295"/>
      <c r="R40" s="295"/>
      <c r="S40" s="295"/>
      <c r="T40" s="295"/>
      <c r="U40" s="295">
        <v>43</v>
      </c>
      <c r="V40" s="295"/>
      <c r="W40" s="489">
        <f>+U40*930</f>
        <v>39990</v>
      </c>
      <c r="X40" s="490">
        <v>535234</v>
      </c>
    </row>
    <row r="41" spans="2:24" s="579" customFormat="1" ht="13.5" thickBot="1">
      <c r="B41" s="494"/>
      <c r="C41" s="210"/>
      <c r="D41" s="221"/>
      <c r="E41" s="221"/>
      <c r="F41" s="221"/>
      <c r="G41" s="221"/>
      <c r="H41" s="221"/>
      <c r="I41" s="221"/>
      <c r="J41" s="221"/>
      <c r="K41" s="221"/>
      <c r="L41" s="210"/>
      <c r="M41" s="495"/>
      <c r="N41" s="496"/>
      <c r="O41" s="496"/>
      <c r="P41" s="496"/>
      <c r="Q41" s="496"/>
      <c r="R41" s="496"/>
      <c r="S41" s="496"/>
      <c r="T41" s="496"/>
      <c r="U41" s="496"/>
      <c r="V41" s="496"/>
      <c r="W41" s="210"/>
      <c r="X41" s="495"/>
    </row>
    <row r="42" spans="2:24" ht="13.5" thickBot="1">
      <c r="B42" s="296" t="s">
        <v>308</v>
      </c>
      <c r="C42" s="297"/>
      <c r="D42" s="297"/>
      <c r="E42" s="297"/>
      <c r="F42" s="297"/>
      <c r="G42" s="297"/>
      <c r="H42" s="297"/>
      <c r="I42" s="297"/>
      <c r="J42" s="297"/>
      <c r="K42" s="297"/>
      <c r="L42" s="497">
        <f>L10+L14+L24+L31</f>
        <v>1724350</v>
      </c>
      <c r="M42" s="498">
        <f>M10+M14+M24+M31</f>
        <v>24462761.580000006</v>
      </c>
      <c r="N42" s="297"/>
      <c r="O42" s="297"/>
      <c r="P42" s="297"/>
      <c r="Q42" s="297"/>
      <c r="R42" s="297"/>
      <c r="S42" s="297"/>
      <c r="T42" s="297"/>
      <c r="U42" s="297"/>
      <c r="V42" s="297"/>
      <c r="W42" s="499">
        <v>1724350</v>
      </c>
      <c r="X42" s="498">
        <v>24462761.580000006</v>
      </c>
    </row>
    <row r="43" spans="2:24" ht="12.75">
      <c r="B43" s="299" t="s">
        <v>309</v>
      </c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"/>
      <c r="R43" s="301"/>
      <c r="U43" s="3"/>
      <c r="V43" s="3"/>
      <c r="W43" s="3"/>
      <c r="X43" s="3"/>
    </row>
    <row r="44" spans="2:24" ht="12.75">
      <c r="B44" s="290" t="s">
        <v>310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3"/>
      <c r="R44" s="301"/>
      <c r="W44" s="3"/>
      <c r="X44" s="3"/>
    </row>
    <row r="45" spans="2:24" ht="12.75">
      <c r="B45" s="290" t="s">
        <v>311</v>
      </c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3"/>
      <c r="R45" s="301"/>
      <c r="W45" s="218"/>
      <c r="X45" s="3"/>
    </row>
    <row r="46" spans="2:24" ht="12.75">
      <c r="B46" s="290" t="s">
        <v>312</v>
      </c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</row>
  </sheetData>
  <sheetProtection/>
  <mergeCells count="3">
    <mergeCell ref="B2:X2"/>
    <mergeCell ref="C7:M7"/>
    <mergeCell ref="N7:X7"/>
  </mergeCells>
  <printOptions/>
  <pageMargins left="0.2" right="0.1968503937007874" top="0.7480314960629921" bottom="0.7480314960629921" header="0.31496062992125984" footer="0.31496062992125984"/>
  <pageSetup horizontalDpi="200" verticalDpi="2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3:J26"/>
  <sheetViews>
    <sheetView workbookViewId="0" topLeftCell="A1">
      <selection activeCell="B4" sqref="B4:G5"/>
    </sheetView>
  </sheetViews>
  <sheetFormatPr defaultColWidth="11.421875" defaultRowHeight="12.75"/>
  <cols>
    <col min="2" max="2" width="58.8515625" style="0" customWidth="1"/>
    <col min="3" max="3" width="11.57421875" style="0" bestFit="1" customWidth="1"/>
    <col min="4" max="4" width="12.7109375" style="0" bestFit="1" customWidth="1"/>
    <col min="5" max="5" width="11.57421875" style="0" bestFit="1" customWidth="1"/>
    <col min="6" max="6" width="13.00390625" style="0" bestFit="1" customWidth="1"/>
    <col min="7" max="7" width="11.57421875" style="0" bestFit="1" customWidth="1"/>
    <col min="8" max="8" width="12.7109375" style="0" bestFit="1" customWidth="1"/>
    <col min="9" max="10" width="11.57421875" style="0" bestFit="1" customWidth="1"/>
  </cols>
  <sheetData>
    <row r="3" spans="2:10" ht="23.25">
      <c r="B3" s="631" t="s">
        <v>245</v>
      </c>
      <c r="C3" s="631"/>
      <c r="D3" s="631"/>
      <c r="E3" s="631"/>
      <c r="F3" s="631"/>
      <c r="G3" s="631"/>
      <c r="H3" s="631"/>
      <c r="I3" s="631"/>
      <c r="J3" s="631"/>
    </row>
    <row r="4" spans="2:10" ht="15" customHeight="1">
      <c r="B4" s="639" t="s">
        <v>600</v>
      </c>
      <c r="C4" s="639"/>
      <c r="D4" s="639"/>
      <c r="E4" s="639"/>
      <c r="F4" s="639"/>
      <c r="G4" s="639"/>
      <c r="H4" s="500"/>
      <c r="I4" s="289"/>
      <c r="J4" s="289"/>
    </row>
    <row r="5" spans="2:10" ht="15.75">
      <c r="B5" s="553" t="s">
        <v>422</v>
      </c>
      <c r="C5" s="234"/>
      <c r="D5" s="234"/>
      <c r="E5" s="234"/>
      <c r="F5" s="234"/>
      <c r="G5" s="234"/>
      <c r="H5" s="289"/>
      <c r="I5" s="289"/>
      <c r="J5" s="289"/>
    </row>
    <row r="6" spans="2:10" ht="13.5" thickBot="1">
      <c r="B6" s="3"/>
      <c r="C6" s="8"/>
      <c r="D6" s="3"/>
      <c r="E6" s="3"/>
      <c r="F6" s="8"/>
      <c r="G6" s="3"/>
      <c r="H6" s="3"/>
      <c r="I6" s="3"/>
      <c r="J6" s="3"/>
    </row>
    <row r="7" spans="2:10" ht="13.5" thickBot="1">
      <c r="B7" s="432" t="s">
        <v>290</v>
      </c>
      <c r="C7" s="635" t="s">
        <v>313</v>
      </c>
      <c r="D7" s="635"/>
      <c r="E7" s="636" t="s">
        <v>314</v>
      </c>
      <c r="F7" s="637"/>
      <c r="G7" s="636" t="s">
        <v>315</v>
      </c>
      <c r="H7" s="638"/>
      <c r="I7" s="636" t="s">
        <v>647</v>
      </c>
      <c r="J7" s="638"/>
    </row>
    <row r="8" spans="2:10" ht="36.75" thickBot="1">
      <c r="B8" s="415" t="s">
        <v>293</v>
      </c>
      <c r="C8" s="416" t="s">
        <v>316</v>
      </c>
      <c r="D8" s="416" t="s">
        <v>317</v>
      </c>
      <c r="E8" s="415" t="s">
        <v>316</v>
      </c>
      <c r="F8" s="520" t="s">
        <v>317</v>
      </c>
      <c r="G8" s="415" t="s">
        <v>316</v>
      </c>
      <c r="H8" s="520" t="s">
        <v>317</v>
      </c>
      <c r="I8" s="415" t="s">
        <v>316</v>
      </c>
      <c r="J8" s="520" t="s">
        <v>317</v>
      </c>
    </row>
    <row r="9" spans="2:10" ht="12.75">
      <c r="B9" s="501" t="s">
        <v>318</v>
      </c>
      <c r="C9" s="502">
        <v>147</v>
      </c>
      <c r="D9" s="503">
        <f>2850696+14980668+2941428+75760</f>
        <v>20848552</v>
      </c>
      <c r="E9" s="504">
        <v>147</v>
      </c>
      <c r="F9" s="505">
        <f>17749656+2941428+28462</f>
        <v>20719546</v>
      </c>
      <c r="G9" s="504">
        <v>147</v>
      </c>
      <c r="H9" s="506">
        <v>20692200</v>
      </c>
      <c r="I9" s="507">
        <f>+E9-G9</f>
        <v>0</v>
      </c>
      <c r="J9" s="508">
        <f>+F9-H9</f>
        <v>27346</v>
      </c>
    </row>
    <row r="10" spans="2:10" ht="12.75">
      <c r="B10" s="302" t="s">
        <v>319</v>
      </c>
      <c r="C10" s="509">
        <v>140</v>
      </c>
      <c r="D10" s="510">
        <v>267472</v>
      </c>
      <c r="E10" s="511">
        <v>140</v>
      </c>
      <c r="F10" s="512">
        <v>758818</v>
      </c>
      <c r="G10" s="511">
        <v>140</v>
      </c>
      <c r="H10" s="506">
        <v>266262</v>
      </c>
      <c r="I10" s="507">
        <f>+E10-G10</f>
        <v>0</v>
      </c>
      <c r="J10" s="508">
        <f>+F10-H10</f>
        <v>492556</v>
      </c>
    </row>
    <row r="11" spans="2:10" ht="12.75">
      <c r="B11" s="302" t="s">
        <v>320</v>
      </c>
      <c r="C11" s="513"/>
      <c r="D11" s="514"/>
      <c r="E11" s="515"/>
      <c r="F11" s="506"/>
      <c r="G11" s="515"/>
      <c r="H11" s="304"/>
      <c r="I11" s="303"/>
      <c r="J11" s="304"/>
    </row>
    <row r="12" spans="2:10" ht="12.75">
      <c r="B12" s="305" t="s">
        <v>321</v>
      </c>
      <c r="C12" s="513"/>
      <c r="D12" s="514"/>
      <c r="E12" s="515"/>
      <c r="F12" s="506"/>
      <c r="G12" s="515"/>
      <c r="H12" s="304"/>
      <c r="I12" s="303"/>
      <c r="J12" s="304"/>
    </row>
    <row r="13" spans="2:10" ht="12.75">
      <c r="B13" s="302" t="s">
        <v>322</v>
      </c>
      <c r="C13" s="513"/>
      <c r="D13" s="514"/>
      <c r="E13" s="515"/>
      <c r="F13" s="506"/>
      <c r="G13" s="515"/>
      <c r="H13" s="304"/>
      <c r="I13" s="303"/>
      <c r="J13" s="304"/>
    </row>
    <row r="14" spans="2:10" ht="12.75">
      <c r="B14" s="305" t="s">
        <v>323</v>
      </c>
      <c r="C14" s="513">
        <v>147</v>
      </c>
      <c r="D14" s="514">
        <f>2971894+490238+56000</f>
        <v>3518132</v>
      </c>
      <c r="E14" s="516">
        <v>147</v>
      </c>
      <c r="F14" s="506">
        <f>3448514+55600</f>
        <v>3504114</v>
      </c>
      <c r="G14" s="516">
        <v>147</v>
      </c>
      <c r="H14" s="506">
        <v>3504300</v>
      </c>
      <c r="I14" s="507">
        <f>+E14-G14</f>
        <v>0</v>
      </c>
      <c r="J14" s="517">
        <f>+F14-H14</f>
        <v>-186</v>
      </c>
    </row>
    <row r="15" spans="2:10" ht="12.75">
      <c r="B15" s="302" t="s">
        <v>324</v>
      </c>
      <c r="C15" s="513"/>
      <c r="D15" s="514"/>
      <c r="E15" s="518"/>
      <c r="F15" s="506"/>
      <c r="G15" s="518"/>
      <c r="H15" s="304"/>
      <c r="I15" s="303"/>
      <c r="J15" s="304"/>
    </row>
    <row r="16" spans="2:10" ht="12.75">
      <c r="B16" s="302" t="s">
        <v>325</v>
      </c>
      <c r="C16" s="513"/>
      <c r="D16" s="514"/>
      <c r="E16" s="518"/>
      <c r="F16" s="506"/>
      <c r="G16" s="518"/>
      <c r="H16" s="304"/>
      <c r="I16" s="303"/>
      <c r="J16" s="304"/>
    </row>
    <row r="17" spans="2:10" ht="12.75">
      <c r="B17" s="302" t="s">
        <v>326</v>
      </c>
      <c r="C17" s="513"/>
      <c r="D17" s="514"/>
      <c r="E17" s="518"/>
      <c r="F17" s="506"/>
      <c r="G17" s="518"/>
      <c r="H17" s="304"/>
      <c r="I17" s="303"/>
      <c r="J17" s="304"/>
    </row>
    <row r="18" spans="2:10" ht="12.75">
      <c r="B18" s="302" t="s">
        <v>327</v>
      </c>
      <c r="C18" s="513">
        <v>147</v>
      </c>
      <c r="D18" s="514">
        <v>1869553</v>
      </c>
      <c r="E18" s="515">
        <v>147</v>
      </c>
      <c r="F18" s="506">
        <v>1862197</v>
      </c>
      <c r="G18" s="515">
        <v>147</v>
      </c>
      <c r="H18" s="506">
        <v>1889494</v>
      </c>
      <c r="I18" s="507">
        <f>+E18-G18</f>
        <v>0</v>
      </c>
      <c r="J18" s="517">
        <f>+F18-H18</f>
        <v>-27297</v>
      </c>
    </row>
    <row r="19" spans="2:10" ht="12.75">
      <c r="B19" s="302" t="s">
        <v>328</v>
      </c>
      <c r="C19" s="513"/>
      <c r="D19" s="514"/>
      <c r="E19" s="518"/>
      <c r="F19" s="506"/>
      <c r="G19" s="518"/>
      <c r="H19" s="304"/>
      <c r="I19" s="303"/>
      <c r="J19" s="304"/>
    </row>
    <row r="20" spans="2:10" ht="12.75">
      <c r="B20" s="302" t="s">
        <v>329</v>
      </c>
      <c r="C20" s="513"/>
      <c r="D20" s="514"/>
      <c r="E20" s="518"/>
      <c r="F20" s="506"/>
      <c r="G20" s="518"/>
      <c r="H20" s="304"/>
      <c r="I20" s="303"/>
      <c r="J20" s="304"/>
    </row>
    <row r="21" spans="2:10" ht="12.75">
      <c r="B21" s="302" t="s">
        <v>330</v>
      </c>
      <c r="C21" s="513"/>
      <c r="D21" s="514"/>
      <c r="E21" s="518"/>
      <c r="F21" s="506"/>
      <c r="G21" s="518"/>
      <c r="H21" s="304"/>
      <c r="I21" s="303"/>
      <c r="J21" s="304"/>
    </row>
    <row r="22" spans="2:10" ht="12.75">
      <c r="B22" s="302" t="s">
        <v>331</v>
      </c>
      <c r="C22" s="513"/>
      <c r="D22" s="514"/>
      <c r="E22" s="518"/>
      <c r="F22" s="506"/>
      <c r="G22" s="518"/>
      <c r="H22" s="304"/>
      <c r="I22" s="303"/>
      <c r="J22" s="304"/>
    </row>
    <row r="23" spans="2:10" ht="12.75">
      <c r="B23" s="302" t="s">
        <v>332</v>
      </c>
      <c r="C23" s="513"/>
      <c r="D23" s="514">
        <v>311745</v>
      </c>
      <c r="E23" s="518"/>
      <c r="F23" s="506">
        <v>319475</v>
      </c>
      <c r="G23" s="518"/>
      <c r="H23" s="506">
        <v>229008</v>
      </c>
      <c r="I23" s="507">
        <f>+E23-G23</f>
        <v>0</v>
      </c>
      <c r="J23" s="517">
        <f>+F23-H23</f>
        <v>90467</v>
      </c>
    </row>
    <row r="24" spans="2:10" ht="13.5" thickBot="1">
      <c r="B24" s="302" t="s">
        <v>648</v>
      </c>
      <c r="C24" s="513">
        <v>147</v>
      </c>
      <c r="D24" s="514">
        <v>1978726</v>
      </c>
      <c r="E24" s="515">
        <v>147</v>
      </c>
      <c r="F24" s="506">
        <v>2245089</v>
      </c>
      <c r="G24" s="515">
        <v>147</v>
      </c>
      <c r="H24" s="506">
        <v>2567781</v>
      </c>
      <c r="I24" s="507">
        <f>+E24-G24</f>
        <v>0</v>
      </c>
      <c r="J24" s="517">
        <f>+F24-H24</f>
        <v>-322692</v>
      </c>
    </row>
    <row r="25" spans="2:10" ht="13.5" thickBot="1">
      <c r="B25" s="296" t="s">
        <v>36</v>
      </c>
      <c r="C25" s="298"/>
      <c r="D25" s="519">
        <f>SUM(D9:D24)</f>
        <v>28794180</v>
      </c>
      <c r="E25" s="306"/>
      <c r="F25" s="199">
        <f>SUM(F9:F24)</f>
        <v>29409239</v>
      </c>
      <c r="G25" s="306"/>
      <c r="H25" s="199">
        <f>SUM(H9:H24)</f>
        <v>29149045</v>
      </c>
      <c r="I25" s="306"/>
      <c r="J25" s="307"/>
    </row>
    <row r="26" spans="2:10" ht="12.75">
      <c r="B26" s="299" t="s">
        <v>333</v>
      </c>
      <c r="C26" s="300"/>
      <c r="D26" s="300"/>
      <c r="E26" s="300"/>
      <c r="F26" s="300"/>
      <c r="G26" s="300"/>
      <c r="H26" s="300"/>
      <c r="I26" s="300"/>
      <c r="J26" s="300"/>
    </row>
  </sheetData>
  <sheetProtection/>
  <mergeCells count="6">
    <mergeCell ref="C7:D7"/>
    <mergeCell ref="E7:F7"/>
    <mergeCell ref="G7:H7"/>
    <mergeCell ref="I7:J7"/>
    <mergeCell ref="B3:J3"/>
    <mergeCell ref="B4:G4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3:AJ56"/>
  <sheetViews>
    <sheetView workbookViewId="0" topLeftCell="B5">
      <selection activeCell="B5" sqref="B5:B6"/>
    </sheetView>
  </sheetViews>
  <sheetFormatPr defaultColWidth="11.421875" defaultRowHeight="12.75"/>
  <cols>
    <col min="2" max="2" width="50.28125" style="0" customWidth="1"/>
    <col min="16" max="16" width="13.140625" style="0" customWidth="1"/>
    <col min="17" max="17" width="15.00390625" style="0" customWidth="1"/>
    <col min="20" max="20" width="8.28125" style="0" customWidth="1"/>
    <col min="21" max="21" width="8.57421875" style="0" customWidth="1"/>
    <col min="22" max="22" width="8.140625" style="0" customWidth="1"/>
    <col min="24" max="24" width="8.28125" style="0" customWidth="1"/>
    <col min="25" max="25" width="8.140625" style="0" customWidth="1"/>
    <col min="31" max="31" width="12.8515625" style="0" customWidth="1"/>
    <col min="32" max="32" width="15.00390625" style="0" customWidth="1"/>
    <col min="33" max="33" width="9.28125" style="0" customWidth="1"/>
    <col min="34" max="34" width="8.57421875" style="0" customWidth="1"/>
    <col min="36" max="36" width="16.140625" style="0" customWidth="1"/>
  </cols>
  <sheetData>
    <row r="3" spans="2:36" ht="23.25">
      <c r="B3" s="631" t="s">
        <v>245</v>
      </c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631"/>
      <c r="AF3" s="631"/>
      <c r="AG3" s="631"/>
      <c r="AH3" s="631"/>
      <c r="AI3" s="631"/>
      <c r="AJ3" s="631"/>
    </row>
    <row r="5" spans="2:36" ht="12.75">
      <c r="B5" s="555" t="s">
        <v>334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</row>
    <row r="6" spans="2:36" ht="12.75">
      <c r="B6" s="553" t="s">
        <v>422</v>
      </c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1"/>
      <c r="AG6" s="301"/>
      <c r="AH6" s="301"/>
      <c r="AI6" s="301"/>
      <c r="AJ6" s="301"/>
    </row>
    <row r="7" spans="2:36" ht="13.5" thickBot="1"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</row>
    <row r="8" spans="2:36" ht="13.5" thickBot="1">
      <c r="B8" s="629" t="s">
        <v>335</v>
      </c>
      <c r="C8" s="644" t="s">
        <v>336</v>
      </c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5" t="s">
        <v>337</v>
      </c>
      <c r="S8" s="644"/>
      <c r="T8" s="644"/>
      <c r="U8" s="644"/>
      <c r="V8" s="644"/>
      <c r="W8" s="644"/>
      <c r="X8" s="644"/>
      <c r="Y8" s="644"/>
      <c r="Z8" s="644"/>
      <c r="AA8" s="644"/>
      <c r="AB8" s="644"/>
      <c r="AC8" s="644"/>
      <c r="AD8" s="644"/>
      <c r="AE8" s="644"/>
      <c r="AF8" s="646"/>
      <c r="AG8" s="640" t="s">
        <v>338</v>
      </c>
      <c r="AH8" s="641"/>
      <c r="AI8" s="640" t="s">
        <v>339</v>
      </c>
      <c r="AJ8" s="641"/>
    </row>
    <row r="9" spans="2:36" ht="97.5">
      <c r="B9" s="642"/>
      <c r="C9" s="310" t="s">
        <v>340</v>
      </c>
      <c r="D9" s="311" t="s">
        <v>341</v>
      </c>
      <c r="E9" s="312" t="s">
        <v>342</v>
      </c>
      <c r="F9" s="312" t="s">
        <v>343</v>
      </c>
      <c r="G9" s="312" t="s">
        <v>344</v>
      </c>
      <c r="H9" s="312" t="s">
        <v>345</v>
      </c>
      <c r="I9" s="312" t="s">
        <v>346</v>
      </c>
      <c r="J9" s="312" t="s">
        <v>347</v>
      </c>
      <c r="K9" s="312" t="s">
        <v>348</v>
      </c>
      <c r="L9" s="312" t="s">
        <v>349</v>
      </c>
      <c r="M9" s="312" t="s">
        <v>350</v>
      </c>
      <c r="N9" s="312" t="s">
        <v>351</v>
      </c>
      <c r="O9" s="313" t="s">
        <v>352</v>
      </c>
      <c r="P9" s="314" t="s">
        <v>353</v>
      </c>
      <c r="Q9" s="315" t="s">
        <v>354</v>
      </c>
      <c r="R9" s="310" t="s">
        <v>340</v>
      </c>
      <c r="S9" s="311" t="s">
        <v>341</v>
      </c>
      <c r="T9" s="312" t="s">
        <v>355</v>
      </c>
      <c r="U9" s="312" t="s">
        <v>343</v>
      </c>
      <c r="V9" s="312" t="s">
        <v>344</v>
      </c>
      <c r="W9" s="312" t="s">
        <v>345</v>
      </c>
      <c r="X9" s="312" t="s">
        <v>346</v>
      </c>
      <c r="Y9" s="312" t="s">
        <v>347</v>
      </c>
      <c r="Z9" s="312" t="s">
        <v>348</v>
      </c>
      <c r="AA9" s="312" t="s">
        <v>349</v>
      </c>
      <c r="AB9" s="312" t="s">
        <v>350</v>
      </c>
      <c r="AC9" s="312" t="s">
        <v>351</v>
      </c>
      <c r="AD9" s="313" t="s">
        <v>352</v>
      </c>
      <c r="AE9" s="314" t="s">
        <v>353</v>
      </c>
      <c r="AF9" s="315" t="s">
        <v>649</v>
      </c>
      <c r="AG9" s="316" t="s">
        <v>356</v>
      </c>
      <c r="AH9" s="316" t="s">
        <v>357</v>
      </c>
      <c r="AI9" s="316" t="s">
        <v>340</v>
      </c>
      <c r="AJ9" s="315" t="s">
        <v>650</v>
      </c>
    </row>
    <row r="10" spans="2:36" ht="13.5" thickBot="1">
      <c r="B10" s="643"/>
      <c r="C10" s="317" t="s">
        <v>358</v>
      </c>
      <c r="D10" s="318" t="s">
        <v>359</v>
      </c>
      <c r="E10" s="319" t="s">
        <v>360</v>
      </c>
      <c r="F10" s="319" t="s">
        <v>361</v>
      </c>
      <c r="G10" s="320" t="s">
        <v>362</v>
      </c>
      <c r="H10" s="320" t="s">
        <v>363</v>
      </c>
      <c r="I10" s="320" t="s">
        <v>364</v>
      </c>
      <c r="J10" s="320" t="s">
        <v>365</v>
      </c>
      <c r="K10" s="320" t="s">
        <v>366</v>
      </c>
      <c r="L10" s="320" t="s">
        <v>367</v>
      </c>
      <c r="M10" s="320" t="s">
        <v>368</v>
      </c>
      <c r="N10" s="320" t="s">
        <v>369</v>
      </c>
      <c r="O10" s="321" t="s">
        <v>370</v>
      </c>
      <c r="P10" s="322" t="s">
        <v>371</v>
      </c>
      <c r="Q10" s="323" t="s">
        <v>372</v>
      </c>
      <c r="R10" s="317" t="s">
        <v>358</v>
      </c>
      <c r="S10" s="318" t="s">
        <v>359</v>
      </c>
      <c r="T10" s="319" t="s">
        <v>360</v>
      </c>
      <c r="U10" s="319" t="s">
        <v>361</v>
      </c>
      <c r="V10" s="320" t="s">
        <v>362</v>
      </c>
      <c r="W10" s="320" t="s">
        <v>363</v>
      </c>
      <c r="X10" s="320" t="s">
        <v>364</v>
      </c>
      <c r="Y10" s="320" t="s">
        <v>365</v>
      </c>
      <c r="Z10" s="320" t="s">
        <v>366</v>
      </c>
      <c r="AA10" s="320" t="s">
        <v>367</v>
      </c>
      <c r="AB10" s="320" t="s">
        <v>368</v>
      </c>
      <c r="AC10" s="320" t="s">
        <v>369</v>
      </c>
      <c r="AD10" s="321" t="s">
        <v>370</v>
      </c>
      <c r="AE10" s="322" t="s">
        <v>371</v>
      </c>
      <c r="AF10" s="323" t="s">
        <v>372</v>
      </c>
      <c r="AG10" s="324"/>
      <c r="AH10" s="317"/>
      <c r="AI10" s="324"/>
      <c r="AJ10" s="317"/>
    </row>
    <row r="11" spans="2:36" ht="12.75">
      <c r="B11" s="15"/>
      <c r="C11" s="9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"/>
      <c r="P11" s="326"/>
      <c r="Q11" s="327"/>
      <c r="R11" s="9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"/>
      <c r="AE11" s="326"/>
      <c r="AF11" s="327"/>
      <c r="AG11" s="327"/>
      <c r="AH11" s="9"/>
      <c r="AI11" s="327"/>
      <c r="AJ11" s="9"/>
    </row>
    <row r="12" spans="2:36" ht="12.75">
      <c r="B12" s="9" t="s">
        <v>651</v>
      </c>
      <c r="C12" s="521">
        <v>7</v>
      </c>
      <c r="D12" s="522">
        <v>35017</v>
      </c>
      <c r="E12" s="522"/>
      <c r="F12" s="522"/>
      <c r="G12" s="522"/>
      <c r="H12" s="522"/>
      <c r="I12" s="522"/>
      <c r="J12" s="522"/>
      <c r="K12" s="522">
        <v>0</v>
      </c>
      <c r="L12" s="522">
        <v>35017</v>
      </c>
      <c r="M12" s="522">
        <v>70034</v>
      </c>
      <c r="N12" s="522">
        <v>0</v>
      </c>
      <c r="O12" s="523">
        <v>70034</v>
      </c>
      <c r="P12" s="524">
        <v>490238</v>
      </c>
      <c r="Q12" s="525">
        <v>3431666</v>
      </c>
      <c r="R12" s="521">
        <v>7</v>
      </c>
      <c r="S12" s="522">
        <v>35017</v>
      </c>
      <c r="T12" s="522"/>
      <c r="U12" s="522"/>
      <c r="V12" s="522"/>
      <c r="W12" s="522"/>
      <c r="X12" s="522"/>
      <c r="Y12" s="522"/>
      <c r="Z12" s="522">
        <v>0</v>
      </c>
      <c r="AA12" s="522">
        <v>35017</v>
      </c>
      <c r="AB12" s="522">
        <v>70034</v>
      </c>
      <c r="AC12" s="522">
        <v>0</v>
      </c>
      <c r="AD12" s="523">
        <v>70034</v>
      </c>
      <c r="AE12" s="524">
        <v>490238</v>
      </c>
      <c r="AF12" s="525">
        <v>3431666</v>
      </c>
      <c r="AG12" s="327"/>
      <c r="AH12" s="9"/>
      <c r="AI12" s="327"/>
      <c r="AJ12" s="525">
        <v>3431666</v>
      </c>
    </row>
    <row r="13" spans="2:36" ht="12.75">
      <c r="B13" s="9" t="s">
        <v>373</v>
      </c>
      <c r="C13" s="521"/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3"/>
      <c r="P13" s="524"/>
      <c r="Q13" s="525"/>
      <c r="R13" s="521"/>
      <c r="S13" s="522"/>
      <c r="T13" s="522"/>
      <c r="U13" s="522"/>
      <c r="V13" s="522"/>
      <c r="W13" s="522"/>
      <c r="X13" s="522"/>
      <c r="Y13" s="522"/>
      <c r="Z13" s="522"/>
      <c r="AA13" s="522"/>
      <c r="AB13" s="522"/>
      <c r="AC13" s="522"/>
      <c r="AD13" s="523"/>
      <c r="AE13" s="524"/>
      <c r="AF13" s="525"/>
      <c r="AG13" s="327"/>
      <c r="AH13" s="9"/>
      <c r="AI13" s="327"/>
      <c r="AJ13" s="525"/>
    </row>
    <row r="14" spans="2:36" ht="12.75">
      <c r="B14" s="9" t="s">
        <v>633</v>
      </c>
      <c r="C14" s="521">
        <v>1</v>
      </c>
      <c r="D14" s="522">
        <v>22500</v>
      </c>
      <c r="E14" s="522"/>
      <c r="F14" s="522"/>
      <c r="G14" s="522"/>
      <c r="H14" s="522"/>
      <c r="I14" s="522"/>
      <c r="J14" s="522"/>
      <c r="K14" s="522">
        <v>93</v>
      </c>
      <c r="L14" s="522">
        <v>22593</v>
      </c>
      <c r="M14" s="522">
        <v>45586</v>
      </c>
      <c r="N14" s="522">
        <v>4066.74</v>
      </c>
      <c r="O14" s="523">
        <v>49652.74</v>
      </c>
      <c r="P14" s="524">
        <v>320768.74</v>
      </c>
      <c r="Q14" s="525">
        <v>320768.74</v>
      </c>
      <c r="R14" s="521">
        <v>1</v>
      </c>
      <c r="S14" s="522">
        <v>22500</v>
      </c>
      <c r="T14" s="522"/>
      <c r="U14" s="522"/>
      <c r="V14" s="522"/>
      <c r="W14" s="522"/>
      <c r="X14" s="522"/>
      <c r="Y14" s="522"/>
      <c r="Z14" s="522">
        <v>93</v>
      </c>
      <c r="AA14" s="522">
        <v>22593</v>
      </c>
      <c r="AB14" s="522">
        <v>45586</v>
      </c>
      <c r="AC14" s="522">
        <v>4066.74</v>
      </c>
      <c r="AD14" s="523">
        <v>49652.74</v>
      </c>
      <c r="AE14" s="524">
        <v>320768.74</v>
      </c>
      <c r="AF14" s="525">
        <v>320768.74</v>
      </c>
      <c r="AG14" s="327"/>
      <c r="AH14" s="9"/>
      <c r="AI14" s="327"/>
      <c r="AJ14" s="525">
        <v>320768.74</v>
      </c>
    </row>
    <row r="15" spans="2:36" ht="12.75">
      <c r="B15" s="9" t="s">
        <v>634</v>
      </c>
      <c r="C15" s="521">
        <v>1</v>
      </c>
      <c r="D15" s="522">
        <v>20000</v>
      </c>
      <c r="E15" s="522"/>
      <c r="F15" s="522"/>
      <c r="G15" s="522"/>
      <c r="H15" s="522"/>
      <c r="I15" s="522"/>
      <c r="J15" s="522"/>
      <c r="K15" s="522">
        <v>0</v>
      </c>
      <c r="L15" s="522">
        <v>20000</v>
      </c>
      <c r="M15" s="522">
        <v>40400</v>
      </c>
      <c r="N15" s="522">
        <v>3600</v>
      </c>
      <c r="O15" s="523">
        <v>44000</v>
      </c>
      <c r="P15" s="524">
        <v>284000</v>
      </c>
      <c r="Q15" s="525">
        <v>284000</v>
      </c>
      <c r="R15" s="521">
        <v>1</v>
      </c>
      <c r="S15" s="522">
        <v>20000</v>
      </c>
      <c r="T15" s="522"/>
      <c r="U15" s="522"/>
      <c r="V15" s="522"/>
      <c r="W15" s="522"/>
      <c r="X15" s="522"/>
      <c r="Y15" s="522"/>
      <c r="Z15" s="522">
        <v>0</v>
      </c>
      <c r="AA15" s="522">
        <v>20000</v>
      </c>
      <c r="AB15" s="522">
        <v>40400</v>
      </c>
      <c r="AC15" s="522">
        <v>3600</v>
      </c>
      <c r="AD15" s="523">
        <v>44000</v>
      </c>
      <c r="AE15" s="524">
        <v>284000</v>
      </c>
      <c r="AF15" s="525">
        <v>284000</v>
      </c>
      <c r="AG15" s="327"/>
      <c r="AH15" s="9"/>
      <c r="AI15" s="327"/>
      <c r="AJ15" s="525">
        <v>284000</v>
      </c>
    </row>
    <row r="16" spans="2:36" ht="12.75">
      <c r="B16" s="9" t="s">
        <v>635</v>
      </c>
      <c r="C16" s="521">
        <v>1</v>
      </c>
      <c r="D16" s="522">
        <v>19000</v>
      </c>
      <c r="E16" s="522"/>
      <c r="F16" s="522"/>
      <c r="G16" s="522"/>
      <c r="H16" s="522"/>
      <c r="I16" s="522"/>
      <c r="J16" s="522"/>
      <c r="K16" s="522">
        <v>93</v>
      </c>
      <c r="L16" s="522">
        <v>19093</v>
      </c>
      <c r="M16" s="522">
        <v>38586</v>
      </c>
      <c r="N16" s="522">
        <v>3436.74</v>
      </c>
      <c r="O16" s="523">
        <v>42022.74</v>
      </c>
      <c r="P16" s="524">
        <v>271138.74</v>
      </c>
      <c r="Q16" s="525">
        <v>271138.74</v>
      </c>
      <c r="R16" s="521">
        <v>1</v>
      </c>
      <c r="S16" s="522">
        <v>19000</v>
      </c>
      <c r="T16" s="522"/>
      <c r="U16" s="522"/>
      <c r="V16" s="522"/>
      <c r="W16" s="522"/>
      <c r="X16" s="522"/>
      <c r="Y16" s="522"/>
      <c r="Z16" s="522">
        <v>93</v>
      </c>
      <c r="AA16" s="522">
        <v>19093</v>
      </c>
      <c r="AB16" s="522">
        <v>38586</v>
      </c>
      <c r="AC16" s="522">
        <v>3436.74</v>
      </c>
      <c r="AD16" s="523">
        <v>42022.74</v>
      </c>
      <c r="AE16" s="524">
        <v>271138.74</v>
      </c>
      <c r="AF16" s="525">
        <v>271138.74</v>
      </c>
      <c r="AG16" s="327"/>
      <c r="AH16" s="9"/>
      <c r="AI16" s="327"/>
      <c r="AJ16" s="525">
        <v>271138.74</v>
      </c>
    </row>
    <row r="17" spans="2:36" ht="12.75">
      <c r="B17" s="9" t="s">
        <v>636</v>
      </c>
      <c r="C17" s="521">
        <v>7</v>
      </c>
      <c r="D17" s="522">
        <v>17500</v>
      </c>
      <c r="E17" s="522"/>
      <c r="F17" s="522"/>
      <c r="G17" s="522"/>
      <c r="H17" s="522"/>
      <c r="I17" s="522"/>
      <c r="J17" s="522"/>
      <c r="K17" s="522">
        <v>93</v>
      </c>
      <c r="L17" s="522">
        <v>17593</v>
      </c>
      <c r="M17" s="522">
        <v>35586</v>
      </c>
      <c r="N17" s="522">
        <v>3166.74</v>
      </c>
      <c r="O17" s="523">
        <v>38752.74</v>
      </c>
      <c r="P17" s="524">
        <v>249868.74</v>
      </c>
      <c r="Q17" s="525">
        <v>1749081.18</v>
      </c>
      <c r="R17" s="521">
        <v>7</v>
      </c>
      <c r="S17" s="522">
        <v>17500</v>
      </c>
      <c r="T17" s="522"/>
      <c r="U17" s="522"/>
      <c r="V17" s="522"/>
      <c r="W17" s="522"/>
      <c r="X17" s="522"/>
      <c r="Y17" s="522"/>
      <c r="Z17" s="522">
        <v>93</v>
      </c>
      <c r="AA17" s="522">
        <v>17593</v>
      </c>
      <c r="AB17" s="522">
        <v>35586</v>
      </c>
      <c r="AC17" s="522">
        <v>3166.74</v>
      </c>
      <c r="AD17" s="523">
        <v>38752.74</v>
      </c>
      <c r="AE17" s="524">
        <v>249868.74</v>
      </c>
      <c r="AF17" s="525">
        <v>1749081.18</v>
      </c>
      <c r="AG17" s="327"/>
      <c r="AH17" s="9"/>
      <c r="AI17" s="327"/>
      <c r="AJ17" s="525">
        <v>1749081.18</v>
      </c>
    </row>
    <row r="18" spans="2:36" ht="12.75">
      <c r="B18" s="9" t="s">
        <v>636</v>
      </c>
      <c r="C18" s="521">
        <v>7</v>
      </c>
      <c r="D18" s="522">
        <v>17500</v>
      </c>
      <c r="E18" s="522"/>
      <c r="F18" s="522"/>
      <c r="G18" s="522"/>
      <c r="H18" s="522"/>
      <c r="I18" s="522"/>
      <c r="J18" s="522"/>
      <c r="K18" s="522">
        <v>0</v>
      </c>
      <c r="L18" s="522">
        <v>17500</v>
      </c>
      <c r="M18" s="522">
        <v>35400</v>
      </c>
      <c r="N18" s="522">
        <v>3150</v>
      </c>
      <c r="O18" s="523">
        <v>38550</v>
      </c>
      <c r="P18" s="524">
        <v>248550</v>
      </c>
      <c r="Q18" s="525">
        <v>1739850</v>
      </c>
      <c r="R18" s="521">
        <v>7</v>
      </c>
      <c r="S18" s="522">
        <v>17500</v>
      </c>
      <c r="T18" s="522"/>
      <c r="U18" s="522"/>
      <c r="V18" s="522"/>
      <c r="W18" s="522"/>
      <c r="X18" s="522"/>
      <c r="Y18" s="522"/>
      <c r="Z18" s="522">
        <v>0</v>
      </c>
      <c r="AA18" s="522">
        <v>17500</v>
      </c>
      <c r="AB18" s="522">
        <v>35400</v>
      </c>
      <c r="AC18" s="522">
        <v>3150</v>
      </c>
      <c r="AD18" s="523">
        <v>38550</v>
      </c>
      <c r="AE18" s="524">
        <v>248550</v>
      </c>
      <c r="AF18" s="525">
        <v>1739850</v>
      </c>
      <c r="AG18" s="327"/>
      <c r="AH18" s="9"/>
      <c r="AI18" s="327"/>
      <c r="AJ18" s="525">
        <v>1739850</v>
      </c>
    </row>
    <row r="19" spans="2:36" ht="12.75">
      <c r="B19" s="9" t="s">
        <v>637</v>
      </c>
      <c r="C19" s="521">
        <v>1</v>
      </c>
      <c r="D19" s="522">
        <v>17500</v>
      </c>
      <c r="E19" s="522"/>
      <c r="F19" s="522"/>
      <c r="G19" s="522"/>
      <c r="H19" s="522"/>
      <c r="I19" s="522"/>
      <c r="J19" s="522"/>
      <c r="K19" s="522">
        <v>93</v>
      </c>
      <c r="L19" s="522">
        <v>17593</v>
      </c>
      <c r="M19" s="522">
        <v>35586</v>
      </c>
      <c r="N19" s="522">
        <v>3166.74</v>
      </c>
      <c r="O19" s="523">
        <v>38752.74</v>
      </c>
      <c r="P19" s="524">
        <v>249868.74</v>
      </c>
      <c r="Q19" s="525">
        <v>249868.74</v>
      </c>
      <c r="R19" s="521">
        <v>1</v>
      </c>
      <c r="S19" s="522">
        <v>17500</v>
      </c>
      <c r="T19" s="522"/>
      <c r="U19" s="522"/>
      <c r="V19" s="522"/>
      <c r="W19" s="522"/>
      <c r="X19" s="522"/>
      <c r="Y19" s="522"/>
      <c r="Z19" s="522">
        <v>93</v>
      </c>
      <c r="AA19" s="522">
        <v>17593</v>
      </c>
      <c r="AB19" s="522">
        <v>35586</v>
      </c>
      <c r="AC19" s="522">
        <v>3166.74</v>
      </c>
      <c r="AD19" s="523">
        <v>38752.74</v>
      </c>
      <c r="AE19" s="524">
        <v>249868.74</v>
      </c>
      <c r="AF19" s="525">
        <v>249868.74</v>
      </c>
      <c r="AG19" s="327"/>
      <c r="AH19" s="9"/>
      <c r="AI19" s="327"/>
      <c r="AJ19" s="525">
        <v>249868.74</v>
      </c>
    </row>
    <row r="20" spans="2:36" ht="12.75">
      <c r="B20" s="9" t="s">
        <v>638</v>
      </c>
      <c r="C20" s="521">
        <v>2</v>
      </c>
      <c r="D20" s="522">
        <v>17500</v>
      </c>
      <c r="E20" s="522"/>
      <c r="F20" s="522"/>
      <c r="G20" s="522"/>
      <c r="H20" s="522"/>
      <c r="I20" s="522"/>
      <c r="J20" s="522"/>
      <c r="K20" s="522">
        <v>93</v>
      </c>
      <c r="L20" s="522">
        <v>17593</v>
      </c>
      <c r="M20" s="522">
        <v>35586</v>
      </c>
      <c r="N20" s="522">
        <v>3166.74</v>
      </c>
      <c r="O20" s="523">
        <v>38752.74</v>
      </c>
      <c r="P20" s="524">
        <v>249868.74</v>
      </c>
      <c r="Q20" s="525">
        <v>499737.48</v>
      </c>
      <c r="R20" s="521">
        <v>2</v>
      </c>
      <c r="S20" s="522">
        <v>17500</v>
      </c>
      <c r="T20" s="522"/>
      <c r="U20" s="522"/>
      <c r="V20" s="522"/>
      <c r="W20" s="522"/>
      <c r="X20" s="522"/>
      <c r="Y20" s="522"/>
      <c r="Z20" s="522">
        <v>93</v>
      </c>
      <c r="AA20" s="522">
        <v>17593</v>
      </c>
      <c r="AB20" s="522">
        <v>35586</v>
      </c>
      <c r="AC20" s="522">
        <v>3166.74</v>
      </c>
      <c r="AD20" s="523">
        <v>38752.74</v>
      </c>
      <c r="AE20" s="524">
        <v>249868.74</v>
      </c>
      <c r="AF20" s="525">
        <v>499737.48</v>
      </c>
      <c r="AG20" s="327"/>
      <c r="AH20" s="9"/>
      <c r="AI20" s="327"/>
      <c r="AJ20" s="525">
        <v>499737.48</v>
      </c>
    </row>
    <row r="21" spans="2:36" ht="12.75">
      <c r="B21" s="9" t="s">
        <v>638</v>
      </c>
      <c r="C21" s="521">
        <v>2</v>
      </c>
      <c r="D21" s="522">
        <v>17500</v>
      </c>
      <c r="E21" s="522"/>
      <c r="F21" s="522"/>
      <c r="G21" s="522"/>
      <c r="H21" s="522"/>
      <c r="I21" s="522"/>
      <c r="J21" s="522"/>
      <c r="K21" s="522">
        <v>0</v>
      </c>
      <c r="L21" s="522">
        <v>17500</v>
      </c>
      <c r="M21" s="522">
        <v>35400</v>
      </c>
      <c r="N21" s="522">
        <v>3150</v>
      </c>
      <c r="O21" s="523">
        <v>38550</v>
      </c>
      <c r="P21" s="524">
        <v>248550</v>
      </c>
      <c r="Q21" s="525">
        <v>497100</v>
      </c>
      <c r="R21" s="521">
        <v>2</v>
      </c>
      <c r="S21" s="522">
        <v>17500</v>
      </c>
      <c r="T21" s="522"/>
      <c r="U21" s="522"/>
      <c r="V21" s="522"/>
      <c r="W21" s="522"/>
      <c r="X21" s="522"/>
      <c r="Y21" s="522"/>
      <c r="Z21" s="522">
        <v>0</v>
      </c>
      <c r="AA21" s="522">
        <v>17500</v>
      </c>
      <c r="AB21" s="522">
        <v>35400</v>
      </c>
      <c r="AC21" s="522">
        <v>3150</v>
      </c>
      <c r="AD21" s="523">
        <v>38550</v>
      </c>
      <c r="AE21" s="524">
        <v>248550</v>
      </c>
      <c r="AF21" s="525">
        <v>497100</v>
      </c>
      <c r="AG21" s="327"/>
      <c r="AH21" s="9"/>
      <c r="AI21" s="327"/>
      <c r="AJ21" s="525">
        <v>497100</v>
      </c>
    </row>
    <row r="22" spans="2:36" ht="12.75">
      <c r="B22" s="9" t="s">
        <v>639</v>
      </c>
      <c r="C22" s="521"/>
      <c r="D22" s="522"/>
      <c r="E22" s="522"/>
      <c r="F22" s="522"/>
      <c r="G22" s="522"/>
      <c r="H22" s="522"/>
      <c r="I22" s="522"/>
      <c r="J22" s="522"/>
      <c r="K22" s="522">
        <v>0</v>
      </c>
      <c r="L22" s="522">
        <v>0</v>
      </c>
      <c r="M22" s="522">
        <v>0</v>
      </c>
      <c r="N22" s="522">
        <v>0</v>
      </c>
      <c r="O22" s="523">
        <v>0</v>
      </c>
      <c r="P22" s="524">
        <v>0</v>
      </c>
      <c r="Q22" s="525">
        <v>0</v>
      </c>
      <c r="R22" s="521"/>
      <c r="S22" s="522"/>
      <c r="T22" s="522"/>
      <c r="U22" s="522"/>
      <c r="V22" s="522"/>
      <c r="W22" s="522"/>
      <c r="X22" s="522"/>
      <c r="Y22" s="522"/>
      <c r="Z22" s="522">
        <v>0</v>
      </c>
      <c r="AA22" s="522">
        <v>0</v>
      </c>
      <c r="AB22" s="522">
        <v>0</v>
      </c>
      <c r="AC22" s="522">
        <v>0</v>
      </c>
      <c r="AD22" s="523">
        <v>0</v>
      </c>
      <c r="AE22" s="524">
        <v>0</v>
      </c>
      <c r="AF22" s="525">
        <v>0</v>
      </c>
      <c r="AG22" s="327"/>
      <c r="AH22" s="9"/>
      <c r="AI22" s="327"/>
      <c r="AJ22" s="525">
        <v>0</v>
      </c>
    </row>
    <row r="23" spans="2:36" ht="12.75">
      <c r="B23" s="9" t="s">
        <v>373</v>
      </c>
      <c r="C23" s="521"/>
      <c r="D23" s="522"/>
      <c r="E23" s="522"/>
      <c r="F23" s="522"/>
      <c r="G23" s="522"/>
      <c r="H23" s="522"/>
      <c r="I23" s="522"/>
      <c r="J23" s="522"/>
      <c r="K23" s="522"/>
      <c r="L23" s="522"/>
      <c r="M23" s="522"/>
      <c r="N23" s="522"/>
      <c r="O23" s="523"/>
      <c r="P23" s="524"/>
      <c r="Q23" s="525"/>
      <c r="R23" s="521"/>
      <c r="S23" s="522"/>
      <c r="T23" s="522"/>
      <c r="U23" s="522"/>
      <c r="V23" s="522"/>
      <c r="W23" s="522"/>
      <c r="X23" s="522"/>
      <c r="Y23" s="522"/>
      <c r="Z23" s="522"/>
      <c r="AA23" s="522"/>
      <c r="AB23" s="522"/>
      <c r="AC23" s="522"/>
      <c r="AD23" s="523"/>
      <c r="AE23" s="524"/>
      <c r="AF23" s="525"/>
      <c r="AG23" s="327"/>
      <c r="AH23" s="9"/>
      <c r="AI23" s="327"/>
      <c r="AJ23" s="525"/>
    </row>
    <row r="24" spans="2:36" ht="12.75">
      <c r="B24" s="9" t="s">
        <v>640</v>
      </c>
      <c r="C24" s="521">
        <v>8</v>
      </c>
      <c r="D24" s="522">
        <v>16000</v>
      </c>
      <c r="E24" s="522"/>
      <c r="F24" s="522"/>
      <c r="G24" s="522"/>
      <c r="H24" s="522"/>
      <c r="I24" s="522"/>
      <c r="J24" s="522"/>
      <c r="K24" s="522">
        <v>93</v>
      </c>
      <c r="L24" s="522">
        <v>16093</v>
      </c>
      <c r="M24" s="522">
        <v>32586</v>
      </c>
      <c r="N24" s="522">
        <v>2896.74</v>
      </c>
      <c r="O24" s="523">
        <v>35482.74</v>
      </c>
      <c r="P24" s="524">
        <v>228598.74</v>
      </c>
      <c r="Q24" s="525">
        <v>1828789.92</v>
      </c>
      <c r="R24" s="521">
        <v>8</v>
      </c>
      <c r="S24" s="522">
        <v>16000</v>
      </c>
      <c r="T24" s="522"/>
      <c r="U24" s="522"/>
      <c r="V24" s="522"/>
      <c r="W24" s="522"/>
      <c r="X24" s="522"/>
      <c r="Y24" s="522"/>
      <c r="Z24" s="522">
        <v>93</v>
      </c>
      <c r="AA24" s="522">
        <v>16093</v>
      </c>
      <c r="AB24" s="522">
        <v>32586</v>
      </c>
      <c r="AC24" s="522">
        <v>2896.74</v>
      </c>
      <c r="AD24" s="523">
        <v>35482.74</v>
      </c>
      <c r="AE24" s="524">
        <v>228598.74</v>
      </c>
      <c r="AF24" s="525">
        <v>1828789.92</v>
      </c>
      <c r="AG24" s="327"/>
      <c r="AH24" s="9"/>
      <c r="AI24" s="327"/>
      <c r="AJ24" s="525">
        <v>1828789.92</v>
      </c>
    </row>
    <row r="25" spans="2:36" ht="12.75">
      <c r="B25" s="9" t="s">
        <v>640</v>
      </c>
      <c r="C25" s="521">
        <v>9</v>
      </c>
      <c r="D25" s="522">
        <v>16000</v>
      </c>
      <c r="E25" s="522"/>
      <c r="F25" s="522"/>
      <c r="G25" s="522"/>
      <c r="H25" s="522"/>
      <c r="I25" s="522"/>
      <c r="J25" s="522"/>
      <c r="K25" s="522">
        <v>0</v>
      </c>
      <c r="L25" s="522">
        <v>16000</v>
      </c>
      <c r="M25" s="522">
        <v>32400</v>
      </c>
      <c r="N25" s="522">
        <v>2880</v>
      </c>
      <c r="O25" s="523">
        <v>35280</v>
      </c>
      <c r="P25" s="524">
        <v>227280</v>
      </c>
      <c r="Q25" s="525">
        <v>2045520</v>
      </c>
      <c r="R25" s="521">
        <v>9</v>
      </c>
      <c r="S25" s="522">
        <v>16000</v>
      </c>
      <c r="T25" s="522"/>
      <c r="U25" s="522"/>
      <c r="V25" s="522"/>
      <c r="W25" s="522"/>
      <c r="X25" s="522"/>
      <c r="Y25" s="522"/>
      <c r="Z25" s="522">
        <v>0</v>
      </c>
      <c r="AA25" s="522">
        <v>16000</v>
      </c>
      <c r="AB25" s="522">
        <v>32400</v>
      </c>
      <c r="AC25" s="522">
        <v>2880</v>
      </c>
      <c r="AD25" s="523">
        <v>35280</v>
      </c>
      <c r="AE25" s="524">
        <v>227280</v>
      </c>
      <c r="AF25" s="525">
        <v>2045520</v>
      </c>
      <c r="AG25" s="327"/>
      <c r="AH25" s="9"/>
      <c r="AI25" s="327"/>
      <c r="AJ25" s="525">
        <v>2045520</v>
      </c>
    </row>
    <row r="26" spans="2:36" ht="12.75">
      <c r="B26" s="9" t="s">
        <v>641</v>
      </c>
      <c r="C26" s="521">
        <v>9</v>
      </c>
      <c r="D26" s="522">
        <v>13500</v>
      </c>
      <c r="E26" s="522"/>
      <c r="F26" s="522"/>
      <c r="G26" s="522"/>
      <c r="H26" s="522"/>
      <c r="I26" s="522"/>
      <c r="J26" s="522"/>
      <c r="K26" s="522">
        <v>93</v>
      </c>
      <c r="L26" s="522">
        <v>13593</v>
      </c>
      <c r="M26" s="522">
        <v>27586</v>
      </c>
      <c r="N26" s="522">
        <v>2446.74</v>
      </c>
      <c r="O26" s="523">
        <v>30032.739999999998</v>
      </c>
      <c r="P26" s="524">
        <v>193148.74</v>
      </c>
      <c r="Q26" s="525">
        <v>1738338.66</v>
      </c>
      <c r="R26" s="521">
        <v>9</v>
      </c>
      <c r="S26" s="522">
        <v>13500</v>
      </c>
      <c r="T26" s="522"/>
      <c r="U26" s="522"/>
      <c r="V26" s="522"/>
      <c r="W26" s="522"/>
      <c r="X26" s="522"/>
      <c r="Y26" s="522"/>
      <c r="Z26" s="522">
        <v>93</v>
      </c>
      <c r="AA26" s="522">
        <v>13593</v>
      </c>
      <c r="AB26" s="522">
        <v>27586</v>
      </c>
      <c r="AC26" s="522">
        <v>2446.74</v>
      </c>
      <c r="AD26" s="523">
        <v>30032.739999999998</v>
      </c>
      <c r="AE26" s="524">
        <v>193148.74</v>
      </c>
      <c r="AF26" s="525">
        <v>1738338.66</v>
      </c>
      <c r="AG26" s="327"/>
      <c r="AH26" s="9"/>
      <c r="AI26" s="327"/>
      <c r="AJ26" s="525">
        <v>1738338.66</v>
      </c>
    </row>
    <row r="27" spans="2:36" ht="12.75">
      <c r="B27" s="9" t="s">
        <v>641</v>
      </c>
      <c r="C27" s="521">
        <v>5</v>
      </c>
      <c r="D27" s="522">
        <v>13500</v>
      </c>
      <c r="E27" s="522"/>
      <c r="F27" s="522"/>
      <c r="G27" s="522"/>
      <c r="H27" s="522"/>
      <c r="I27" s="522"/>
      <c r="J27" s="522"/>
      <c r="K27" s="522">
        <v>0</v>
      </c>
      <c r="L27" s="522">
        <v>13500</v>
      </c>
      <c r="M27" s="522">
        <v>27400</v>
      </c>
      <c r="N27" s="522">
        <v>2430</v>
      </c>
      <c r="O27" s="523">
        <v>29830</v>
      </c>
      <c r="P27" s="524">
        <v>191830</v>
      </c>
      <c r="Q27" s="525">
        <v>959150</v>
      </c>
      <c r="R27" s="521">
        <v>5</v>
      </c>
      <c r="S27" s="522">
        <v>13500</v>
      </c>
      <c r="T27" s="522"/>
      <c r="U27" s="522"/>
      <c r="V27" s="522"/>
      <c r="W27" s="522"/>
      <c r="X27" s="522"/>
      <c r="Y27" s="522"/>
      <c r="Z27" s="522">
        <v>0</v>
      </c>
      <c r="AA27" s="522">
        <v>13500</v>
      </c>
      <c r="AB27" s="522">
        <v>27400</v>
      </c>
      <c r="AC27" s="522">
        <v>2430</v>
      </c>
      <c r="AD27" s="523">
        <v>29830</v>
      </c>
      <c r="AE27" s="524">
        <v>191830</v>
      </c>
      <c r="AF27" s="525">
        <v>959150</v>
      </c>
      <c r="AG27" s="327"/>
      <c r="AH27" s="9"/>
      <c r="AI27" s="327"/>
      <c r="AJ27" s="525">
        <v>959150</v>
      </c>
    </row>
    <row r="28" spans="2:36" ht="12.75">
      <c r="B28" s="9" t="s">
        <v>642</v>
      </c>
      <c r="C28" s="521">
        <v>12</v>
      </c>
      <c r="D28" s="522">
        <v>10000</v>
      </c>
      <c r="E28" s="522"/>
      <c r="F28" s="522"/>
      <c r="G28" s="522"/>
      <c r="H28" s="522"/>
      <c r="I28" s="522"/>
      <c r="J28" s="522"/>
      <c r="K28" s="522">
        <v>93</v>
      </c>
      <c r="L28" s="522">
        <v>10093</v>
      </c>
      <c r="M28" s="522">
        <v>20586</v>
      </c>
      <c r="N28" s="522">
        <v>1816.74</v>
      </c>
      <c r="O28" s="523">
        <v>22402.74</v>
      </c>
      <c r="P28" s="524">
        <v>143518.74</v>
      </c>
      <c r="Q28" s="525">
        <v>1722224.88</v>
      </c>
      <c r="R28" s="521">
        <v>12</v>
      </c>
      <c r="S28" s="522">
        <v>10000</v>
      </c>
      <c r="T28" s="522"/>
      <c r="U28" s="522"/>
      <c r="V28" s="522"/>
      <c r="W28" s="522"/>
      <c r="X28" s="522"/>
      <c r="Y28" s="522"/>
      <c r="Z28" s="522">
        <v>93</v>
      </c>
      <c r="AA28" s="522">
        <v>10093</v>
      </c>
      <c r="AB28" s="522">
        <v>20586</v>
      </c>
      <c r="AC28" s="522">
        <v>1816.74</v>
      </c>
      <c r="AD28" s="523">
        <v>22402.74</v>
      </c>
      <c r="AE28" s="524">
        <v>143518.74</v>
      </c>
      <c r="AF28" s="525">
        <v>1722224.88</v>
      </c>
      <c r="AG28" s="327"/>
      <c r="AH28" s="9"/>
      <c r="AI28" s="327"/>
      <c r="AJ28" s="525">
        <v>1722224.88</v>
      </c>
    </row>
    <row r="29" spans="2:36" ht="12.75">
      <c r="B29" s="9" t="s">
        <v>642</v>
      </c>
      <c r="C29" s="521">
        <v>26</v>
      </c>
      <c r="D29" s="522">
        <v>10000</v>
      </c>
      <c r="E29" s="522"/>
      <c r="F29" s="522"/>
      <c r="G29" s="522"/>
      <c r="H29" s="522"/>
      <c r="I29" s="522"/>
      <c r="J29" s="522"/>
      <c r="K29" s="522">
        <v>0</v>
      </c>
      <c r="L29" s="522">
        <v>10000</v>
      </c>
      <c r="M29" s="522">
        <v>20400</v>
      </c>
      <c r="N29" s="522">
        <v>1800</v>
      </c>
      <c r="O29" s="523">
        <v>22200</v>
      </c>
      <c r="P29" s="524">
        <v>142200</v>
      </c>
      <c r="Q29" s="525">
        <v>3697200</v>
      </c>
      <c r="R29" s="521">
        <v>26</v>
      </c>
      <c r="S29" s="522">
        <v>10000</v>
      </c>
      <c r="T29" s="522"/>
      <c r="U29" s="522"/>
      <c r="V29" s="522"/>
      <c r="W29" s="522"/>
      <c r="X29" s="522"/>
      <c r="Y29" s="522"/>
      <c r="Z29" s="522">
        <v>0</v>
      </c>
      <c r="AA29" s="522">
        <v>10000</v>
      </c>
      <c r="AB29" s="522">
        <v>20400</v>
      </c>
      <c r="AC29" s="522">
        <v>1800</v>
      </c>
      <c r="AD29" s="523">
        <v>22200</v>
      </c>
      <c r="AE29" s="524">
        <v>142200</v>
      </c>
      <c r="AF29" s="525">
        <v>3697200</v>
      </c>
      <c r="AG29" s="327"/>
      <c r="AH29" s="9"/>
      <c r="AI29" s="327"/>
      <c r="AJ29" s="525">
        <v>3697200</v>
      </c>
    </row>
    <row r="30" spans="2:36" ht="12.75">
      <c r="B30" s="9" t="s">
        <v>373</v>
      </c>
      <c r="C30" s="521"/>
      <c r="D30" s="522"/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3"/>
      <c r="P30" s="524"/>
      <c r="Q30" s="525"/>
      <c r="R30" s="521"/>
      <c r="S30" s="522"/>
      <c r="T30" s="522"/>
      <c r="U30" s="522"/>
      <c r="V30" s="522"/>
      <c r="W30" s="522"/>
      <c r="X30" s="522"/>
      <c r="Y30" s="522"/>
      <c r="Z30" s="522"/>
      <c r="AA30" s="522"/>
      <c r="AB30" s="522"/>
      <c r="AC30" s="522"/>
      <c r="AD30" s="523"/>
      <c r="AE30" s="524"/>
      <c r="AF30" s="525"/>
      <c r="AG30" s="327"/>
      <c r="AH30" s="9"/>
      <c r="AI30" s="327"/>
      <c r="AJ30" s="525"/>
    </row>
    <row r="31" spans="2:36" ht="12.75">
      <c r="B31" s="9" t="s">
        <v>652</v>
      </c>
      <c r="C31" s="521">
        <v>7</v>
      </c>
      <c r="D31" s="522">
        <v>5600</v>
      </c>
      <c r="E31" s="522"/>
      <c r="F31" s="522"/>
      <c r="G31" s="522"/>
      <c r="H31" s="522"/>
      <c r="I31" s="522"/>
      <c r="J31" s="522"/>
      <c r="K31" s="522">
        <v>93</v>
      </c>
      <c r="L31" s="522">
        <v>5693</v>
      </c>
      <c r="M31" s="522">
        <v>11786</v>
      </c>
      <c r="N31" s="522">
        <v>1024.74</v>
      </c>
      <c r="O31" s="523">
        <v>12810.74</v>
      </c>
      <c r="P31" s="524">
        <v>81126.74</v>
      </c>
      <c r="Q31" s="525">
        <v>567887.18</v>
      </c>
      <c r="R31" s="521">
        <v>7</v>
      </c>
      <c r="S31" s="522">
        <v>5600</v>
      </c>
      <c r="T31" s="522"/>
      <c r="U31" s="522"/>
      <c r="V31" s="522"/>
      <c r="W31" s="522"/>
      <c r="X31" s="522"/>
      <c r="Y31" s="522"/>
      <c r="Z31" s="522">
        <v>93</v>
      </c>
      <c r="AA31" s="522">
        <v>5693</v>
      </c>
      <c r="AB31" s="522">
        <v>11786</v>
      </c>
      <c r="AC31" s="522">
        <v>1024.74</v>
      </c>
      <c r="AD31" s="523">
        <v>12810.74</v>
      </c>
      <c r="AE31" s="524">
        <v>81126.74</v>
      </c>
      <c r="AF31" s="525">
        <v>567887.18</v>
      </c>
      <c r="AG31" s="327"/>
      <c r="AH31" s="9"/>
      <c r="AI31" s="327"/>
      <c r="AJ31" s="525">
        <v>567887.18</v>
      </c>
    </row>
    <row r="32" spans="2:36" ht="12.75">
      <c r="B32" s="9" t="s">
        <v>652</v>
      </c>
      <c r="C32" s="521">
        <v>14</v>
      </c>
      <c r="D32" s="522">
        <v>5600</v>
      </c>
      <c r="E32" s="522"/>
      <c r="F32" s="522"/>
      <c r="G32" s="522"/>
      <c r="H32" s="522"/>
      <c r="I32" s="522"/>
      <c r="J32" s="522"/>
      <c r="K32" s="522">
        <v>0</v>
      </c>
      <c r="L32" s="522">
        <v>5600</v>
      </c>
      <c r="M32" s="522">
        <v>11600</v>
      </c>
      <c r="N32" s="522">
        <v>1008</v>
      </c>
      <c r="O32" s="523">
        <v>12608</v>
      </c>
      <c r="P32" s="524">
        <v>79808</v>
      </c>
      <c r="Q32" s="525">
        <v>1117312</v>
      </c>
      <c r="R32" s="521">
        <v>14</v>
      </c>
      <c r="S32" s="522">
        <v>5600</v>
      </c>
      <c r="T32" s="522"/>
      <c r="U32" s="522"/>
      <c r="V32" s="522"/>
      <c r="W32" s="522"/>
      <c r="X32" s="522"/>
      <c r="Y32" s="522"/>
      <c r="Z32" s="522">
        <v>0</v>
      </c>
      <c r="AA32" s="522">
        <v>5600</v>
      </c>
      <c r="AB32" s="522">
        <v>11600</v>
      </c>
      <c r="AC32" s="522">
        <v>1008</v>
      </c>
      <c r="AD32" s="523">
        <v>12608</v>
      </c>
      <c r="AE32" s="524">
        <v>79808</v>
      </c>
      <c r="AF32" s="525">
        <v>1117312</v>
      </c>
      <c r="AG32" s="327"/>
      <c r="AH32" s="9"/>
      <c r="AI32" s="327"/>
      <c r="AJ32" s="525">
        <v>1117312</v>
      </c>
    </row>
    <row r="33" spans="2:36" ht="12.75">
      <c r="B33" s="9" t="s">
        <v>653</v>
      </c>
      <c r="C33" s="521">
        <v>19</v>
      </c>
      <c r="D33" s="522">
        <v>4500</v>
      </c>
      <c r="E33" s="522"/>
      <c r="F33" s="522"/>
      <c r="G33" s="522"/>
      <c r="H33" s="522"/>
      <c r="I33" s="522"/>
      <c r="J33" s="522"/>
      <c r="K33" s="522">
        <v>93</v>
      </c>
      <c r="L33" s="522">
        <v>4593</v>
      </c>
      <c r="M33" s="522">
        <v>9586</v>
      </c>
      <c r="N33" s="522">
        <v>826.74</v>
      </c>
      <c r="O33" s="523">
        <v>10412.74</v>
      </c>
      <c r="P33" s="524">
        <v>65528.74</v>
      </c>
      <c r="Q33" s="525">
        <v>1245046.06</v>
      </c>
      <c r="R33" s="521">
        <v>19</v>
      </c>
      <c r="S33" s="522">
        <v>4500</v>
      </c>
      <c r="T33" s="522"/>
      <c r="U33" s="522"/>
      <c r="V33" s="522"/>
      <c r="W33" s="522"/>
      <c r="X33" s="522"/>
      <c r="Y33" s="522"/>
      <c r="Z33" s="522">
        <v>93</v>
      </c>
      <c r="AA33" s="522">
        <v>4593</v>
      </c>
      <c r="AB33" s="522">
        <v>9586</v>
      </c>
      <c r="AC33" s="522">
        <v>826.74</v>
      </c>
      <c r="AD33" s="523">
        <v>10412.74</v>
      </c>
      <c r="AE33" s="524">
        <v>65528.74</v>
      </c>
      <c r="AF33" s="525">
        <v>1245046.06</v>
      </c>
      <c r="AG33" s="327"/>
      <c r="AH33" s="9"/>
      <c r="AI33" s="327"/>
      <c r="AJ33" s="525">
        <v>1245046.06</v>
      </c>
    </row>
    <row r="34" spans="2:36" ht="12.75">
      <c r="B34" s="9" t="s">
        <v>653</v>
      </c>
      <c r="C34" s="521">
        <v>9</v>
      </c>
      <c r="D34" s="522">
        <v>4500</v>
      </c>
      <c r="E34" s="522"/>
      <c r="F34" s="522"/>
      <c r="G34" s="522"/>
      <c r="H34" s="522"/>
      <c r="I34" s="522"/>
      <c r="J34" s="522"/>
      <c r="K34" s="522">
        <v>0</v>
      </c>
      <c r="L34" s="522">
        <v>4500</v>
      </c>
      <c r="M34" s="522">
        <v>9400</v>
      </c>
      <c r="N34" s="522">
        <v>810</v>
      </c>
      <c r="O34" s="523">
        <v>10210</v>
      </c>
      <c r="P34" s="524">
        <v>64210</v>
      </c>
      <c r="Q34" s="525">
        <v>577890</v>
      </c>
      <c r="R34" s="521">
        <v>9</v>
      </c>
      <c r="S34" s="522">
        <v>4500</v>
      </c>
      <c r="T34" s="522"/>
      <c r="U34" s="522"/>
      <c r="V34" s="522"/>
      <c r="W34" s="522"/>
      <c r="X34" s="522"/>
      <c r="Y34" s="522"/>
      <c r="Z34" s="522">
        <v>0</v>
      </c>
      <c r="AA34" s="522">
        <v>4500</v>
      </c>
      <c r="AB34" s="522">
        <v>9400</v>
      </c>
      <c r="AC34" s="522">
        <v>810</v>
      </c>
      <c r="AD34" s="523">
        <v>10210</v>
      </c>
      <c r="AE34" s="524">
        <v>64210</v>
      </c>
      <c r="AF34" s="525">
        <v>577890</v>
      </c>
      <c r="AG34" s="327"/>
      <c r="AH34" s="9"/>
      <c r="AI34" s="327"/>
      <c r="AJ34" s="525">
        <v>577890</v>
      </c>
    </row>
    <row r="35" spans="2:36" ht="12.75">
      <c r="B35" s="9"/>
      <c r="C35" s="9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"/>
      <c r="P35" s="326"/>
      <c r="Q35" s="327"/>
      <c r="R35" s="9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"/>
      <c r="AE35" s="326"/>
      <c r="AF35" s="327"/>
      <c r="AG35" s="327"/>
      <c r="AH35" s="9"/>
      <c r="AI35" s="327"/>
      <c r="AJ35" s="9"/>
    </row>
    <row r="36" spans="2:36" ht="13.5" thickBot="1">
      <c r="B36" s="328"/>
      <c r="C36" s="9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"/>
      <c r="P36" s="326"/>
      <c r="Q36" s="327"/>
      <c r="R36" s="9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"/>
      <c r="AE36" s="326"/>
      <c r="AF36" s="327"/>
      <c r="AG36" s="327"/>
      <c r="AH36" s="9"/>
      <c r="AI36" s="327"/>
      <c r="AJ36" s="9"/>
    </row>
    <row r="37" spans="2:36" ht="13.5" thickBot="1">
      <c r="B37" s="329" t="s">
        <v>2</v>
      </c>
      <c r="C37" s="526">
        <f aca="true" t="shared" si="0" ref="C37:AF37">SUM(C12:C36)</f>
        <v>147</v>
      </c>
      <c r="D37" s="527">
        <f t="shared" si="0"/>
        <v>283217</v>
      </c>
      <c r="E37" s="528">
        <f t="shared" si="0"/>
        <v>0</v>
      </c>
      <c r="F37" s="528">
        <f t="shared" si="0"/>
        <v>0</v>
      </c>
      <c r="G37" s="528">
        <f t="shared" si="0"/>
        <v>0</v>
      </c>
      <c r="H37" s="528">
        <f t="shared" si="0"/>
        <v>0</v>
      </c>
      <c r="I37" s="528">
        <f t="shared" si="0"/>
        <v>0</v>
      </c>
      <c r="J37" s="528">
        <f t="shared" si="0"/>
        <v>0</v>
      </c>
      <c r="K37" s="528">
        <f t="shared" si="0"/>
        <v>930</v>
      </c>
      <c r="L37" s="528">
        <f t="shared" si="0"/>
        <v>284147</v>
      </c>
      <c r="M37" s="528">
        <f t="shared" si="0"/>
        <v>575494</v>
      </c>
      <c r="N37" s="528">
        <f t="shared" si="0"/>
        <v>44843.39999999999</v>
      </c>
      <c r="O37" s="529">
        <f t="shared" si="0"/>
        <v>620337.3999999999</v>
      </c>
      <c r="P37" s="530">
        <f t="shared" si="0"/>
        <v>4030101.4000000013</v>
      </c>
      <c r="Q37" s="531">
        <f t="shared" si="0"/>
        <v>24542569.58</v>
      </c>
      <c r="R37" s="526">
        <f t="shared" si="0"/>
        <v>147</v>
      </c>
      <c r="S37" s="527">
        <f t="shared" si="0"/>
        <v>283217</v>
      </c>
      <c r="T37" s="528">
        <f t="shared" si="0"/>
        <v>0</v>
      </c>
      <c r="U37" s="528">
        <f t="shared" si="0"/>
        <v>0</v>
      </c>
      <c r="V37" s="528">
        <f t="shared" si="0"/>
        <v>0</v>
      </c>
      <c r="W37" s="528">
        <f t="shared" si="0"/>
        <v>0</v>
      </c>
      <c r="X37" s="528">
        <f t="shared" si="0"/>
        <v>0</v>
      </c>
      <c r="Y37" s="528">
        <f t="shared" si="0"/>
        <v>0</v>
      </c>
      <c r="Z37" s="528">
        <f t="shared" si="0"/>
        <v>930</v>
      </c>
      <c r="AA37" s="528">
        <f t="shared" si="0"/>
        <v>284147</v>
      </c>
      <c r="AB37" s="528">
        <f t="shared" si="0"/>
        <v>575494</v>
      </c>
      <c r="AC37" s="528">
        <f t="shared" si="0"/>
        <v>44843.39999999999</v>
      </c>
      <c r="AD37" s="529">
        <f t="shared" si="0"/>
        <v>620337.3999999999</v>
      </c>
      <c r="AE37" s="530">
        <f t="shared" si="0"/>
        <v>4030101.4000000013</v>
      </c>
      <c r="AF37" s="531">
        <f t="shared" si="0"/>
        <v>24542569.58</v>
      </c>
      <c r="AG37" s="385"/>
      <c r="AH37" s="395"/>
      <c r="AI37" s="385"/>
      <c r="AJ37" s="531">
        <f>SUM(AJ12:AJ36)</f>
        <v>24542569.58</v>
      </c>
    </row>
    <row r="38" spans="2:36" ht="12.75">
      <c r="B38" s="3" t="s">
        <v>374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2:36" ht="12.75">
      <c r="B39" s="3" t="s">
        <v>375</v>
      </c>
      <c r="C39" s="3" t="s">
        <v>376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2:36" ht="12.75">
      <c r="B40" s="3" t="s">
        <v>377</v>
      </c>
      <c r="C40" s="3" t="s">
        <v>378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2:36" ht="12.75">
      <c r="B41" s="3" t="s">
        <v>379</v>
      </c>
      <c r="C41" s="3" t="s">
        <v>380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2:36" ht="12.75">
      <c r="B42" s="3" t="s">
        <v>381</v>
      </c>
      <c r="C42" s="3" t="s">
        <v>382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2:36" ht="12.75">
      <c r="B43" s="3"/>
      <c r="C43" s="3" t="s">
        <v>383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2:36" ht="12.75">
      <c r="B44" s="3" t="s">
        <v>384</v>
      </c>
      <c r="C44" s="3" t="s">
        <v>385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2:36" ht="12.75">
      <c r="B45" s="3"/>
      <c r="C45" s="3" t="s">
        <v>386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2:36" ht="12.75">
      <c r="B46" s="3"/>
      <c r="C46" s="3" t="s">
        <v>387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2:36" ht="12.75">
      <c r="B47" s="3"/>
      <c r="C47" s="3" t="s">
        <v>388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2:36" ht="12.75">
      <c r="B48" s="3" t="s">
        <v>389</v>
      </c>
      <c r="C48" s="3" t="s">
        <v>390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2:36" ht="12.75">
      <c r="B49" s="3" t="s">
        <v>391</v>
      </c>
      <c r="C49" s="3" t="s">
        <v>392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2:36" ht="12.75">
      <c r="B50" s="3" t="s">
        <v>393</v>
      </c>
      <c r="C50" s="3" t="s">
        <v>394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2:36" ht="12.75">
      <c r="B51" s="3"/>
      <c r="C51" s="3" t="s">
        <v>386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2:36" ht="12.75">
      <c r="B52" s="3"/>
      <c r="C52" s="3" t="s">
        <v>387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2:36" ht="12.75">
      <c r="B53" s="3"/>
      <c r="C53" s="3" t="s">
        <v>395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2:36" ht="12.75">
      <c r="B54" s="3" t="s">
        <v>396</v>
      </c>
      <c r="C54" s="3" t="s">
        <v>397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2:36" ht="12.75">
      <c r="B55" s="3" t="s">
        <v>398</v>
      </c>
      <c r="C55" s="3" t="s">
        <v>399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2:36" ht="12.75">
      <c r="B56" s="3" t="s">
        <v>400</v>
      </c>
      <c r="C56" s="3" t="s">
        <v>401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</sheetData>
  <sheetProtection/>
  <mergeCells count="6">
    <mergeCell ref="AG8:AH8"/>
    <mergeCell ref="AI8:AJ8"/>
    <mergeCell ref="B3:AJ3"/>
    <mergeCell ref="B8:B10"/>
    <mergeCell ref="C8:Q8"/>
    <mergeCell ref="R8:AF8"/>
  </mergeCells>
  <printOptions/>
  <pageMargins left="0.31496062992125984" right="0.7086614173228347" top="0.7480314960629921" bottom="0.7480314960629921" header="0.31496062992125984" footer="0.31496062992125984"/>
  <pageSetup horizontalDpi="200" verticalDpi="200" orientation="landscape" paperSize="9" scale="3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8"/>
  <sheetViews>
    <sheetView zoomScaleSheetLayoutView="80" zoomScalePageLayoutView="98" workbookViewId="0" topLeftCell="A24">
      <selection activeCell="L24" sqref="L24"/>
    </sheetView>
  </sheetViews>
  <sheetFormatPr defaultColWidth="11.421875" defaultRowHeight="12.75"/>
  <cols>
    <col min="1" max="1" width="65.28125" style="3" customWidth="1"/>
    <col min="2" max="4" width="12.7109375" style="3" customWidth="1"/>
    <col min="5" max="5" width="13.140625" style="3" customWidth="1"/>
    <col min="6" max="6" width="12.7109375" style="3" hidden="1" customWidth="1"/>
    <col min="7" max="7" width="14.28125" style="3" hidden="1" customWidth="1"/>
    <col min="8" max="8" width="12.7109375" style="3" hidden="1" customWidth="1"/>
    <col min="9" max="9" width="15.00390625" style="3" hidden="1" customWidth="1"/>
    <col min="10" max="10" width="12.7109375" style="3" hidden="1" customWidth="1"/>
    <col min="11" max="16384" width="11.421875" style="3" customWidth="1"/>
  </cols>
  <sheetData>
    <row r="1" spans="1:9" s="42" customFormat="1" ht="12">
      <c r="A1" s="55" t="s">
        <v>190</v>
      </c>
      <c r="B1" s="53"/>
      <c r="C1" s="53"/>
      <c r="D1" s="53"/>
      <c r="E1" s="53"/>
      <c r="F1" s="53"/>
      <c r="G1" s="53"/>
      <c r="H1" s="53"/>
      <c r="I1" s="53"/>
    </row>
    <row r="2" spans="1:21" s="5" customFormat="1" ht="12">
      <c r="A2" s="55" t="s">
        <v>599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5" ht="12.75" thickBot="1">
      <c r="A3" s="7"/>
      <c r="B3" s="8"/>
      <c r="E3" s="8"/>
    </row>
    <row r="4" spans="1:10" ht="12" customHeight="1" thickBot="1">
      <c r="A4" s="647" t="s">
        <v>18</v>
      </c>
      <c r="B4" s="657" t="s">
        <v>149</v>
      </c>
      <c r="C4" s="653" t="s">
        <v>191</v>
      </c>
      <c r="D4" s="658" t="s">
        <v>192</v>
      </c>
      <c r="E4" s="653" t="s">
        <v>193</v>
      </c>
      <c r="F4" s="655" t="s">
        <v>194</v>
      </c>
      <c r="G4" s="649" t="s">
        <v>150</v>
      </c>
      <c r="H4" s="651" t="s">
        <v>151</v>
      </c>
      <c r="I4" s="649" t="s">
        <v>196</v>
      </c>
      <c r="J4" s="653" t="s">
        <v>195</v>
      </c>
    </row>
    <row r="5" spans="1:10" ht="31.5" customHeight="1" thickBot="1">
      <c r="A5" s="648"/>
      <c r="B5" s="648"/>
      <c r="C5" s="654"/>
      <c r="D5" s="659"/>
      <c r="E5" s="654"/>
      <c r="F5" s="656"/>
      <c r="G5" s="650"/>
      <c r="H5" s="652"/>
      <c r="I5" s="650"/>
      <c r="J5" s="654"/>
    </row>
    <row r="6" spans="1:10" ht="12.75">
      <c r="A6" s="207" t="s">
        <v>21</v>
      </c>
      <c r="B6" s="204">
        <v>73351</v>
      </c>
      <c r="C6" s="203">
        <v>100239</v>
      </c>
      <c r="D6" s="204">
        <v>79772</v>
      </c>
      <c r="E6" s="203">
        <f>93469+1020</f>
        <v>94489</v>
      </c>
      <c r="F6" s="214">
        <v>46700</v>
      </c>
      <c r="G6" s="222">
        <f>D6-B6</f>
        <v>6421</v>
      </c>
      <c r="H6" s="224">
        <f>G6/B6</f>
        <v>0.08753800220855884</v>
      </c>
      <c r="I6" s="201">
        <f>F6-D6</f>
        <v>-33072</v>
      </c>
      <c r="J6" s="228">
        <f>I6/D6</f>
        <v>-0.4145815574387003</v>
      </c>
    </row>
    <row r="7" spans="1:10" ht="12.75">
      <c r="A7" s="207" t="s">
        <v>107</v>
      </c>
      <c r="B7" s="202">
        <v>301865</v>
      </c>
      <c r="C7" s="203">
        <v>398234</v>
      </c>
      <c r="D7" s="202">
        <v>445800</v>
      </c>
      <c r="E7" s="203">
        <f>D7</f>
        <v>445800</v>
      </c>
      <c r="F7" s="215">
        <v>367600</v>
      </c>
      <c r="G7" s="223">
        <f>D7-B7</f>
        <v>143935</v>
      </c>
      <c r="H7" s="225">
        <f>G7/B7</f>
        <v>0.47681910787935006</v>
      </c>
      <c r="I7" s="203">
        <f>F7-D7</f>
        <v>-78200</v>
      </c>
      <c r="J7" s="229">
        <f>I7/D7</f>
        <v>-0.17541498429789143</v>
      </c>
    </row>
    <row r="8" spans="1:10" ht="12.75">
      <c r="A8" s="207" t="s">
        <v>20</v>
      </c>
      <c r="B8" s="202">
        <f>2852+510</f>
        <v>3362</v>
      </c>
      <c r="C8" s="203">
        <f>2852+2312</f>
        <v>5164</v>
      </c>
      <c r="D8" s="202">
        <v>9792</v>
      </c>
      <c r="E8" s="216">
        <v>10377</v>
      </c>
      <c r="F8" s="215">
        <v>8350</v>
      </c>
      <c r="G8" s="223">
        <f aca="true" t="shared" si="0" ref="G8:G36">D8-B8</f>
        <v>6430</v>
      </c>
      <c r="H8" s="225">
        <f aca="true" t="shared" si="1" ref="H8:H36">G8/B8</f>
        <v>1.9125520523497919</v>
      </c>
      <c r="I8" s="203">
        <f aca="true" t="shared" si="2" ref="I8:I36">F8-D8</f>
        <v>-1442</v>
      </c>
      <c r="J8" s="229">
        <f aca="true" t="shared" si="3" ref="J8:J36">I8/D8</f>
        <v>-0.14726307189542484</v>
      </c>
    </row>
    <row r="9" spans="1:10" ht="12.75">
      <c r="A9" s="207" t="s">
        <v>15</v>
      </c>
      <c r="B9" s="208"/>
      <c r="C9" s="209"/>
      <c r="D9" s="208"/>
      <c r="E9" s="209"/>
      <c r="F9" s="215"/>
      <c r="G9" s="223">
        <f t="shared" si="0"/>
        <v>0</v>
      </c>
      <c r="H9" s="225"/>
      <c r="I9" s="203">
        <f t="shared" si="2"/>
        <v>0</v>
      </c>
      <c r="J9" s="229"/>
    </row>
    <row r="10" spans="1:10" ht="12.75">
      <c r="A10" s="207" t="s">
        <v>217</v>
      </c>
      <c r="B10" s="204">
        <v>206191</v>
      </c>
      <c r="C10" s="203">
        <v>145017</v>
      </c>
      <c r="D10" s="204">
        <v>188116</v>
      </c>
      <c r="E10" s="203">
        <v>185116</v>
      </c>
      <c r="F10" s="215">
        <v>195562</v>
      </c>
      <c r="G10" s="223">
        <f t="shared" si="0"/>
        <v>-18075</v>
      </c>
      <c r="H10" s="225">
        <f t="shared" si="1"/>
        <v>-0.08766144012105281</v>
      </c>
      <c r="I10" s="203">
        <f t="shared" si="2"/>
        <v>7446</v>
      </c>
      <c r="J10" s="229">
        <f t="shared" si="3"/>
        <v>0.039581960067192584</v>
      </c>
    </row>
    <row r="11" spans="1:10" ht="12.75">
      <c r="A11" s="207" t="s">
        <v>104</v>
      </c>
      <c r="B11" s="208"/>
      <c r="C11" s="209"/>
      <c r="D11" s="208"/>
      <c r="E11" s="209"/>
      <c r="F11" s="215"/>
      <c r="G11" s="223">
        <f t="shared" si="0"/>
        <v>0</v>
      </c>
      <c r="H11" s="225"/>
      <c r="I11" s="203">
        <f t="shared" si="2"/>
        <v>0</v>
      </c>
      <c r="J11" s="229"/>
    </row>
    <row r="12" spans="1:10" ht="12.75">
      <c r="A12" s="207" t="s">
        <v>115</v>
      </c>
      <c r="B12" s="204">
        <f>85445+2000</f>
        <v>87445</v>
      </c>
      <c r="C12" s="203">
        <f>59071+2000</f>
        <v>61071</v>
      </c>
      <c r="D12" s="204">
        <v>67361</v>
      </c>
      <c r="E12" s="203">
        <f>87503+3000</f>
        <v>90503</v>
      </c>
      <c r="F12" s="215">
        <v>85540</v>
      </c>
      <c r="G12" s="223">
        <f t="shared" si="0"/>
        <v>-20084</v>
      </c>
      <c r="H12" s="225">
        <f t="shared" si="1"/>
        <v>-0.22967579621476356</v>
      </c>
      <c r="I12" s="203">
        <f t="shared" si="2"/>
        <v>18179</v>
      </c>
      <c r="J12" s="229">
        <f t="shared" si="3"/>
        <v>0.26987425958640754</v>
      </c>
    </row>
    <row r="13" spans="1:10" ht="12.75">
      <c r="A13" s="207" t="s">
        <v>17</v>
      </c>
      <c r="B13" s="208"/>
      <c r="C13" s="209"/>
      <c r="D13" s="208"/>
      <c r="E13" s="209"/>
      <c r="F13" s="215"/>
      <c r="G13" s="223">
        <f t="shared" si="0"/>
        <v>0</v>
      </c>
      <c r="H13" s="225"/>
      <c r="I13" s="203">
        <f t="shared" si="2"/>
        <v>0</v>
      </c>
      <c r="J13" s="229"/>
    </row>
    <row r="14" spans="1:10" ht="12.75">
      <c r="A14" s="207" t="s">
        <v>111</v>
      </c>
      <c r="B14" s="204">
        <v>3252078</v>
      </c>
      <c r="C14" s="203">
        <v>3252078</v>
      </c>
      <c r="D14" s="204">
        <v>3252079</v>
      </c>
      <c r="E14" s="203">
        <v>3252079</v>
      </c>
      <c r="F14" s="215">
        <v>5086186</v>
      </c>
      <c r="G14" s="223">
        <f t="shared" si="0"/>
        <v>1</v>
      </c>
      <c r="H14" s="225">
        <f t="shared" si="1"/>
        <v>3.0749569967264007E-07</v>
      </c>
      <c r="I14" s="203">
        <f t="shared" si="2"/>
        <v>1834107</v>
      </c>
      <c r="J14" s="229">
        <f t="shared" si="3"/>
        <v>0.5639798418181108</v>
      </c>
    </row>
    <row r="15" spans="1:10" ht="12.75">
      <c r="A15" s="207" t="s">
        <v>110</v>
      </c>
      <c r="B15" s="204">
        <v>19451</v>
      </c>
      <c r="C15" s="203">
        <v>1096</v>
      </c>
      <c r="D15" s="204">
        <v>8857</v>
      </c>
      <c r="E15" s="203">
        <v>8857</v>
      </c>
      <c r="F15" s="215">
        <v>7700</v>
      </c>
      <c r="G15" s="223">
        <f t="shared" si="0"/>
        <v>-10594</v>
      </c>
      <c r="H15" s="225">
        <f t="shared" si="1"/>
        <v>-0.5446506606344147</v>
      </c>
      <c r="I15" s="203">
        <f t="shared" si="2"/>
        <v>-1157</v>
      </c>
      <c r="J15" s="229">
        <f t="shared" si="3"/>
        <v>-0.13063113921192276</v>
      </c>
    </row>
    <row r="16" spans="1:10" ht="12.75">
      <c r="A16" s="207" t="s">
        <v>108</v>
      </c>
      <c r="B16" s="204">
        <f>660082+65012+9151</f>
        <v>734245</v>
      </c>
      <c r="C16" s="203">
        <f>478678+500+65012+1438+12591+33417</f>
        <v>591636</v>
      </c>
      <c r="D16" s="204">
        <v>719380</v>
      </c>
      <c r="E16" s="203">
        <f>577381+500</f>
        <v>577881</v>
      </c>
      <c r="F16" s="215">
        <v>667934</v>
      </c>
      <c r="G16" s="223">
        <f t="shared" si="0"/>
        <v>-14865</v>
      </c>
      <c r="H16" s="225">
        <f t="shared" si="1"/>
        <v>-0.020245285974027742</v>
      </c>
      <c r="I16" s="203">
        <f t="shared" si="2"/>
        <v>-51446</v>
      </c>
      <c r="J16" s="229">
        <f t="shared" si="3"/>
        <v>-0.0715143595874225</v>
      </c>
    </row>
    <row r="17" spans="1:10" ht="12.75">
      <c r="A17" s="207" t="s">
        <v>113</v>
      </c>
      <c r="B17" s="208"/>
      <c r="C17" s="209"/>
      <c r="D17" s="208"/>
      <c r="E17" s="209"/>
      <c r="F17" s="215"/>
      <c r="G17" s="223">
        <f t="shared" si="0"/>
        <v>0</v>
      </c>
      <c r="H17" s="225"/>
      <c r="I17" s="203">
        <f t="shared" si="2"/>
        <v>0</v>
      </c>
      <c r="J17" s="229"/>
    </row>
    <row r="18" spans="1:10" ht="12.75">
      <c r="A18" s="207" t="s">
        <v>23</v>
      </c>
      <c r="B18" s="208"/>
      <c r="C18" s="209"/>
      <c r="D18" s="208"/>
      <c r="E18" s="209"/>
      <c r="F18" s="215"/>
      <c r="G18" s="223">
        <f t="shared" si="0"/>
        <v>0</v>
      </c>
      <c r="H18" s="225"/>
      <c r="I18" s="203">
        <f t="shared" si="2"/>
        <v>0</v>
      </c>
      <c r="J18" s="229"/>
    </row>
    <row r="19" spans="1:10" ht="12.75">
      <c r="A19" s="207" t="s">
        <v>19</v>
      </c>
      <c r="B19" s="208"/>
      <c r="C19" s="209"/>
      <c r="D19" s="208"/>
      <c r="E19" s="209"/>
      <c r="F19" s="215"/>
      <c r="G19" s="223">
        <f t="shared" si="0"/>
        <v>0</v>
      </c>
      <c r="H19" s="225"/>
      <c r="I19" s="203">
        <f t="shared" si="2"/>
        <v>0</v>
      </c>
      <c r="J19" s="229"/>
    </row>
    <row r="20" spans="1:10" ht="12.75">
      <c r="A20" s="207" t="s">
        <v>16</v>
      </c>
      <c r="B20" s="204">
        <v>318000</v>
      </c>
      <c r="C20" s="204">
        <v>100417</v>
      </c>
      <c r="D20" s="204">
        <v>248471</v>
      </c>
      <c r="E20" s="203">
        <v>186788</v>
      </c>
      <c r="F20" s="215">
        <v>110707</v>
      </c>
      <c r="G20" s="223">
        <f t="shared" si="0"/>
        <v>-69529</v>
      </c>
      <c r="H20" s="225">
        <f t="shared" si="1"/>
        <v>-0.2186446540880503</v>
      </c>
      <c r="I20" s="203">
        <f t="shared" si="2"/>
        <v>-137764</v>
      </c>
      <c r="J20" s="229">
        <f t="shared" si="3"/>
        <v>-0.554446997838782</v>
      </c>
    </row>
    <row r="21" spans="1:10" ht="12.75">
      <c r="A21" s="207" t="s">
        <v>14</v>
      </c>
      <c r="B21" s="204">
        <v>426405</v>
      </c>
      <c r="C21" s="203">
        <v>435927</v>
      </c>
      <c r="D21" s="204">
        <v>546405</v>
      </c>
      <c r="E21" s="203">
        <v>546405</v>
      </c>
      <c r="F21" s="215">
        <f>476625+40009+18600</f>
        <v>535234</v>
      </c>
      <c r="G21" s="223">
        <f t="shared" si="0"/>
        <v>120000</v>
      </c>
      <c r="H21" s="225">
        <f t="shared" si="1"/>
        <v>0.2814225911985085</v>
      </c>
      <c r="I21" s="203">
        <f t="shared" si="2"/>
        <v>-11171</v>
      </c>
      <c r="J21" s="229">
        <f t="shared" si="3"/>
        <v>-0.020444542052140812</v>
      </c>
    </row>
    <row r="22" spans="1:10" ht="12.75">
      <c r="A22" s="207" t="s">
        <v>109</v>
      </c>
      <c r="B22" s="204">
        <v>27604</v>
      </c>
      <c r="C22" s="203">
        <v>40329</v>
      </c>
      <c r="D22" s="204">
        <v>24078</v>
      </c>
      <c r="E22" s="203">
        <v>26110</v>
      </c>
      <c r="F22" s="215">
        <v>39100</v>
      </c>
      <c r="G22" s="223">
        <f t="shared" si="0"/>
        <v>-3526</v>
      </c>
      <c r="H22" s="225">
        <f t="shared" si="1"/>
        <v>-0.1277351108534995</v>
      </c>
      <c r="I22" s="203">
        <f t="shared" si="2"/>
        <v>15022</v>
      </c>
      <c r="J22" s="229">
        <f t="shared" si="3"/>
        <v>0.6238890273278511</v>
      </c>
    </row>
    <row r="23" spans="1:10" ht="12.75">
      <c r="A23" s="207" t="s">
        <v>218</v>
      </c>
      <c r="B23" s="204">
        <v>170444</v>
      </c>
      <c r="C23" s="203">
        <v>216903</v>
      </c>
      <c r="D23" s="204">
        <v>242430</v>
      </c>
      <c r="E23" s="203">
        <v>242430</v>
      </c>
      <c r="F23" s="215">
        <v>173932</v>
      </c>
      <c r="G23" s="223">
        <f t="shared" si="0"/>
        <v>71986</v>
      </c>
      <c r="H23" s="225">
        <f t="shared" si="1"/>
        <v>0.4223439956818662</v>
      </c>
      <c r="I23" s="203">
        <f t="shared" si="2"/>
        <v>-68498</v>
      </c>
      <c r="J23" s="229">
        <f t="shared" si="3"/>
        <v>-0.282547539495937</v>
      </c>
    </row>
    <row r="24" spans="1:10" ht="12.75">
      <c r="A24" s="207" t="s">
        <v>219</v>
      </c>
      <c r="B24" s="204">
        <v>498695</v>
      </c>
      <c r="C24" s="203">
        <v>461955</v>
      </c>
      <c r="D24" s="204">
        <v>0</v>
      </c>
      <c r="E24" s="203">
        <v>0</v>
      </c>
      <c r="F24" s="215">
        <v>0</v>
      </c>
      <c r="G24" s="223">
        <f t="shared" si="0"/>
        <v>-498695</v>
      </c>
      <c r="H24" s="225">
        <f t="shared" si="1"/>
        <v>-1</v>
      </c>
      <c r="I24" s="203">
        <f t="shared" si="2"/>
        <v>0</v>
      </c>
      <c r="J24" s="229"/>
    </row>
    <row r="25" spans="1:10" ht="12.75">
      <c r="A25" s="207" t="s">
        <v>106</v>
      </c>
      <c r="B25" s="204">
        <v>413076</v>
      </c>
      <c r="C25" s="203">
        <v>413076</v>
      </c>
      <c r="D25" s="204">
        <v>744800</v>
      </c>
      <c r="E25" s="203">
        <v>744800</v>
      </c>
      <c r="F25" s="215">
        <v>239700</v>
      </c>
      <c r="G25" s="223">
        <f t="shared" si="0"/>
        <v>331724</v>
      </c>
      <c r="H25" s="225">
        <f t="shared" si="1"/>
        <v>0.8030580329043566</v>
      </c>
      <c r="I25" s="203">
        <f t="shared" si="2"/>
        <v>-505100</v>
      </c>
      <c r="J25" s="229">
        <f t="shared" si="3"/>
        <v>-0.6781686358754028</v>
      </c>
    </row>
    <row r="26" spans="1:10" ht="12.75">
      <c r="A26" s="207" t="s">
        <v>220</v>
      </c>
      <c r="B26" s="204">
        <v>18000</v>
      </c>
      <c r="C26" s="203">
        <v>9850</v>
      </c>
      <c r="D26" s="204">
        <v>35600</v>
      </c>
      <c r="E26" s="203">
        <v>28600</v>
      </c>
      <c r="F26" s="215">
        <v>16100</v>
      </c>
      <c r="G26" s="223">
        <f t="shared" si="0"/>
        <v>17600</v>
      </c>
      <c r="H26" s="225">
        <f t="shared" si="1"/>
        <v>0.9777777777777777</v>
      </c>
      <c r="I26" s="203">
        <f t="shared" si="2"/>
        <v>-19500</v>
      </c>
      <c r="J26" s="229">
        <f t="shared" si="3"/>
        <v>-0.547752808988764</v>
      </c>
    </row>
    <row r="27" spans="1:10" ht="12.75">
      <c r="A27" s="207" t="s">
        <v>103</v>
      </c>
      <c r="B27" s="204">
        <v>1161222</v>
      </c>
      <c r="C27" s="203">
        <v>1030379</v>
      </c>
      <c r="D27" s="204">
        <v>923840</v>
      </c>
      <c r="E27" s="203">
        <f>990988+200</f>
        <v>991188</v>
      </c>
      <c r="F27" s="215">
        <v>1132754</v>
      </c>
      <c r="G27" s="223">
        <f t="shared" si="0"/>
        <v>-237382</v>
      </c>
      <c r="H27" s="225">
        <f t="shared" si="1"/>
        <v>-0.20442430474104004</v>
      </c>
      <c r="I27" s="203">
        <f t="shared" si="2"/>
        <v>208914</v>
      </c>
      <c r="J27" s="229">
        <f t="shared" si="3"/>
        <v>0.22613656044336683</v>
      </c>
    </row>
    <row r="28" spans="1:10" ht="12.75">
      <c r="A28" s="207" t="s">
        <v>105</v>
      </c>
      <c r="B28" s="204">
        <v>860472</v>
      </c>
      <c r="C28" s="203">
        <v>927940</v>
      </c>
      <c r="D28" s="204">
        <v>944400</v>
      </c>
      <c r="E28" s="203">
        <v>910083</v>
      </c>
      <c r="F28" s="215">
        <v>1083580</v>
      </c>
      <c r="G28" s="223">
        <f t="shared" si="0"/>
        <v>83928</v>
      </c>
      <c r="H28" s="225">
        <f t="shared" si="1"/>
        <v>0.09753716564862076</v>
      </c>
      <c r="I28" s="203">
        <f t="shared" si="2"/>
        <v>139180</v>
      </c>
      <c r="J28" s="229">
        <f t="shared" si="3"/>
        <v>0.14737399407030918</v>
      </c>
    </row>
    <row r="29" spans="1:12" ht="12.75">
      <c r="A29" s="207" t="s">
        <v>13</v>
      </c>
      <c r="B29" s="208"/>
      <c r="C29" s="209"/>
      <c r="D29" s="208"/>
      <c r="E29" s="209"/>
      <c r="F29" s="215"/>
      <c r="G29" s="223">
        <f t="shared" si="0"/>
        <v>0</v>
      </c>
      <c r="H29" s="225"/>
      <c r="I29" s="203">
        <f t="shared" si="2"/>
        <v>0</v>
      </c>
      <c r="J29" s="229"/>
      <c r="L29" s="431"/>
    </row>
    <row r="30" spans="1:10" ht="12.75">
      <c r="A30" s="207" t="s">
        <v>221</v>
      </c>
      <c r="B30" s="204">
        <f>1885888+7500</f>
        <v>1893388</v>
      </c>
      <c r="C30" s="204">
        <f>2244330+117296</f>
        <v>2361626</v>
      </c>
      <c r="D30" s="204">
        <v>1560192</v>
      </c>
      <c r="E30" s="203">
        <f>1692159+50241</f>
        <v>1742400</v>
      </c>
      <c r="F30" s="215">
        <f>1010893+1401761+9000-40009-18600</f>
        <v>2363045</v>
      </c>
      <c r="G30" s="223">
        <f t="shared" si="0"/>
        <v>-333196</v>
      </c>
      <c r="H30" s="225">
        <f t="shared" si="1"/>
        <v>-0.17597872174113283</v>
      </c>
      <c r="I30" s="203">
        <f t="shared" si="2"/>
        <v>802853</v>
      </c>
      <c r="J30" s="229">
        <f t="shared" si="3"/>
        <v>0.5145860253097054</v>
      </c>
    </row>
    <row r="31" spans="1:10" ht="12.75">
      <c r="A31" s="207" t="s">
        <v>112</v>
      </c>
      <c r="B31" s="204">
        <v>5484</v>
      </c>
      <c r="C31" s="203">
        <v>3259</v>
      </c>
      <c r="D31" s="204">
        <v>6855</v>
      </c>
      <c r="E31" s="203">
        <v>9219</v>
      </c>
      <c r="F31" s="215">
        <v>7280</v>
      </c>
      <c r="G31" s="223">
        <f t="shared" si="0"/>
        <v>1371</v>
      </c>
      <c r="H31" s="225">
        <f t="shared" si="1"/>
        <v>0.25</v>
      </c>
      <c r="I31" s="203">
        <f t="shared" si="2"/>
        <v>425</v>
      </c>
      <c r="J31" s="229">
        <f t="shared" si="3"/>
        <v>0.06199854121079504</v>
      </c>
    </row>
    <row r="32" spans="1:10" ht="12.75">
      <c r="A32" s="207" t="s">
        <v>102</v>
      </c>
      <c r="B32" s="204">
        <v>5221</v>
      </c>
      <c r="C32" s="203">
        <f>14744+974</f>
        <v>15718</v>
      </c>
      <c r="D32" s="204">
        <v>2289</v>
      </c>
      <c r="E32" s="203">
        <f>19520+500</f>
        <v>20020</v>
      </c>
      <c r="F32" s="215">
        <v>17600</v>
      </c>
      <c r="G32" s="223">
        <f t="shared" si="0"/>
        <v>-2932</v>
      </c>
      <c r="H32" s="225">
        <f t="shared" si="1"/>
        <v>-0.5615782417161463</v>
      </c>
      <c r="I32" s="203">
        <f t="shared" si="2"/>
        <v>15311</v>
      </c>
      <c r="J32" s="229">
        <f t="shared" si="3"/>
        <v>6.688947138488423</v>
      </c>
    </row>
    <row r="33" spans="1:10" ht="12.75">
      <c r="A33" s="207" t="s">
        <v>114</v>
      </c>
      <c r="B33" s="208"/>
      <c r="C33" s="209"/>
      <c r="D33" s="208"/>
      <c r="E33" s="209"/>
      <c r="F33" s="215"/>
      <c r="G33" s="223">
        <f t="shared" si="0"/>
        <v>0</v>
      </c>
      <c r="H33" s="225"/>
      <c r="I33" s="203">
        <f t="shared" si="2"/>
        <v>0</v>
      </c>
      <c r="J33" s="229"/>
    </row>
    <row r="34" spans="1:10" ht="12.75">
      <c r="A34" s="207" t="s">
        <v>22</v>
      </c>
      <c r="B34" s="208"/>
      <c r="C34" s="209"/>
      <c r="D34" s="208"/>
      <c r="E34" s="209"/>
      <c r="F34" s="215"/>
      <c r="G34" s="223">
        <f t="shared" si="0"/>
        <v>0</v>
      </c>
      <c r="H34" s="225"/>
      <c r="I34" s="203">
        <f t="shared" si="2"/>
        <v>0</v>
      </c>
      <c r="J34" s="229"/>
    </row>
    <row r="35" spans="1:10" ht="12.75">
      <c r="A35" s="207" t="s">
        <v>222</v>
      </c>
      <c r="B35" s="204">
        <f>388000+500-318000</f>
        <v>70500</v>
      </c>
      <c r="C35" s="203">
        <f>143754+2314-100417</f>
        <v>45651</v>
      </c>
      <c r="D35" s="204">
        <f>58290+1000</f>
        <v>59290</v>
      </c>
      <c r="E35" s="203">
        <v>62571</v>
      </c>
      <c r="F35" s="215">
        <f>34974+1000</f>
        <v>35974</v>
      </c>
      <c r="G35" s="223">
        <f t="shared" si="0"/>
        <v>-11210</v>
      </c>
      <c r="H35" s="225">
        <f t="shared" si="1"/>
        <v>-0.15900709219858156</v>
      </c>
      <c r="I35" s="203">
        <f t="shared" si="2"/>
        <v>-23316</v>
      </c>
      <c r="J35" s="229">
        <f t="shared" si="3"/>
        <v>-0.39325349974700624</v>
      </c>
    </row>
    <row r="36" spans="1:10" ht="12.75">
      <c r="A36" s="207" t="s">
        <v>24</v>
      </c>
      <c r="B36" s="204">
        <v>130000</v>
      </c>
      <c r="C36" s="203">
        <v>60533</v>
      </c>
      <c r="D36" s="204">
        <v>109385</v>
      </c>
      <c r="E36" s="203">
        <v>109385</v>
      </c>
      <c r="F36" s="215">
        <v>62000</v>
      </c>
      <c r="G36" s="223">
        <f t="shared" si="0"/>
        <v>-20615</v>
      </c>
      <c r="H36" s="225">
        <f t="shared" si="1"/>
        <v>-0.1585769230769231</v>
      </c>
      <c r="I36" s="203">
        <f t="shared" si="2"/>
        <v>-47385</v>
      </c>
      <c r="J36" s="229">
        <f t="shared" si="3"/>
        <v>-0.4331946793436029</v>
      </c>
    </row>
    <row r="37" spans="1:10" ht="12.75" thickBot="1">
      <c r="A37" s="207"/>
      <c r="B37" s="210"/>
      <c r="C37" s="211"/>
      <c r="D37" s="210"/>
      <c r="E37" s="211"/>
      <c r="F37" s="213"/>
      <c r="G37" s="212"/>
      <c r="H37" s="221"/>
      <c r="I37" s="217"/>
      <c r="J37" s="211"/>
    </row>
    <row r="38" spans="1:10" ht="12.75" thickBot="1">
      <c r="A38" s="14" t="s">
        <v>36</v>
      </c>
      <c r="B38" s="198">
        <f aca="true" t="shared" si="4" ref="B38:G38">SUM(B6:B37)</f>
        <v>10676499</v>
      </c>
      <c r="C38" s="199">
        <f t="shared" si="4"/>
        <v>10678098</v>
      </c>
      <c r="D38" s="205">
        <f t="shared" si="4"/>
        <v>10219192</v>
      </c>
      <c r="E38" s="206">
        <f t="shared" si="4"/>
        <v>10285101</v>
      </c>
      <c r="F38" s="220">
        <f t="shared" si="4"/>
        <v>12282578</v>
      </c>
      <c r="G38" s="220">
        <f t="shared" si="4"/>
        <v>-457307</v>
      </c>
      <c r="H38" s="226">
        <f>G38/B38</f>
        <v>-0.042833048548967224</v>
      </c>
      <c r="I38" s="219">
        <f>SUM(I6:I37)</f>
        <v>2063386</v>
      </c>
      <c r="J38" s="230">
        <f>I38/D38</f>
        <v>0.20191283224740272</v>
      </c>
    </row>
    <row r="39" spans="1:9" ht="12">
      <c r="A39" s="1" t="s">
        <v>37</v>
      </c>
      <c r="B39" s="2"/>
      <c r="C39" s="2"/>
      <c r="D39" s="2"/>
      <c r="E39" s="2"/>
      <c r="F39" s="2"/>
      <c r="G39" s="2"/>
      <c r="H39" s="2"/>
      <c r="I39" s="2"/>
    </row>
    <row r="40" spans="1:9" ht="12">
      <c r="A40" s="1" t="s">
        <v>152</v>
      </c>
      <c r="B40" s="18"/>
      <c r="C40" s="18"/>
      <c r="D40" s="18"/>
      <c r="E40" s="18"/>
      <c r="F40" s="18"/>
      <c r="G40" s="18"/>
      <c r="H40" s="18"/>
      <c r="I40" s="18"/>
    </row>
    <row r="41" spans="1:9" ht="12">
      <c r="A41" s="1" t="s">
        <v>70</v>
      </c>
      <c r="B41" s="2"/>
      <c r="C41" s="2"/>
      <c r="D41" s="2"/>
      <c r="E41" s="2"/>
      <c r="F41" s="2"/>
      <c r="G41" s="2"/>
      <c r="H41" s="2"/>
      <c r="I41" s="2"/>
    </row>
    <row r="42" spans="1:9" ht="12">
      <c r="A42" s="231" t="s">
        <v>215</v>
      </c>
      <c r="B42" s="2"/>
      <c r="C42" s="2"/>
      <c r="D42" s="2"/>
      <c r="E42" s="2"/>
      <c r="F42" s="2"/>
      <c r="G42" s="2"/>
      <c r="H42" s="2"/>
      <c r="I42" s="2"/>
    </row>
    <row r="43" spans="1:8" ht="12">
      <c r="A43" s="232" t="s">
        <v>216</v>
      </c>
      <c r="H43" s="218"/>
    </row>
    <row r="44" spans="1:8" ht="12">
      <c r="A44" s="232" t="s">
        <v>223</v>
      </c>
      <c r="B44" s="200"/>
      <c r="C44" s="200"/>
      <c r="F44" s="227"/>
      <c r="G44" s="227"/>
      <c r="H44" s="218"/>
    </row>
    <row r="45" spans="1:7" ht="12">
      <c r="A45" s="232" t="s">
        <v>224</v>
      </c>
      <c r="G45" s="218"/>
    </row>
    <row r="46" ht="12">
      <c r="A46" s="232" t="s">
        <v>225</v>
      </c>
    </row>
    <row r="47" ht="12">
      <c r="A47" s="232" t="s">
        <v>226</v>
      </c>
    </row>
    <row r="48" ht="12">
      <c r="A48" s="19" t="s">
        <v>227</v>
      </c>
    </row>
  </sheetData>
  <sheetProtection/>
  <mergeCells count="10">
    <mergeCell ref="A4:A5"/>
    <mergeCell ref="G4:G5"/>
    <mergeCell ref="I4:I5"/>
    <mergeCell ref="H4:H5"/>
    <mergeCell ref="J4:J5"/>
    <mergeCell ref="C4:C5"/>
    <mergeCell ref="E4:E5"/>
    <mergeCell ref="F4:F5"/>
    <mergeCell ref="B4:B5"/>
    <mergeCell ref="D4:D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0" r:id="rId1"/>
  <headerFooter alignWithMargins="0">
    <oddHeader>&amp;C&amp;"Arial,Negrita"&amp;18PROYECTO DE PRESUPUESTO 2021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2:O30"/>
  <sheetViews>
    <sheetView workbookViewId="0" topLeftCell="A1">
      <selection activeCell="B4" sqref="B4:B5"/>
    </sheetView>
  </sheetViews>
  <sheetFormatPr defaultColWidth="11.421875" defaultRowHeight="12.75"/>
  <cols>
    <col min="7" max="7" width="16.7109375" style="0" customWidth="1"/>
    <col min="8" max="8" width="16.57421875" style="0" customWidth="1"/>
    <col min="9" max="9" width="14.28125" style="0" customWidth="1"/>
    <col min="11" max="11" width="13.28125" style="0" customWidth="1"/>
    <col min="13" max="13" width="13.421875" style="0" customWidth="1"/>
    <col min="15" max="15" width="14.7109375" style="0" customWidth="1"/>
  </cols>
  <sheetData>
    <row r="2" spans="2:15" ht="23.25">
      <c r="B2" s="631" t="s">
        <v>245</v>
      </c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</row>
    <row r="4" spans="2:15" ht="12.75">
      <c r="B4" s="234" t="s">
        <v>402</v>
      </c>
      <c r="C4" s="234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</row>
    <row r="5" spans="2:15" ht="12.75">
      <c r="B5" s="234" t="s">
        <v>403</v>
      </c>
      <c r="C5" s="300" t="s">
        <v>214</v>
      </c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</row>
    <row r="6" spans="2:15" ht="13.5" thickBot="1">
      <c r="B6" s="3"/>
      <c r="C6" s="8"/>
      <c r="D6" s="3"/>
      <c r="E6" s="3"/>
      <c r="F6" s="3"/>
      <c r="G6" s="3"/>
      <c r="H6" s="8"/>
      <c r="I6" s="8"/>
      <c r="J6" s="3"/>
      <c r="K6" s="3"/>
      <c r="L6" s="3"/>
      <c r="M6" s="3"/>
      <c r="N6" s="3"/>
      <c r="O6" s="3"/>
    </row>
    <row r="7" spans="2:15" ht="48.75" thickBot="1">
      <c r="B7" s="414" t="s">
        <v>404</v>
      </c>
      <c r="C7" s="415" t="s">
        <v>405</v>
      </c>
      <c r="D7" s="416" t="s">
        <v>406</v>
      </c>
      <c r="E7" s="416" t="s">
        <v>407</v>
      </c>
      <c r="F7" s="416" t="s">
        <v>408</v>
      </c>
      <c r="G7" s="416" t="s">
        <v>409</v>
      </c>
      <c r="H7" s="416" t="s">
        <v>410</v>
      </c>
      <c r="I7" s="416" t="s">
        <v>411</v>
      </c>
      <c r="J7" s="416" t="s">
        <v>412</v>
      </c>
      <c r="K7" s="416" t="s">
        <v>413</v>
      </c>
      <c r="L7" s="416" t="s">
        <v>414</v>
      </c>
      <c r="M7" s="416" t="s">
        <v>415</v>
      </c>
      <c r="N7" s="416" t="s">
        <v>416</v>
      </c>
      <c r="O7" s="416" t="s">
        <v>417</v>
      </c>
    </row>
    <row r="8" spans="2:15" ht="12.75">
      <c r="B8" s="331">
        <v>1</v>
      </c>
      <c r="C8" s="332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4"/>
      <c r="O8" s="334"/>
    </row>
    <row r="9" spans="2:15" ht="12.75">
      <c r="B9" s="331">
        <v>2</v>
      </c>
      <c r="C9" s="332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4"/>
      <c r="O9" s="334"/>
    </row>
    <row r="10" spans="2:15" ht="12.75">
      <c r="B10" s="331">
        <v>3</v>
      </c>
      <c r="C10" s="332"/>
      <c r="D10" s="333"/>
      <c r="E10" s="333"/>
      <c r="F10" s="333"/>
      <c r="G10" s="333"/>
      <c r="H10" s="335"/>
      <c r="I10" s="335"/>
      <c r="J10" s="333"/>
      <c r="K10" s="333"/>
      <c r="L10" s="333"/>
      <c r="M10" s="333"/>
      <c r="N10" s="334"/>
      <c r="O10" s="334"/>
    </row>
    <row r="11" spans="2:15" ht="12.75">
      <c r="B11" s="331">
        <v>4</v>
      </c>
      <c r="C11" s="332"/>
      <c r="D11" s="333"/>
      <c r="E11" s="333"/>
      <c r="F11" s="333"/>
      <c r="G11" s="333"/>
      <c r="H11" s="335"/>
      <c r="I11" s="335"/>
      <c r="J11" s="333"/>
      <c r="K11" s="333"/>
      <c r="L11" s="333"/>
      <c r="M11" s="333"/>
      <c r="N11" s="334"/>
      <c r="O11" s="334"/>
    </row>
    <row r="12" spans="2:15" ht="12.75">
      <c r="B12" s="331">
        <v>5</v>
      </c>
      <c r="C12" s="332"/>
      <c r="D12" s="333"/>
      <c r="E12" s="333"/>
      <c r="F12" s="333"/>
      <c r="G12" s="333"/>
      <c r="H12" s="335"/>
      <c r="I12" s="335"/>
      <c r="J12" s="333"/>
      <c r="K12" s="333"/>
      <c r="L12" s="333"/>
      <c r="M12" s="333"/>
      <c r="N12" s="334"/>
      <c r="O12" s="334"/>
    </row>
    <row r="13" spans="2:15" ht="12.75">
      <c r="B13" s="331">
        <v>6</v>
      </c>
      <c r="C13" s="332"/>
      <c r="D13" s="333"/>
      <c r="E13" s="333"/>
      <c r="F13" s="333"/>
      <c r="G13" s="333"/>
      <c r="H13" s="335"/>
      <c r="I13" s="335"/>
      <c r="J13" s="333"/>
      <c r="K13" s="333"/>
      <c r="L13" s="333"/>
      <c r="M13" s="333"/>
      <c r="N13" s="334"/>
      <c r="O13" s="334"/>
    </row>
    <row r="14" spans="2:15" ht="12.75">
      <c r="B14" s="331">
        <v>7</v>
      </c>
      <c r="C14" s="332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4"/>
      <c r="O14" s="334"/>
    </row>
    <row r="15" spans="2:15" ht="12.75">
      <c r="B15" s="331">
        <v>8</v>
      </c>
      <c r="C15" s="332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4"/>
      <c r="O15" s="334"/>
    </row>
    <row r="16" spans="2:15" ht="12.75">
      <c r="B16" s="331">
        <v>9</v>
      </c>
      <c r="C16" s="332"/>
      <c r="D16" s="333"/>
      <c r="E16" s="333"/>
      <c r="F16" s="333"/>
      <c r="G16" s="333"/>
      <c r="H16" s="333"/>
      <c r="I16" s="335" t="s">
        <v>418</v>
      </c>
      <c r="J16" s="333"/>
      <c r="K16" s="333"/>
      <c r="L16" s="333"/>
      <c r="M16" s="333"/>
      <c r="N16" s="334"/>
      <c r="O16" s="334"/>
    </row>
    <row r="17" spans="2:15" ht="12.75">
      <c r="B17" s="331">
        <v>10</v>
      </c>
      <c r="C17" s="332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4"/>
      <c r="O17" s="334"/>
    </row>
    <row r="18" spans="2:15" ht="12.75">
      <c r="B18" s="331">
        <v>11</v>
      </c>
      <c r="C18" s="332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4"/>
      <c r="O18" s="334"/>
    </row>
    <row r="19" spans="2:15" ht="12.75">
      <c r="B19" s="331">
        <v>12</v>
      </c>
      <c r="C19" s="332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4"/>
      <c r="O19" s="334"/>
    </row>
    <row r="20" spans="2:15" ht="12.75">
      <c r="B20" s="331">
        <v>13</v>
      </c>
      <c r="C20" s="332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4"/>
      <c r="O20" s="334"/>
    </row>
    <row r="21" spans="2:15" ht="12.75">
      <c r="B21" s="331">
        <v>14</v>
      </c>
      <c r="C21" s="332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4"/>
      <c r="O21" s="334"/>
    </row>
    <row r="22" spans="2:15" ht="12.75">
      <c r="B22" s="331">
        <v>15</v>
      </c>
      <c r="C22" s="332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4"/>
      <c r="O22" s="334"/>
    </row>
    <row r="23" spans="2:15" ht="12.75">
      <c r="B23" s="331">
        <v>16</v>
      </c>
      <c r="C23" s="332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4"/>
      <c r="O23" s="334"/>
    </row>
    <row r="24" spans="2:15" ht="12.75">
      <c r="B24" s="331">
        <v>17</v>
      </c>
      <c r="C24" s="332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4"/>
      <c r="O24" s="334"/>
    </row>
    <row r="25" spans="2:15" ht="12.75">
      <c r="B25" s="331">
        <v>18</v>
      </c>
      <c r="C25" s="332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4"/>
      <c r="O25" s="334"/>
    </row>
    <row r="26" spans="2:15" ht="12.75">
      <c r="B26" s="331">
        <v>19</v>
      </c>
      <c r="C26" s="332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4"/>
      <c r="O26" s="334"/>
    </row>
    <row r="27" spans="2:15" ht="12.75">
      <c r="B27" s="331">
        <v>20</v>
      </c>
      <c r="C27" s="332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4"/>
      <c r="O27" s="334"/>
    </row>
    <row r="28" spans="2:15" ht="13.5" thickBot="1">
      <c r="B28" s="336" t="s">
        <v>419</v>
      </c>
      <c r="C28" s="337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338"/>
      <c r="O28" s="338"/>
    </row>
    <row r="29" spans="2:15" ht="13.5" thickBot="1">
      <c r="B29" s="339" t="s">
        <v>2</v>
      </c>
      <c r="C29" s="340"/>
      <c r="D29" s="341"/>
      <c r="E29" s="298"/>
      <c r="F29" s="298"/>
      <c r="G29" s="298"/>
      <c r="H29" s="341"/>
      <c r="I29" s="341"/>
      <c r="J29" s="341"/>
      <c r="K29" s="341"/>
      <c r="L29" s="341"/>
      <c r="M29" s="341"/>
      <c r="N29" s="341"/>
      <c r="O29" s="341"/>
    </row>
    <row r="30" spans="2:15" ht="12.75">
      <c r="B30" s="299" t="s">
        <v>420</v>
      </c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"/>
      <c r="O30" s="3"/>
    </row>
  </sheetData>
  <sheetProtection/>
  <mergeCells count="1">
    <mergeCell ref="B2:O2"/>
  </mergeCells>
  <printOptions/>
  <pageMargins left="0.31496062992125984" right="0.7086614173228347" top="0.7480314960629921" bottom="0.7480314960629921" header="0.31496062992125984" footer="0.31496062992125984"/>
  <pageSetup horizontalDpi="200" verticalDpi="2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K35"/>
  <sheetViews>
    <sheetView workbookViewId="0" topLeftCell="A30">
      <selection activeCell="B41" sqref="B41"/>
    </sheetView>
  </sheetViews>
  <sheetFormatPr defaultColWidth="11.421875" defaultRowHeight="12.75"/>
  <cols>
    <col min="2" max="2" width="25.7109375" style="0" customWidth="1"/>
    <col min="3" max="3" width="14.140625" style="0" customWidth="1"/>
    <col min="6" max="6" width="14.7109375" style="0" bestFit="1" customWidth="1"/>
    <col min="7" max="7" width="15.00390625" style="0" customWidth="1"/>
    <col min="9" max="9" width="13.00390625" style="0" customWidth="1"/>
    <col min="11" max="11" width="16.28125" style="0" customWidth="1"/>
  </cols>
  <sheetData>
    <row r="3" spans="2:11" ht="23.25">
      <c r="B3" s="631" t="s">
        <v>245</v>
      </c>
      <c r="C3" s="631"/>
      <c r="D3" s="631"/>
      <c r="E3" s="631"/>
      <c r="F3" s="631"/>
      <c r="G3" s="631"/>
      <c r="H3" s="631"/>
      <c r="I3" s="631"/>
      <c r="J3" s="631"/>
      <c r="K3" s="631"/>
    </row>
    <row r="5" spans="2:11" ht="12.75">
      <c r="B5" s="234" t="s">
        <v>421</v>
      </c>
      <c r="C5" s="300"/>
      <c r="D5" s="300"/>
      <c r="E5" s="300"/>
      <c r="F5" s="300"/>
      <c r="G5" s="300"/>
      <c r="H5" s="300"/>
      <c r="I5" s="300"/>
      <c r="J5" s="300"/>
      <c r="K5" s="300"/>
    </row>
    <row r="6" spans="2:11" ht="12.75">
      <c r="B6" s="234" t="s">
        <v>422</v>
      </c>
      <c r="C6" s="300"/>
      <c r="D6" s="300"/>
      <c r="E6" s="300"/>
      <c r="F6" s="300"/>
      <c r="G6" s="300"/>
      <c r="H6" s="300"/>
      <c r="I6" s="300"/>
      <c r="J6" s="300"/>
      <c r="K6" s="300"/>
    </row>
    <row r="7" spans="2:11" ht="13.5" thickBot="1">
      <c r="B7" s="342"/>
      <c r="C7" s="342"/>
      <c r="D7" s="342"/>
      <c r="E7" s="342"/>
      <c r="F7" s="342"/>
      <c r="G7" s="342"/>
      <c r="H7" s="343"/>
      <c r="I7" s="3"/>
      <c r="J7" s="3"/>
      <c r="K7" s="3"/>
    </row>
    <row r="8" spans="2:11" ht="48.75" thickBot="1">
      <c r="B8" s="417" t="s">
        <v>423</v>
      </c>
      <c r="C8" s="415" t="s">
        <v>406</v>
      </c>
      <c r="D8" s="415" t="s">
        <v>407</v>
      </c>
      <c r="E8" s="416" t="s">
        <v>408</v>
      </c>
      <c r="F8" s="416" t="s">
        <v>424</v>
      </c>
      <c r="G8" s="416" t="s">
        <v>411</v>
      </c>
      <c r="H8" s="415" t="s">
        <v>425</v>
      </c>
      <c r="I8" s="416" t="s">
        <v>410</v>
      </c>
      <c r="J8" s="416" t="s">
        <v>416</v>
      </c>
      <c r="K8" s="416" t="s">
        <v>426</v>
      </c>
    </row>
    <row r="9" spans="2:11" ht="12.75">
      <c r="B9" s="344" t="s">
        <v>427</v>
      </c>
      <c r="C9" s="332"/>
      <c r="D9" s="331"/>
      <c r="E9" s="345"/>
      <c r="F9" s="346"/>
      <c r="G9" s="346"/>
      <c r="H9" s="334"/>
      <c r="I9" s="335"/>
      <c r="J9" s="335"/>
      <c r="K9" s="334"/>
    </row>
    <row r="10" spans="2:11" ht="69" customHeight="1">
      <c r="B10" s="347" t="s">
        <v>428</v>
      </c>
      <c r="C10" s="348" t="s">
        <v>429</v>
      </c>
      <c r="D10" s="349"/>
      <c r="E10" s="350" t="s">
        <v>430</v>
      </c>
      <c r="F10" s="351">
        <v>268796</v>
      </c>
      <c r="G10" s="350" t="s">
        <v>431</v>
      </c>
      <c r="H10" s="352" t="s">
        <v>432</v>
      </c>
      <c r="I10" s="353">
        <v>43503</v>
      </c>
      <c r="J10" s="354" t="s">
        <v>433</v>
      </c>
      <c r="K10" s="334"/>
    </row>
    <row r="11" spans="2:11" ht="44.25" customHeight="1">
      <c r="B11" s="347" t="s">
        <v>434</v>
      </c>
      <c r="C11" s="348" t="s">
        <v>429</v>
      </c>
      <c r="D11" s="349"/>
      <c r="E11" s="350" t="s">
        <v>435</v>
      </c>
      <c r="F11" s="351">
        <v>152719.61</v>
      </c>
      <c r="G11" s="350" t="s">
        <v>436</v>
      </c>
      <c r="H11" s="352" t="s">
        <v>432</v>
      </c>
      <c r="I11" s="353">
        <v>43539</v>
      </c>
      <c r="J11" s="354" t="s">
        <v>437</v>
      </c>
      <c r="K11" s="334"/>
    </row>
    <row r="12" spans="2:11" ht="58.5" customHeight="1">
      <c r="B12" s="347" t="s">
        <v>438</v>
      </c>
      <c r="C12" s="348" t="s">
        <v>439</v>
      </c>
      <c r="D12" s="349"/>
      <c r="E12" s="350" t="s">
        <v>440</v>
      </c>
      <c r="F12" s="351">
        <v>753600</v>
      </c>
      <c r="G12" s="350" t="s">
        <v>441</v>
      </c>
      <c r="H12" s="352" t="s">
        <v>442</v>
      </c>
      <c r="I12" s="353">
        <v>43539</v>
      </c>
      <c r="J12" s="354" t="s">
        <v>443</v>
      </c>
      <c r="K12" s="352" t="s">
        <v>444</v>
      </c>
    </row>
    <row r="13" spans="2:11" ht="45.75" customHeight="1">
      <c r="B13" s="347" t="s">
        <v>445</v>
      </c>
      <c r="C13" s="348" t="s">
        <v>439</v>
      </c>
      <c r="D13" s="349"/>
      <c r="E13" s="350" t="s">
        <v>446</v>
      </c>
      <c r="F13" s="351">
        <v>926892.96</v>
      </c>
      <c r="G13" s="350" t="s">
        <v>447</v>
      </c>
      <c r="H13" s="352" t="s">
        <v>448</v>
      </c>
      <c r="I13" s="353">
        <v>43552</v>
      </c>
      <c r="J13" s="354" t="s">
        <v>449</v>
      </c>
      <c r="K13" s="334"/>
    </row>
    <row r="14" spans="2:11" ht="49.5" customHeight="1">
      <c r="B14" s="347" t="s">
        <v>450</v>
      </c>
      <c r="C14" s="348" t="s">
        <v>429</v>
      </c>
      <c r="D14" s="349"/>
      <c r="E14" s="350" t="s">
        <v>451</v>
      </c>
      <c r="F14" s="351">
        <v>86176.32</v>
      </c>
      <c r="G14" s="350" t="s">
        <v>452</v>
      </c>
      <c r="H14" s="352" t="s">
        <v>432</v>
      </c>
      <c r="I14" s="353">
        <v>43627</v>
      </c>
      <c r="J14" s="354" t="s">
        <v>453</v>
      </c>
      <c r="K14" s="334"/>
    </row>
    <row r="15" spans="2:11" ht="37.5" customHeight="1">
      <c r="B15" s="347" t="s">
        <v>454</v>
      </c>
      <c r="C15" s="348" t="s">
        <v>429</v>
      </c>
      <c r="D15" s="349"/>
      <c r="E15" s="350" t="s">
        <v>455</v>
      </c>
      <c r="F15" s="351">
        <v>215604</v>
      </c>
      <c r="G15" s="350" t="s">
        <v>456</v>
      </c>
      <c r="H15" s="352" t="s">
        <v>432</v>
      </c>
      <c r="I15" s="353">
        <v>43668</v>
      </c>
      <c r="J15" s="354" t="s">
        <v>457</v>
      </c>
      <c r="K15" s="334"/>
    </row>
    <row r="16" spans="2:11" ht="48" customHeight="1">
      <c r="B16" s="347" t="s">
        <v>458</v>
      </c>
      <c r="C16" s="348" t="s">
        <v>429</v>
      </c>
      <c r="D16" s="349"/>
      <c r="E16" s="350" t="s">
        <v>459</v>
      </c>
      <c r="F16" s="351">
        <v>203500</v>
      </c>
      <c r="G16" s="350" t="s">
        <v>460</v>
      </c>
      <c r="H16" s="352" t="s">
        <v>432</v>
      </c>
      <c r="I16" s="353">
        <v>43696</v>
      </c>
      <c r="J16" s="354" t="s">
        <v>461</v>
      </c>
      <c r="K16" s="334"/>
    </row>
    <row r="17" spans="2:11" ht="58.5" customHeight="1">
      <c r="B17" s="347" t="s">
        <v>462</v>
      </c>
      <c r="C17" s="348" t="s">
        <v>429</v>
      </c>
      <c r="D17" s="349"/>
      <c r="E17" s="350" t="s">
        <v>463</v>
      </c>
      <c r="F17" s="351">
        <v>115882</v>
      </c>
      <c r="G17" s="350" t="s">
        <v>464</v>
      </c>
      <c r="H17" s="352" t="s">
        <v>448</v>
      </c>
      <c r="I17" s="355">
        <v>43714</v>
      </c>
      <c r="J17" s="354" t="s">
        <v>465</v>
      </c>
      <c r="K17" s="334"/>
    </row>
    <row r="18" spans="2:11" ht="108.75" customHeight="1">
      <c r="B18" s="347" t="s">
        <v>466</v>
      </c>
      <c r="C18" s="348" t="s">
        <v>429</v>
      </c>
      <c r="D18" s="349"/>
      <c r="E18" s="350" t="s">
        <v>467</v>
      </c>
      <c r="F18" s="351">
        <v>54000</v>
      </c>
      <c r="G18" s="350" t="s">
        <v>468</v>
      </c>
      <c r="H18" s="352" t="s">
        <v>448</v>
      </c>
      <c r="I18" s="355">
        <v>43714</v>
      </c>
      <c r="J18" s="354" t="s">
        <v>469</v>
      </c>
      <c r="K18" s="334"/>
    </row>
    <row r="19" spans="2:11" ht="54" customHeight="1">
      <c r="B19" s="347" t="s">
        <v>470</v>
      </c>
      <c r="C19" s="348" t="s">
        <v>429</v>
      </c>
      <c r="D19" s="349"/>
      <c r="E19" s="350" t="s">
        <v>459</v>
      </c>
      <c r="F19" s="351">
        <v>88073.21</v>
      </c>
      <c r="G19" s="350" t="s">
        <v>471</v>
      </c>
      <c r="H19" s="352" t="s">
        <v>432</v>
      </c>
      <c r="I19" s="353">
        <v>43748</v>
      </c>
      <c r="J19" s="354" t="s">
        <v>461</v>
      </c>
      <c r="K19" s="334"/>
    </row>
    <row r="20" spans="2:11" ht="59.25" customHeight="1">
      <c r="B20" s="347" t="s">
        <v>472</v>
      </c>
      <c r="C20" s="348" t="s">
        <v>439</v>
      </c>
      <c r="D20" s="349"/>
      <c r="E20" s="350" t="s">
        <v>435</v>
      </c>
      <c r="F20" s="351">
        <v>566400</v>
      </c>
      <c r="G20" s="350" t="s">
        <v>473</v>
      </c>
      <c r="H20" s="352" t="s">
        <v>448</v>
      </c>
      <c r="I20" s="353">
        <v>43815</v>
      </c>
      <c r="J20" s="354" t="s">
        <v>474</v>
      </c>
      <c r="K20" s="334"/>
    </row>
    <row r="21" spans="2:11" ht="54" customHeight="1">
      <c r="B21" s="347" t="s">
        <v>475</v>
      </c>
      <c r="C21" s="348" t="s">
        <v>476</v>
      </c>
      <c r="D21" s="349"/>
      <c r="E21" s="350" t="s">
        <v>435</v>
      </c>
      <c r="F21" s="351">
        <v>231000</v>
      </c>
      <c r="G21" s="350" t="s">
        <v>477</v>
      </c>
      <c r="H21" s="352" t="s">
        <v>432</v>
      </c>
      <c r="I21" s="353">
        <v>43829</v>
      </c>
      <c r="J21" s="354" t="s">
        <v>478</v>
      </c>
      <c r="K21" s="352"/>
    </row>
    <row r="22" spans="2:11" ht="12.75">
      <c r="B22" s="344" t="s">
        <v>479</v>
      </c>
      <c r="C22" s="332"/>
      <c r="D22" s="331"/>
      <c r="E22" s="345"/>
      <c r="F22" s="356"/>
      <c r="G22" s="346"/>
      <c r="H22" s="334"/>
      <c r="I22" s="335"/>
      <c r="J22" s="333"/>
      <c r="K22" s="334"/>
    </row>
    <row r="23" spans="2:11" ht="47.25" customHeight="1">
      <c r="B23" s="347" t="s">
        <v>480</v>
      </c>
      <c r="C23" s="348" t="s">
        <v>481</v>
      </c>
      <c r="D23" s="349"/>
      <c r="E23" s="350" t="s">
        <v>482</v>
      </c>
      <c r="F23" s="351">
        <v>199800</v>
      </c>
      <c r="G23" s="350" t="s">
        <v>483</v>
      </c>
      <c r="H23" s="352" t="s">
        <v>448</v>
      </c>
      <c r="I23" s="353">
        <v>43892</v>
      </c>
      <c r="J23" s="354" t="s">
        <v>484</v>
      </c>
      <c r="K23" s="352"/>
    </row>
    <row r="24" spans="2:11" ht="43.5" customHeight="1">
      <c r="B24" s="347" t="s">
        <v>485</v>
      </c>
      <c r="C24" s="348" t="s">
        <v>439</v>
      </c>
      <c r="D24" s="349"/>
      <c r="E24" s="350" t="s">
        <v>455</v>
      </c>
      <c r="F24" s="351">
        <v>1381796.7</v>
      </c>
      <c r="G24" s="350" t="s">
        <v>436</v>
      </c>
      <c r="H24" s="352" t="s">
        <v>448</v>
      </c>
      <c r="I24" s="353">
        <v>43907</v>
      </c>
      <c r="J24" s="354" t="s">
        <v>486</v>
      </c>
      <c r="K24" s="352"/>
    </row>
    <row r="25" spans="2:11" ht="12.75">
      <c r="B25" s="344" t="s">
        <v>487</v>
      </c>
      <c r="C25" s="332"/>
      <c r="D25" s="331"/>
      <c r="E25" s="345"/>
      <c r="F25" s="356"/>
      <c r="G25" s="346"/>
      <c r="H25" s="334"/>
      <c r="I25" s="333"/>
      <c r="J25" s="333"/>
      <c r="K25" s="334"/>
    </row>
    <row r="26" spans="2:11" ht="69" customHeight="1">
      <c r="B26" s="347" t="s">
        <v>488</v>
      </c>
      <c r="C26" s="348" t="s">
        <v>429</v>
      </c>
      <c r="D26" s="349"/>
      <c r="E26" s="350"/>
      <c r="F26" s="351">
        <v>417432</v>
      </c>
      <c r="G26" s="350"/>
      <c r="H26" s="352"/>
      <c r="I26" s="353"/>
      <c r="J26" s="354"/>
      <c r="K26" s="334"/>
    </row>
    <row r="27" spans="2:11" ht="48" customHeight="1">
      <c r="B27" s="347" t="s">
        <v>489</v>
      </c>
      <c r="C27" s="348" t="s">
        <v>439</v>
      </c>
      <c r="D27" s="349"/>
      <c r="E27" s="350"/>
      <c r="F27" s="351">
        <v>554205</v>
      </c>
      <c r="G27" s="350"/>
      <c r="H27" s="352"/>
      <c r="I27" s="353"/>
      <c r="J27" s="354"/>
      <c r="K27" s="334"/>
    </row>
    <row r="28" spans="2:11" ht="34.5" customHeight="1">
      <c r="B28" s="347" t="s">
        <v>490</v>
      </c>
      <c r="C28" s="348" t="s">
        <v>429</v>
      </c>
      <c r="D28" s="349"/>
      <c r="E28" s="350"/>
      <c r="F28" s="351">
        <v>195562</v>
      </c>
      <c r="G28" s="350"/>
      <c r="H28" s="352"/>
      <c r="I28" s="353"/>
      <c r="J28" s="354"/>
      <c r="K28" s="334"/>
    </row>
    <row r="29" spans="2:11" ht="58.5" customHeight="1">
      <c r="B29" s="347" t="s">
        <v>491</v>
      </c>
      <c r="C29" s="348" t="s">
        <v>429</v>
      </c>
      <c r="D29" s="349"/>
      <c r="E29" s="350"/>
      <c r="F29" s="351">
        <v>291573</v>
      </c>
      <c r="G29" s="350"/>
      <c r="H29" s="352"/>
      <c r="I29" s="353"/>
      <c r="J29" s="354"/>
      <c r="K29" s="334"/>
    </row>
    <row r="30" spans="2:11" ht="64.5" customHeight="1">
      <c r="B30" s="347" t="s">
        <v>492</v>
      </c>
      <c r="C30" s="348" t="s">
        <v>429</v>
      </c>
      <c r="D30" s="349"/>
      <c r="E30" s="350"/>
      <c r="F30" s="351">
        <v>62793</v>
      </c>
      <c r="G30" s="350"/>
      <c r="H30" s="352"/>
      <c r="I30" s="355"/>
      <c r="J30" s="354"/>
      <c r="K30" s="334"/>
    </row>
    <row r="31" spans="2:11" ht="103.5" customHeight="1">
      <c r="B31" s="347" t="s">
        <v>493</v>
      </c>
      <c r="C31" s="348" t="s">
        <v>429</v>
      </c>
      <c r="D31" s="349"/>
      <c r="E31" s="350"/>
      <c r="F31" s="351">
        <v>65800</v>
      </c>
      <c r="G31" s="350"/>
      <c r="H31" s="352"/>
      <c r="I31" s="355"/>
      <c r="J31" s="354"/>
      <c r="K31" s="334"/>
    </row>
    <row r="32" spans="2:11" ht="48.75" customHeight="1" thickBot="1">
      <c r="B32" s="347" t="s">
        <v>494</v>
      </c>
      <c r="C32" s="348" t="s">
        <v>439</v>
      </c>
      <c r="D32" s="349"/>
      <c r="E32" s="350"/>
      <c r="F32" s="351">
        <v>1784279</v>
      </c>
      <c r="G32" s="350"/>
      <c r="H32" s="352"/>
      <c r="I32" s="353"/>
      <c r="J32" s="354"/>
      <c r="K32" s="352"/>
    </row>
    <row r="33" spans="2:11" ht="15.75" customHeight="1" thickBot="1">
      <c r="B33" s="296" t="s">
        <v>2</v>
      </c>
      <c r="C33" s="14"/>
      <c r="D33" s="296"/>
      <c r="E33" s="357"/>
      <c r="F33" s="358">
        <f>SUM(F10:F32)</f>
        <v>8615884.8</v>
      </c>
      <c r="G33" s="14"/>
      <c r="H33" s="341"/>
      <c r="I33" s="298"/>
      <c r="J33" s="298"/>
      <c r="K33" s="341"/>
    </row>
    <row r="34" spans="2:11" ht="54" customHeight="1">
      <c r="B34" s="660" t="s">
        <v>495</v>
      </c>
      <c r="C34" s="660"/>
      <c r="D34" s="660"/>
      <c r="E34" s="660"/>
      <c r="F34" s="660"/>
      <c r="G34" s="660"/>
      <c r="H34" s="660"/>
      <c r="I34" s="660"/>
      <c r="J34" s="660"/>
      <c r="K34" s="660"/>
    </row>
    <row r="35" ht="12.75">
      <c r="B35" s="299" t="s">
        <v>496</v>
      </c>
    </row>
  </sheetData>
  <sheetProtection/>
  <mergeCells count="2">
    <mergeCell ref="B3:K3"/>
    <mergeCell ref="B34:K34"/>
  </mergeCells>
  <printOptions/>
  <pageMargins left="0.31496062992125984" right="0.7086614173228347" top="0.7480314960629921" bottom="0.7480314960629921" header="0.31496062992125984" footer="0.31496062992125984"/>
  <pageSetup horizontalDpi="200" verticalDpi="200" orientation="portrait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I32"/>
  <sheetViews>
    <sheetView workbookViewId="0" topLeftCell="A22">
      <selection activeCell="G35" sqref="G35"/>
    </sheetView>
  </sheetViews>
  <sheetFormatPr defaultColWidth="11.421875" defaultRowHeight="12.75"/>
  <cols>
    <col min="2" max="2" width="29.57421875" style="0" customWidth="1"/>
    <col min="3" max="3" width="20.57421875" style="0" customWidth="1"/>
    <col min="4" max="4" width="19.00390625" style="0" customWidth="1"/>
    <col min="5" max="5" width="20.140625" style="0" customWidth="1"/>
    <col min="6" max="6" width="16.00390625" style="0" customWidth="1"/>
    <col min="7" max="7" width="22.28125" style="0" customWidth="1"/>
    <col min="8" max="8" width="32.57421875" style="0" customWidth="1"/>
    <col min="9" max="9" width="22.421875" style="0" customWidth="1"/>
  </cols>
  <sheetData>
    <row r="3" spans="2:9" ht="23.25">
      <c r="B3" s="631" t="s">
        <v>245</v>
      </c>
      <c r="C3" s="631"/>
      <c r="D3" s="631"/>
      <c r="E3" s="631"/>
      <c r="F3" s="631"/>
      <c r="G3" s="631"/>
      <c r="H3" s="631"/>
      <c r="I3" s="631"/>
    </row>
    <row r="5" spans="2:9" ht="12.75">
      <c r="B5" s="234" t="s">
        <v>497</v>
      </c>
      <c r="C5" s="300"/>
      <c r="D5" s="300"/>
      <c r="E5" s="300"/>
      <c r="F5" s="300"/>
      <c r="G5" s="300"/>
      <c r="H5" s="300"/>
      <c r="I5" s="3"/>
    </row>
    <row r="6" spans="2:9" ht="12.75">
      <c r="B6" s="234" t="s">
        <v>422</v>
      </c>
      <c r="C6" s="300"/>
      <c r="D6" s="300"/>
      <c r="E6" s="300"/>
      <c r="F6" s="300"/>
      <c r="G6" s="300"/>
      <c r="H6" s="300"/>
      <c r="I6" s="300"/>
    </row>
    <row r="7" spans="2:9" ht="13.5" thickBot="1">
      <c r="B7" s="342"/>
      <c r="C7" s="342"/>
      <c r="D7" s="342"/>
      <c r="E7" s="343"/>
      <c r="F7" s="343"/>
      <c r="G7" s="343"/>
      <c r="H7" s="3"/>
      <c r="I7" s="3"/>
    </row>
    <row r="8" spans="2:9" ht="24.75" thickBot="1">
      <c r="B8" s="661" t="s">
        <v>498</v>
      </c>
      <c r="C8" s="661" t="s">
        <v>499</v>
      </c>
      <c r="D8" s="661" t="s">
        <v>500</v>
      </c>
      <c r="E8" s="561" t="s">
        <v>501</v>
      </c>
      <c r="F8" s="561" t="s">
        <v>502</v>
      </c>
      <c r="G8" s="562" t="s">
        <v>503</v>
      </c>
      <c r="H8" s="661" t="s">
        <v>504</v>
      </c>
      <c r="I8" s="661" t="s">
        <v>505</v>
      </c>
    </row>
    <row r="9" spans="2:9" ht="13.5" thickBot="1">
      <c r="B9" s="662"/>
      <c r="C9" s="662"/>
      <c r="D9" s="662"/>
      <c r="E9" s="563" t="s">
        <v>506</v>
      </c>
      <c r="F9" s="564" t="s">
        <v>506</v>
      </c>
      <c r="G9" s="563" t="s">
        <v>506</v>
      </c>
      <c r="H9" s="663"/>
      <c r="I9" s="663"/>
    </row>
    <row r="10" spans="2:9" ht="12.75">
      <c r="B10" s="344" t="s">
        <v>427</v>
      </c>
      <c r="C10" s="292"/>
      <c r="D10" s="359"/>
      <c r="E10" s="360"/>
      <c r="F10" s="361"/>
      <c r="G10" s="360"/>
      <c r="H10" s="362"/>
      <c r="I10" s="363"/>
    </row>
    <row r="11" spans="2:9" ht="44.25" customHeight="1">
      <c r="B11" s="347" t="s">
        <v>507</v>
      </c>
      <c r="C11" s="364" t="s">
        <v>508</v>
      </c>
      <c r="D11" s="359"/>
      <c r="E11" s="365">
        <v>22000</v>
      </c>
      <c r="F11" s="361"/>
      <c r="G11" s="365"/>
      <c r="H11" s="348" t="s">
        <v>509</v>
      </c>
      <c r="I11" s="366" t="s">
        <v>510</v>
      </c>
    </row>
    <row r="12" spans="2:9" ht="37.5" customHeight="1">
      <c r="B12" s="347" t="s">
        <v>511</v>
      </c>
      <c r="C12" s="364" t="s">
        <v>512</v>
      </c>
      <c r="D12" s="359"/>
      <c r="E12" s="365">
        <v>32000</v>
      </c>
      <c r="F12" s="361"/>
      <c r="G12" s="365"/>
      <c r="H12" s="348" t="s">
        <v>513</v>
      </c>
      <c r="I12" s="366" t="s">
        <v>510</v>
      </c>
    </row>
    <row r="13" spans="2:9" ht="26.25" customHeight="1">
      <c r="B13" s="347" t="s">
        <v>514</v>
      </c>
      <c r="C13" s="292">
        <v>20106525456</v>
      </c>
      <c r="D13" s="359"/>
      <c r="E13" s="365">
        <v>30000</v>
      </c>
      <c r="F13" s="361"/>
      <c r="G13" s="365"/>
      <c r="H13" s="348" t="s">
        <v>515</v>
      </c>
      <c r="I13" s="366" t="s">
        <v>510</v>
      </c>
    </row>
    <row r="14" spans="2:9" ht="38.25" customHeight="1">
      <c r="B14" s="347" t="s">
        <v>516</v>
      </c>
      <c r="C14" s="292">
        <v>20604195510</v>
      </c>
      <c r="D14" s="359"/>
      <c r="E14" s="365">
        <v>32000</v>
      </c>
      <c r="F14" s="361"/>
      <c r="G14" s="365"/>
      <c r="H14" s="348" t="s">
        <v>517</v>
      </c>
      <c r="I14" s="366" t="s">
        <v>510</v>
      </c>
    </row>
    <row r="15" spans="2:9" ht="60" customHeight="1">
      <c r="B15" s="347" t="s">
        <v>518</v>
      </c>
      <c r="C15" s="292">
        <v>20510000481</v>
      </c>
      <c r="D15" s="359"/>
      <c r="E15" s="365">
        <v>30000</v>
      </c>
      <c r="F15" s="361"/>
      <c r="G15" s="365"/>
      <c r="H15" s="348" t="s">
        <v>519</v>
      </c>
      <c r="I15" s="366" t="s">
        <v>510</v>
      </c>
    </row>
    <row r="16" spans="2:9" ht="47.25" customHeight="1">
      <c r="B16" s="347" t="s">
        <v>520</v>
      </c>
      <c r="C16" s="292">
        <v>20604195510</v>
      </c>
      <c r="D16" s="359"/>
      <c r="E16" s="365">
        <v>30000</v>
      </c>
      <c r="F16" s="361"/>
      <c r="G16" s="365"/>
      <c r="H16" s="348" t="s">
        <v>521</v>
      </c>
      <c r="I16" s="366" t="s">
        <v>510</v>
      </c>
    </row>
    <row r="17" spans="2:9" ht="33.75" customHeight="1">
      <c r="B17" s="347" t="s">
        <v>522</v>
      </c>
      <c r="C17" s="292">
        <v>20601912580</v>
      </c>
      <c r="D17" s="359"/>
      <c r="E17" s="365">
        <v>17110</v>
      </c>
      <c r="F17" s="361"/>
      <c r="G17" s="365"/>
      <c r="H17" s="348" t="s">
        <v>523</v>
      </c>
      <c r="I17" s="366" t="s">
        <v>510</v>
      </c>
    </row>
    <row r="18" spans="2:9" ht="50.25" customHeight="1">
      <c r="B18" s="347" t="s">
        <v>524</v>
      </c>
      <c r="C18" s="292"/>
      <c r="D18" s="367" t="s">
        <v>525</v>
      </c>
      <c r="E18" s="365">
        <v>33600</v>
      </c>
      <c r="F18" s="361"/>
      <c r="G18" s="365"/>
      <c r="H18" s="348" t="s">
        <v>526</v>
      </c>
      <c r="I18" s="366" t="s">
        <v>510</v>
      </c>
    </row>
    <row r="19" spans="2:9" ht="48" customHeight="1">
      <c r="B19" s="347" t="s">
        <v>527</v>
      </c>
      <c r="C19" s="292"/>
      <c r="D19" s="359">
        <v>10770254</v>
      </c>
      <c r="E19" s="365">
        <v>30000</v>
      </c>
      <c r="F19" s="361"/>
      <c r="G19" s="365"/>
      <c r="H19" s="348" t="s">
        <v>528</v>
      </c>
      <c r="I19" s="366" t="s">
        <v>510</v>
      </c>
    </row>
    <row r="20" spans="2:9" ht="45" customHeight="1">
      <c r="B20" s="347" t="s">
        <v>529</v>
      </c>
      <c r="C20" s="292"/>
      <c r="D20" s="368" t="s">
        <v>530</v>
      </c>
      <c r="E20" s="365">
        <v>8500</v>
      </c>
      <c r="F20" s="361"/>
      <c r="G20" s="365"/>
      <c r="H20" s="348" t="s">
        <v>531</v>
      </c>
      <c r="I20" s="366" t="s">
        <v>510</v>
      </c>
    </row>
    <row r="21" spans="2:9" ht="67.5" customHeight="1">
      <c r="B21" s="347" t="s">
        <v>532</v>
      </c>
      <c r="C21" s="292"/>
      <c r="D21" s="368" t="s">
        <v>533</v>
      </c>
      <c r="E21" s="365">
        <v>13800</v>
      </c>
      <c r="F21" s="361"/>
      <c r="G21" s="365"/>
      <c r="H21" s="348" t="s">
        <v>534</v>
      </c>
      <c r="I21" s="366" t="s">
        <v>510</v>
      </c>
    </row>
    <row r="22" spans="2:9" ht="72" customHeight="1">
      <c r="B22" s="347" t="s">
        <v>535</v>
      </c>
      <c r="C22" s="292"/>
      <c r="D22" s="368" t="s">
        <v>536</v>
      </c>
      <c r="E22" s="365">
        <v>5000</v>
      </c>
      <c r="F22" s="361"/>
      <c r="G22" s="365"/>
      <c r="H22" s="348" t="s">
        <v>537</v>
      </c>
      <c r="I22" s="366" t="s">
        <v>510</v>
      </c>
    </row>
    <row r="23" spans="2:9" ht="51.75" customHeight="1">
      <c r="B23" s="347" t="s">
        <v>538</v>
      </c>
      <c r="C23" s="292"/>
      <c r="D23" s="359">
        <v>10742993</v>
      </c>
      <c r="E23" s="365">
        <v>16000</v>
      </c>
      <c r="F23" s="361"/>
      <c r="G23" s="365"/>
      <c r="H23" s="348" t="s">
        <v>539</v>
      </c>
      <c r="I23" s="366" t="s">
        <v>510</v>
      </c>
    </row>
    <row r="24" spans="2:9" ht="90" customHeight="1">
      <c r="B24" s="347" t="s">
        <v>540</v>
      </c>
      <c r="C24" s="292"/>
      <c r="D24" s="359">
        <v>40362597</v>
      </c>
      <c r="E24" s="365">
        <v>18000</v>
      </c>
      <c r="F24" s="361"/>
      <c r="G24" s="365"/>
      <c r="H24" s="348" t="s">
        <v>541</v>
      </c>
      <c r="I24" s="366" t="s">
        <v>510</v>
      </c>
    </row>
    <row r="25" spans="2:9" ht="12.75">
      <c r="B25" s="344" t="s">
        <v>542</v>
      </c>
      <c r="C25" s="292"/>
      <c r="D25" s="359"/>
      <c r="E25" s="365"/>
      <c r="F25" s="361"/>
      <c r="G25" s="365"/>
      <c r="H25" s="348"/>
      <c r="I25" s="366"/>
    </row>
    <row r="26" spans="2:9" ht="12.75">
      <c r="B26" s="347" t="s">
        <v>543</v>
      </c>
      <c r="C26" s="292"/>
      <c r="D26" s="359"/>
      <c r="E26" s="365"/>
      <c r="F26" s="361"/>
      <c r="G26" s="365"/>
      <c r="H26" s="348"/>
      <c r="I26" s="366"/>
    </row>
    <row r="27" spans="2:9" ht="13.5" thickBot="1">
      <c r="B27" s="369" t="s">
        <v>419</v>
      </c>
      <c r="C27" s="370"/>
      <c r="D27" s="371"/>
      <c r="E27" s="365"/>
      <c r="F27" s="290"/>
      <c r="G27" s="372"/>
      <c r="H27" s="293"/>
      <c r="I27" s="373"/>
    </row>
    <row r="28" spans="2:9" ht="13.5" thickBot="1">
      <c r="B28" s="339" t="s">
        <v>544</v>
      </c>
      <c r="C28" s="340"/>
      <c r="D28" s="340"/>
      <c r="E28" s="374">
        <f>SUM(E11:E27)</f>
        <v>318010</v>
      </c>
      <c r="F28" s="297"/>
      <c r="G28" s="375"/>
      <c r="H28" s="307"/>
      <c r="I28" s="307"/>
    </row>
    <row r="29" spans="2:9" ht="12.75">
      <c r="B29" s="291"/>
      <c r="C29" s="291"/>
      <c r="D29" s="291"/>
      <c r="E29" s="300"/>
      <c r="F29" s="300"/>
      <c r="G29" s="300"/>
      <c r="H29" s="3"/>
      <c r="I29" s="3"/>
    </row>
    <row r="30" spans="2:9" ht="12.75">
      <c r="B30" s="376" t="s">
        <v>545</v>
      </c>
      <c r="C30" s="376"/>
      <c r="D30" s="376"/>
      <c r="E30" s="300"/>
      <c r="F30" s="300"/>
      <c r="G30" s="300"/>
      <c r="H30" s="3"/>
      <c r="I30" s="3"/>
    </row>
    <row r="31" spans="2:9" ht="12.75">
      <c r="B31" s="299" t="s">
        <v>546</v>
      </c>
      <c r="C31" s="299"/>
      <c r="D31" s="299"/>
      <c r="E31" s="300"/>
      <c r="F31" s="300"/>
      <c r="G31" s="300"/>
      <c r="H31" s="3"/>
      <c r="I31" s="3"/>
    </row>
    <row r="32" ht="12.75">
      <c r="B32" t="s">
        <v>547</v>
      </c>
    </row>
  </sheetData>
  <sheetProtection/>
  <mergeCells count="6">
    <mergeCell ref="B3:I3"/>
    <mergeCell ref="B8:B9"/>
    <mergeCell ref="C8:C9"/>
    <mergeCell ref="D8:D9"/>
    <mergeCell ref="H8:H9"/>
    <mergeCell ref="I8:I9"/>
  </mergeCells>
  <printOptions/>
  <pageMargins left="0.31496062992125984" right="0.7086614173228347" top="0.7480314960629921" bottom="0.7480314960629921" header="0.31496062992125984" footer="0.31496062992125984"/>
  <pageSetup horizontalDpi="200" verticalDpi="200" orientation="landscape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I31"/>
  <sheetViews>
    <sheetView workbookViewId="0" topLeftCell="C21">
      <selection activeCell="L49" sqref="L49"/>
    </sheetView>
  </sheetViews>
  <sheetFormatPr defaultColWidth="11.421875" defaultRowHeight="12.75"/>
  <cols>
    <col min="2" max="2" width="34.7109375" style="0" customWidth="1"/>
    <col min="3" max="3" width="18.00390625" style="0" customWidth="1"/>
    <col min="4" max="4" width="35.8515625" style="0" customWidth="1"/>
    <col min="5" max="5" width="15.28125" style="0" customWidth="1"/>
    <col min="8" max="9" width="16.7109375" style="0" customWidth="1"/>
  </cols>
  <sheetData>
    <row r="3" spans="2:9" ht="23.25">
      <c r="B3" s="631" t="s">
        <v>245</v>
      </c>
      <c r="C3" s="631"/>
      <c r="D3" s="631"/>
      <c r="E3" s="631"/>
      <c r="F3" s="631"/>
      <c r="G3" s="631"/>
      <c r="H3" s="631"/>
      <c r="I3" s="631"/>
    </row>
    <row r="5" spans="2:9" ht="15.75">
      <c r="B5" s="556" t="s">
        <v>583</v>
      </c>
      <c r="C5" s="396"/>
      <c r="D5" s="396"/>
      <c r="E5" s="396"/>
      <c r="F5" s="396"/>
      <c r="G5" s="396"/>
      <c r="H5" s="396"/>
      <c r="I5" s="396"/>
    </row>
    <row r="6" spans="2:9" ht="15.75">
      <c r="B6" s="234" t="s">
        <v>422</v>
      </c>
      <c r="C6" s="289"/>
      <c r="D6" s="289"/>
      <c r="E6" s="289"/>
      <c r="F6" s="289"/>
      <c r="G6" s="289"/>
      <c r="H6" s="289"/>
      <c r="I6" s="289"/>
    </row>
    <row r="7" spans="2:9" ht="13.5" thickBot="1">
      <c r="B7" s="397"/>
      <c r="C7" s="397"/>
      <c r="D7" s="397"/>
      <c r="E7" s="397"/>
      <c r="F7" s="397"/>
      <c r="G7" s="397"/>
      <c r="H7" s="397"/>
      <c r="I7" s="397"/>
    </row>
    <row r="8" spans="2:9" ht="13.5" thickBot="1">
      <c r="B8" s="664" t="s">
        <v>584</v>
      </c>
      <c r="C8" s="664" t="s">
        <v>553</v>
      </c>
      <c r="D8" s="666" t="s">
        <v>585</v>
      </c>
      <c r="E8" s="667"/>
      <c r="F8" s="667"/>
      <c r="G8" s="667"/>
      <c r="H8" s="667"/>
      <c r="I8" s="667"/>
    </row>
    <row r="9" spans="2:9" ht="24.75" thickBot="1">
      <c r="B9" s="665"/>
      <c r="C9" s="665"/>
      <c r="D9" s="418" t="s">
        <v>586</v>
      </c>
      <c r="E9" s="419" t="s">
        <v>587</v>
      </c>
      <c r="F9" s="420" t="s">
        <v>588</v>
      </c>
      <c r="G9" s="421" t="s">
        <v>589</v>
      </c>
      <c r="H9" s="421" t="s">
        <v>590</v>
      </c>
      <c r="I9" s="421" t="s">
        <v>591</v>
      </c>
    </row>
    <row r="10" spans="2:9" ht="12.75">
      <c r="B10" s="398"/>
      <c r="C10" s="406"/>
      <c r="D10" s="409"/>
      <c r="E10" s="399"/>
      <c r="F10" s="409"/>
      <c r="G10" s="411"/>
      <c r="H10" s="409"/>
      <c r="I10" s="409"/>
    </row>
    <row r="11" spans="2:9" ht="12.75">
      <c r="B11" s="401" t="s">
        <v>26</v>
      </c>
      <c r="C11" s="407"/>
      <c r="D11" s="400"/>
      <c r="E11" s="399"/>
      <c r="F11" s="400"/>
      <c r="G11" s="411"/>
      <c r="H11" s="400"/>
      <c r="I11" s="400"/>
    </row>
    <row r="12" spans="2:9" ht="12.75">
      <c r="B12" s="401"/>
      <c r="C12" s="407"/>
      <c r="D12" s="400"/>
      <c r="E12" s="399"/>
      <c r="F12" s="400"/>
      <c r="G12" s="411"/>
      <c r="H12" s="400"/>
      <c r="I12" s="400"/>
    </row>
    <row r="13" spans="2:9" ht="12.75">
      <c r="B13" s="401" t="s">
        <v>27</v>
      </c>
      <c r="C13" s="241">
        <v>201</v>
      </c>
      <c r="D13" s="410" t="s">
        <v>596</v>
      </c>
      <c r="E13" s="241" t="s">
        <v>597</v>
      </c>
      <c r="F13" s="410">
        <v>2003</v>
      </c>
      <c r="G13" s="241" t="s">
        <v>598</v>
      </c>
      <c r="H13" s="412">
        <v>70779.69</v>
      </c>
      <c r="I13" s="412">
        <v>78871.13</v>
      </c>
    </row>
    <row r="14" spans="2:9" ht="12.75">
      <c r="B14" s="401"/>
      <c r="C14" s="407"/>
      <c r="D14" s="400"/>
      <c r="E14" s="399"/>
      <c r="F14" s="400"/>
      <c r="G14" s="411"/>
      <c r="H14" s="400"/>
      <c r="I14" s="400"/>
    </row>
    <row r="15" spans="2:9" ht="12.75">
      <c r="B15" s="401" t="s">
        <v>28</v>
      </c>
      <c r="C15" s="407"/>
      <c r="D15" s="400"/>
      <c r="E15" s="399"/>
      <c r="F15" s="400"/>
      <c r="G15" s="411"/>
      <c r="H15" s="400"/>
      <c r="I15" s="400"/>
    </row>
    <row r="16" spans="2:9" ht="12.75">
      <c r="B16" s="401" t="s">
        <v>592</v>
      </c>
      <c r="C16" s="407"/>
      <c r="D16" s="400"/>
      <c r="E16" s="399"/>
      <c r="F16" s="400"/>
      <c r="G16" s="411"/>
      <c r="H16" s="400"/>
      <c r="I16" s="400"/>
    </row>
    <row r="17" spans="2:9" ht="12.75">
      <c r="B17" s="401"/>
      <c r="C17" s="407"/>
      <c r="D17" s="400"/>
      <c r="E17" s="399"/>
      <c r="F17" s="400"/>
      <c r="G17" s="411"/>
      <c r="H17" s="400"/>
      <c r="I17" s="400"/>
    </row>
    <row r="18" spans="2:9" ht="12.75">
      <c r="B18" s="401" t="s">
        <v>29</v>
      </c>
      <c r="C18" s="407"/>
      <c r="D18" s="400"/>
      <c r="E18" s="399"/>
      <c r="F18" s="400"/>
      <c r="G18" s="411"/>
      <c r="H18" s="400"/>
      <c r="I18" s="400"/>
    </row>
    <row r="19" spans="2:9" ht="12.75">
      <c r="B19" s="401"/>
      <c r="C19" s="407"/>
      <c r="D19" s="400"/>
      <c r="E19" s="399"/>
      <c r="F19" s="400"/>
      <c r="G19" s="411"/>
      <c r="H19" s="400"/>
      <c r="I19" s="400"/>
    </row>
    <row r="20" spans="2:9" ht="12.75">
      <c r="B20" s="401" t="s">
        <v>30</v>
      </c>
      <c r="C20" s="407"/>
      <c r="D20" s="400"/>
      <c r="E20" s="399"/>
      <c r="F20" s="400"/>
      <c r="G20" s="411"/>
      <c r="H20" s="400"/>
      <c r="I20" s="400"/>
    </row>
    <row r="21" spans="2:9" ht="12.75">
      <c r="B21" s="401"/>
      <c r="C21" s="407"/>
      <c r="D21" s="400"/>
      <c r="E21" s="399"/>
      <c r="F21" s="400"/>
      <c r="G21" s="411"/>
      <c r="H21" s="400"/>
      <c r="I21" s="400"/>
    </row>
    <row r="22" spans="2:9" ht="12.75">
      <c r="B22" s="401" t="s">
        <v>34</v>
      </c>
      <c r="C22" s="407"/>
      <c r="D22" s="400"/>
      <c r="E22" s="399"/>
      <c r="F22" s="400"/>
      <c r="G22" s="411"/>
      <c r="H22" s="400"/>
      <c r="I22" s="400"/>
    </row>
    <row r="23" spans="2:9" ht="12.75">
      <c r="B23" s="401" t="s">
        <v>35</v>
      </c>
      <c r="C23" s="407"/>
      <c r="D23" s="400"/>
      <c r="E23" s="399"/>
      <c r="F23" s="400"/>
      <c r="G23" s="411"/>
      <c r="H23" s="400"/>
      <c r="I23" s="400"/>
    </row>
    <row r="24" spans="2:9" ht="12.75">
      <c r="B24" s="401" t="s">
        <v>31</v>
      </c>
      <c r="C24" s="407"/>
      <c r="D24" s="400"/>
      <c r="E24" s="399"/>
      <c r="F24" s="400"/>
      <c r="G24" s="411"/>
      <c r="H24" s="400"/>
      <c r="I24" s="400"/>
    </row>
    <row r="25" spans="2:9" ht="12.75">
      <c r="B25" s="401" t="s">
        <v>32</v>
      </c>
      <c r="C25" s="407"/>
      <c r="D25" s="400"/>
      <c r="E25" s="399"/>
      <c r="F25" s="400"/>
      <c r="G25" s="411"/>
      <c r="H25" s="400"/>
      <c r="I25" s="400"/>
    </row>
    <row r="26" spans="2:9" ht="12.75">
      <c r="B26" s="401" t="s">
        <v>33</v>
      </c>
      <c r="C26" s="407"/>
      <c r="D26" s="400"/>
      <c r="E26" s="399"/>
      <c r="F26" s="400"/>
      <c r="G26" s="411"/>
      <c r="H26" s="400"/>
      <c r="I26" s="400"/>
    </row>
    <row r="27" spans="2:9" ht="12.75">
      <c r="B27" s="401" t="s">
        <v>593</v>
      </c>
      <c r="C27" s="407"/>
      <c r="D27" s="400"/>
      <c r="E27" s="399"/>
      <c r="F27" s="400"/>
      <c r="G27" s="411"/>
      <c r="H27" s="400"/>
      <c r="I27" s="400"/>
    </row>
    <row r="28" spans="2:9" ht="13.5" thickBot="1">
      <c r="B28" s="402"/>
      <c r="C28" s="408"/>
      <c r="D28" s="402"/>
      <c r="E28" s="397"/>
      <c r="F28" s="402"/>
      <c r="G28" s="407"/>
      <c r="H28" s="402"/>
      <c r="I28" s="402"/>
    </row>
    <row r="29" spans="2:9" ht="13.5" thickBot="1">
      <c r="B29" s="403" t="s">
        <v>2</v>
      </c>
      <c r="C29" s="404"/>
      <c r="D29" s="405"/>
      <c r="E29" s="405"/>
      <c r="F29" s="405"/>
      <c r="G29" s="405"/>
      <c r="H29" s="413">
        <f>SUM(H13:H28)</f>
        <v>70779.69</v>
      </c>
      <c r="I29" s="413">
        <f>SUM(I13:I28)</f>
        <v>78871.13</v>
      </c>
    </row>
    <row r="30" spans="2:9" ht="12.75">
      <c r="B30" s="397" t="s">
        <v>594</v>
      </c>
      <c r="C30" s="397"/>
      <c r="D30" s="397"/>
      <c r="E30" s="397"/>
      <c r="F30" s="397"/>
      <c r="G30" s="397"/>
      <c r="H30" s="397"/>
      <c r="I30" s="397"/>
    </row>
    <row r="31" spans="2:9" ht="12.75">
      <c r="B31" s="397" t="s">
        <v>595</v>
      </c>
      <c r="C31" s="397"/>
      <c r="D31" s="397"/>
      <c r="E31" s="397"/>
      <c r="F31" s="397"/>
      <c r="G31" s="397"/>
      <c r="H31" s="397"/>
      <c r="I31" s="397"/>
    </row>
  </sheetData>
  <sheetProtection/>
  <mergeCells count="4">
    <mergeCell ref="B3:I3"/>
    <mergeCell ref="B8:B9"/>
    <mergeCell ref="C8:C9"/>
    <mergeCell ref="D8:I8"/>
  </mergeCells>
  <printOptions/>
  <pageMargins left="0.31496062992125984" right="0.7086614173228347" top="0.7480314960629921" bottom="0.7480314960629921" header="0.31496062992125984" footer="0.31496062992125984"/>
  <pageSetup horizontalDpi="200" verticalDpi="2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R136"/>
  <sheetViews>
    <sheetView workbookViewId="0" topLeftCell="B18">
      <selection activeCell="B18" sqref="B18"/>
    </sheetView>
  </sheetViews>
  <sheetFormatPr defaultColWidth="11.421875" defaultRowHeight="12.75"/>
  <cols>
    <col min="3" max="3" width="15.28125" style="0" customWidth="1"/>
    <col min="4" max="4" width="27.140625" style="0" customWidth="1"/>
    <col min="5" max="5" width="19.7109375" style="0" customWidth="1"/>
    <col min="6" max="6" width="14.421875" style="0" customWidth="1"/>
  </cols>
  <sheetData>
    <row r="3" spans="2:18" ht="12.75">
      <c r="B3" s="668" t="s">
        <v>245</v>
      </c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</row>
    <row r="4" spans="2:18" ht="12.75"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342"/>
    </row>
    <row r="5" spans="2:18" ht="12.75">
      <c r="B5" s="557" t="s">
        <v>548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</row>
    <row r="6" spans="2:18" ht="13.5" thickBot="1">
      <c r="B6" s="234" t="s">
        <v>603</v>
      </c>
      <c r="C6" s="533"/>
      <c r="D6" s="533"/>
      <c r="E6" s="533"/>
      <c r="F6" s="533"/>
      <c r="G6" s="533"/>
      <c r="H6" s="533"/>
      <c r="I6" s="533"/>
      <c r="J6" s="533"/>
      <c r="K6" s="533"/>
      <c r="L6" s="534"/>
      <c r="M6" s="534"/>
      <c r="N6" s="533"/>
      <c r="O6" s="533"/>
      <c r="P6" s="533"/>
      <c r="Q6" s="533"/>
      <c r="R6" s="3"/>
    </row>
    <row r="7" spans="2:18" ht="13.5" thickBot="1">
      <c r="B7" s="669" t="s">
        <v>549</v>
      </c>
      <c r="C7" s="670"/>
      <c r="D7" s="670"/>
      <c r="E7" s="670"/>
      <c r="F7" s="671"/>
      <c r="G7" s="669" t="s">
        <v>550</v>
      </c>
      <c r="H7" s="670"/>
      <c r="I7" s="670"/>
      <c r="J7" s="670"/>
      <c r="K7" s="671"/>
      <c r="L7" s="672" t="s">
        <v>551</v>
      </c>
      <c r="M7" s="673"/>
      <c r="N7" s="674"/>
      <c r="O7" s="672" t="s">
        <v>552</v>
      </c>
      <c r="P7" s="673"/>
      <c r="Q7" s="674"/>
      <c r="R7" s="535"/>
    </row>
    <row r="8" spans="2:18" ht="72.75" thickBot="1">
      <c r="B8" s="434" t="s">
        <v>553</v>
      </c>
      <c r="C8" s="423" t="s">
        <v>554</v>
      </c>
      <c r="D8" s="423" t="s">
        <v>555</v>
      </c>
      <c r="E8" s="435" t="s">
        <v>556</v>
      </c>
      <c r="F8" s="436" t="s">
        <v>557</v>
      </c>
      <c r="G8" s="434" t="s">
        <v>558</v>
      </c>
      <c r="H8" s="435" t="s">
        <v>559</v>
      </c>
      <c r="I8" s="435" t="s">
        <v>560</v>
      </c>
      <c r="J8" s="423" t="s">
        <v>561</v>
      </c>
      <c r="K8" s="433" t="s">
        <v>654</v>
      </c>
      <c r="L8" s="425" t="s">
        <v>562</v>
      </c>
      <c r="M8" s="426" t="s">
        <v>563</v>
      </c>
      <c r="N8" s="427" t="s">
        <v>564</v>
      </c>
      <c r="O8" s="425" t="s">
        <v>562</v>
      </c>
      <c r="P8" s="426" t="s">
        <v>563</v>
      </c>
      <c r="Q8" s="427" t="s">
        <v>564</v>
      </c>
      <c r="R8" s="536"/>
    </row>
    <row r="9" spans="2:18" ht="12.75">
      <c r="B9" s="533"/>
      <c r="C9" s="533"/>
      <c r="D9" s="533"/>
      <c r="E9" s="533"/>
      <c r="F9" s="533"/>
      <c r="G9" s="537"/>
      <c r="H9" s="533"/>
      <c r="I9" s="533"/>
      <c r="J9" s="537"/>
      <c r="K9" s="533"/>
      <c r="L9" s="533"/>
      <c r="M9" s="533"/>
      <c r="N9" s="533"/>
      <c r="O9" s="533"/>
      <c r="P9" s="533"/>
      <c r="Q9" s="533"/>
      <c r="R9" s="3"/>
    </row>
    <row r="10" spans="2:18" ht="36">
      <c r="B10" s="538" t="s">
        <v>214</v>
      </c>
      <c r="C10" s="539" t="s">
        <v>655</v>
      </c>
      <c r="D10" s="539" t="s">
        <v>656</v>
      </c>
      <c r="E10" s="538" t="s">
        <v>657</v>
      </c>
      <c r="F10" s="540">
        <v>2000</v>
      </c>
      <c r="G10" s="541">
        <v>74200761</v>
      </c>
      <c r="H10" s="542" t="s">
        <v>658</v>
      </c>
      <c r="I10" s="543" t="s">
        <v>659</v>
      </c>
      <c r="J10" s="544" t="s">
        <v>659</v>
      </c>
      <c r="K10" s="543" t="s">
        <v>660</v>
      </c>
      <c r="L10" s="539">
        <v>4</v>
      </c>
      <c r="M10" s="539">
        <v>12</v>
      </c>
      <c r="N10" s="539">
        <f>M10*F10</f>
        <v>24000</v>
      </c>
      <c r="O10" s="539"/>
      <c r="P10" s="539"/>
      <c r="Q10" s="539"/>
      <c r="R10" s="3"/>
    </row>
    <row r="11" spans="2:18" ht="36">
      <c r="B11" s="538" t="s">
        <v>214</v>
      </c>
      <c r="C11" s="539" t="s">
        <v>655</v>
      </c>
      <c r="D11" s="539" t="s">
        <v>656</v>
      </c>
      <c r="E11" s="538" t="s">
        <v>661</v>
      </c>
      <c r="F11" s="540">
        <v>5000</v>
      </c>
      <c r="G11" s="545">
        <v>47351405</v>
      </c>
      <c r="H11" s="542" t="s">
        <v>662</v>
      </c>
      <c r="I11" s="543" t="s">
        <v>663</v>
      </c>
      <c r="J11" s="544" t="s">
        <v>664</v>
      </c>
      <c r="K11" s="543" t="s">
        <v>665</v>
      </c>
      <c r="L11" s="539">
        <v>4</v>
      </c>
      <c r="M11" s="539">
        <v>12</v>
      </c>
      <c r="N11" s="539">
        <f aca="true" t="shared" si="0" ref="N11:N71">M11*F11</f>
        <v>60000</v>
      </c>
      <c r="O11" s="539"/>
      <c r="P11" s="539"/>
      <c r="Q11" s="539"/>
      <c r="R11" s="3"/>
    </row>
    <row r="12" spans="2:18" ht="36">
      <c r="B12" s="538" t="s">
        <v>214</v>
      </c>
      <c r="C12" s="539" t="s">
        <v>655</v>
      </c>
      <c r="D12" s="539" t="s">
        <v>656</v>
      </c>
      <c r="E12" s="538" t="s">
        <v>661</v>
      </c>
      <c r="F12" s="540">
        <v>5000</v>
      </c>
      <c r="G12" s="545">
        <v>47351405</v>
      </c>
      <c r="H12" s="542" t="s">
        <v>662</v>
      </c>
      <c r="I12" s="543" t="s">
        <v>663</v>
      </c>
      <c r="J12" s="544" t="s">
        <v>664</v>
      </c>
      <c r="K12" s="543" t="s">
        <v>665</v>
      </c>
      <c r="L12" s="539"/>
      <c r="M12" s="539"/>
      <c r="N12" s="539"/>
      <c r="O12" s="539">
        <v>3</v>
      </c>
      <c r="P12" s="539">
        <v>6</v>
      </c>
      <c r="Q12" s="539">
        <f>P12*F12</f>
        <v>30000</v>
      </c>
      <c r="R12" s="3"/>
    </row>
    <row r="13" spans="2:18" ht="48">
      <c r="B13" s="538" t="s">
        <v>214</v>
      </c>
      <c r="C13" s="539" t="s">
        <v>655</v>
      </c>
      <c r="D13" s="539" t="s">
        <v>656</v>
      </c>
      <c r="E13" s="538" t="s">
        <v>666</v>
      </c>
      <c r="F13" s="540">
        <v>4500</v>
      </c>
      <c r="G13" s="541">
        <v>45108714</v>
      </c>
      <c r="H13" s="542" t="s">
        <v>667</v>
      </c>
      <c r="I13" s="543" t="s">
        <v>668</v>
      </c>
      <c r="J13" s="544" t="s">
        <v>664</v>
      </c>
      <c r="K13" s="543" t="s">
        <v>665</v>
      </c>
      <c r="L13" s="539">
        <v>4</v>
      </c>
      <c r="M13" s="539">
        <v>12</v>
      </c>
      <c r="N13" s="539">
        <f t="shared" si="0"/>
        <v>54000</v>
      </c>
      <c r="O13" s="539"/>
      <c r="P13" s="539"/>
      <c r="Q13" s="539"/>
      <c r="R13" s="3"/>
    </row>
    <row r="14" spans="2:18" ht="48">
      <c r="B14" s="538" t="s">
        <v>214</v>
      </c>
      <c r="C14" s="539" t="s">
        <v>655</v>
      </c>
      <c r="D14" s="539" t="s">
        <v>656</v>
      </c>
      <c r="E14" s="538" t="s">
        <v>666</v>
      </c>
      <c r="F14" s="540">
        <v>4500</v>
      </c>
      <c r="G14" s="541">
        <v>45108714</v>
      </c>
      <c r="H14" s="542" t="s">
        <v>667</v>
      </c>
      <c r="I14" s="543" t="s">
        <v>668</v>
      </c>
      <c r="J14" s="544" t="s">
        <v>664</v>
      </c>
      <c r="K14" s="543" t="s">
        <v>665</v>
      </c>
      <c r="L14" s="539"/>
      <c r="M14" s="539"/>
      <c r="N14" s="539"/>
      <c r="O14" s="539">
        <v>3</v>
      </c>
      <c r="P14" s="539">
        <v>6</v>
      </c>
      <c r="Q14" s="539">
        <f>P14*F14</f>
        <v>27000</v>
      </c>
      <c r="R14" s="3"/>
    </row>
    <row r="15" spans="2:18" ht="48">
      <c r="B15" s="538" t="s">
        <v>214</v>
      </c>
      <c r="C15" s="539" t="s">
        <v>655</v>
      </c>
      <c r="D15" s="539" t="s">
        <v>656</v>
      </c>
      <c r="E15" s="538" t="s">
        <v>669</v>
      </c>
      <c r="F15" s="540">
        <v>2950</v>
      </c>
      <c r="G15" s="541">
        <v>41237587</v>
      </c>
      <c r="H15" s="542" t="s">
        <v>670</v>
      </c>
      <c r="I15" s="543" t="s">
        <v>659</v>
      </c>
      <c r="J15" s="544" t="s">
        <v>659</v>
      </c>
      <c r="K15" s="543" t="s">
        <v>660</v>
      </c>
      <c r="L15" s="539">
        <v>2</v>
      </c>
      <c r="M15" s="539">
        <v>5</v>
      </c>
      <c r="N15" s="539">
        <f t="shared" si="0"/>
        <v>14750</v>
      </c>
      <c r="O15" s="539"/>
      <c r="P15" s="539"/>
      <c r="Q15" s="539"/>
      <c r="R15" s="3"/>
    </row>
    <row r="16" spans="2:18" ht="48">
      <c r="B16" s="538" t="s">
        <v>214</v>
      </c>
      <c r="C16" s="539" t="s">
        <v>655</v>
      </c>
      <c r="D16" s="539" t="s">
        <v>656</v>
      </c>
      <c r="E16" s="538" t="s">
        <v>669</v>
      </c>
      <c r="F16" s="540">
        <v>2950</v>
      </c>
      <c r="G16" s="541">
        <v>41237587</v>
      </c>
      <c r="H16" s="542" t="s">
        <v>670</v>
      </c>
      <c r="I16" s="543" t="s">
        <v>659</v>
      </c>
      <c r="J16" s="544" t="s">
        <v>659</v>
      </c>
      <c r="K16" s="543" t="s">
        <v>660</v>
      </c>
      <c r="L16" s="539"/>
      <c r="M16" s="539"/>
      <c r="N16" s="539"/>
      <c r="O16" s="539">
        <v>3</v>
      </c>
      <c r="P16" s="539">
        <v>6</v>
      </c>
      <c r="Q16" s="539">
        <f>P16*F16</f>
        <v>17700</v>
      </c>
      <c r="R16" s="3"/>
    </row>
    <row r="17" spans="2:18" ht="72">
      <c r="B17" s="538" t="s">
        <v>214</v>
      </c>
      <c r="C17" s="539" t="s">
        <v>655</v>
      </c>
      <c r="D17" s="539" t="s">
        <v>656</v>
      </c>
      <c r="E17" s="538" t="s">
        <v>671</v>
      </c>
      <c r="F17" s="540">
        <v>3700</v>
      </c>
      <c r="G17" s="541">
        <v>45975209</v>
      </c>
      <c r="H17" s="542" t="s">
        <v>672</v>
      </c>
      <c r="I17" s="543" t="s">
        <v>673</v>
      </c>
      <c r="J17" s="544" t="s">
        <v>674</v>
      </c>
      <c r="K17" s="543" t="s">
        <v>675</v>
      </c>
      <c r="L17" s="539">
        <v>4</v>
      </c>
      <c r="M17" s="539">
        <v>12</v>
      </c>
      <c r="N17" s="539">
        <f t="shared" si="0"/>
        <v>44400</v>
      </c>
      <c r="O17" s="539"/>
      <c r="P17" s="539"/>
      <c r="Q17" s="539"/>
      <c r="R17" s="3"/>
    </row>
    <row r="18" spans="2:18" ht="72">
      <c r="B18" s="538" t="s">
        <v>214</v>
      </c>
      <c r="C18" s="539" t="s">
        <v>655</v>
      </c>
      <c r="D18" s="539" t="s">
        <v>656</v>
      </c>
      <c r="E18" s="538" t="s">
        <v>671</v>
      </c>
      <c r="F18" s="540">
        <v>3700</v>
      </c>
      <c r="G18" s="541">
        <v>45975209</v>
      </c>
      <c r="H18" s="542" t="s">
        <v>672</v>
      </c>
      <c r="I18" s="543" t="s">
        <v>676</v>
      </c>
      <c r="J18" s="544" t="s">
        <v>674</v>
      </c>
      <c r="K18" s="543" t="s">
        <v>675</v>
      </c>
      <c r="L18" s="539"/>
      <c r="M18" s="539"/>
      <c r="N18" s="539"/>
      <c r="O18" s="539">
        <v>3</v>
      </c>
      <c r="P18" s="539">
        <v>6</v>
      </c>
      <c r="Q18" s="539">
        <f>P18*F18</f>
        <v>22200</v>
      </c>
      <c r="R18" s="3"/>
    </row>
    <row r="19" spans="2:18" ht="48">
      <c r="B19" s="538" t="s">
        <v>214</v>
      </c>
      <c r="C19" s="539" t="s">
        <v>655</v>
      </c>
      <c r="D19" s="539" t="s">
        <v>656</v>
      </c>
      <c r="E19" s="539" t="s">
        <v>677</v>
      </c>
      <c r="F19" s="540">
        <v>2000</v>
      </c>
      <c r="G19" s="541">
        <v>48384259</v>
      </c>
      <c r="H19" s="542" t="s">
        <v>678</v>
      </c>
      <c r="I19" s="543" t="s">
        <v>663</v>
      </c>
      <c r="J19" s="544" t="s">
        <v>674</v>
      </c>
      <c r="K19" s="543" t="s">
        <v>675</v>
      </c>
      <c r="L19" s="539">
        <v>3</v>
      </c>
      <c r="M19" s="539">
        <v>8</v>
      </c>
      <c r="N19" s="539">
        <f t="shared" si="0"/>
        <v>16000</v>
      </c>
      <c r="O19" s="539"/>
      <c r="P19" s="539"/>
      <c r="Q19" s="539"/>
      <c r="R19" s="3"/>
    </row>
    <row r="20" spans="2:18" ht="48">
      <c r="B20" s="538" t="s">
        <v>214</v>
      </c>
      <c r="C20" s="539" t="s">
        <v>655</v>
      </c>
      <c r="D20" s="539" t="s">
        <v>656</v>
      </c>
      <c r="E20" s="539" t="s">
        <v>677</v>
      </c>
      <c r="F20" s="540">
        <v>2000</v>
      </c>
      <c r="G20" s="541">
        <v>48384259</v>
      </c>
      <c r="H20" s="542" t="s">
        <v>678</v>
      </c>
      <c r="I20" s="543" t="s">
        <v>663</v>
      </c>
      <c r="J20" s="544" t="s">
        <v>674</v>
      </c>
      <c r="K20" s="543" t="s">
        <v>675</v>
      </c>
      <c r="L20" s="539"/>
      <c r="M20" s="539"/>
      <c r="N20" s="539"/>
      <c r="O20" s="539">
        <v>3</v>
      </c>
      <c r="P20" s="539">
        <v>6</v>
      </c>
      <c r="Q20" s="539">
        <f>P20*F20</f>
        <v>12000</v>
      </c>
      <c r="R20" s="3"/>
    </row>
    <row r="21" spans="2:18" ht="48">
      <c r="B21" s="538" t="s">
        <v>214</v>
      </c>
      <c r="C21" s="539" t="s">
        <v>655</v>
      </c>
      <c r="D21" s="539" t="s">
        <v>656</v>
      </c>
      <c r="E21" s="539" t="s">
        <v>679</v>
      </c>
      <c r="F21" s="540">
        <v>5000</v>
      </c>
      <c r="G21" s="541">
        <v>70505051</v>
      </c>
      <c r="H21" s="542" t="s">
        <v>680</v>
      </c>
      <c r="I21" s="543" t="s">
        <v>663</v>
      </c>
      <c r="J21" s="544" t="s">
        <v>674</v>
      </c>
      <c r="K21" s="543" t="s">
        <v>675</v>
      </c>
      <c r="L21" s="539">
        <v>4</v>
      </c>
      <c r="M21" s="539">
        <v>12</v>
      </c>
      <c r="N21" s="539">
        <f t="shared" si="0"/>
        <v>60000</v>
      </c>
      <c r="O21" s="539"/>
      <c r="P21" s="539"/>
      <c r="Q21" s="539"/>
      <c r="R21" s="3"/>
    </row>
    <row r="22" spans="2:18" ht="48">
      <c r="B22" s="538" t="s">
        <v>214</v>
      </c>
      <c r="C22" s="539" t="s">
        <v>655</v>
      </c>
      <c r="D22" s="539" t="s">
        <v>656</v>
      </c>
      <c r="E22" s="538" t="s">
        <v>679</v>
      </c>
      <c r="F22" s="540">
        <v>5000</v>
      </c>
      <c r="G22" s="541">
        <v>70505051</v>
      </c>
      <c r="H22" s="542" t="s">
        <v>680</v>
      </c>
      <c r="I22" s="543" t="s">
        <v>663</v>
      </c>
      <c r="J22" s="544" t="s">
        <v>664</v>
      </c>
      <c r="K22" s="543" t="s">
        <v>665</v>
      </c>
      <c r="L22" s="539"/>
      <c r="M22" s="539"/>
      <c r="N22" s="539"/>
      <c r="O22" s="539">
        <v>3</v>
      </c>
      <c r="P22" s="539">
        <v>6</v>
      </c>
      <c r="Q22" s="539">
        <f>P22*F22</f>
        <v>30000</v>
      </c>
      <c r="R22" s="3"/>
    </row>
    <row r="23" spans="2:18" ht="48">
      <c r="B23" s="538" t="s">
        <v>214</v>
      </c>
      <c r="C23" s="539" t="s">
        <v>655</v>
      </c>
      <c r="D23" s="539" t="s">
        <v>656</v>
      </c>
      <c r="E23" s="538" t="s">
        <v>681</v>
      </c>
      <c r="F23" s="540">
        <v>5000</v>
      </c>
      <c r="G23" s="541">
        <v>45760591</v>
      </c>
      <c r="H23" s="542" t="s">
        <v>682</v>
      </c>
      <c r="I23" s="543" t="s">
        <v>663</v>
      </c>
      <c r="J23" s="544" t="s">
        <v>674</v>
      </c>
      <c r="K23" s="543" t="s">
        <v>683</v>
      </c>
      <c r="L23" s="539">
        <v>4</v>
      </c>
      <c r="M23" s="539">
        <v>12</v>
      </c>
      <c r="N23" s="539">
        <f t="shared" si="0"/>
        <v>60000</v>
      </c>
      <c r="O23" s="539"/>
      <c r="P23" s="539"/>
      <c r="Q23" s="539"/>
      <c r="R23" s="3"/>
    </row>
    <row r="24" spans="2:18" ht="48">
      <c r="B24" s="538" t="s">
        <v>214</v>
      </c>
      <c r="C24" s="539" t="s">
        <v>655</v>
      </c>
      <c r="D24" s="539" t="s">
        <v>656</v>
      </c>
      <c r="E24" s="538" t="s">
        <v>681</v>
      </c>
      <c r="F24" s="540">
        <v>5000</v>
      </c>
      <c r="G24" s="541">
        <v>45760591</v>
      </c>
      <c r="H24" s="542" t="s">
        <v>682</v>
      </c>
      <c r="I24" s="543" t="s">
        <v>663</v>
      </c>
      <c r="J24" s="544" t="s">
        <v>664</v>
      </c>
      <c r="K24" s="543" t="s">
        <v>665</v>
      </c>
      <c r="L24" s="539"/>
      <c r="M24" s="539"/>
      <c r="N24" s="539"/>
      <c r="O24" s="539">
        <v>3</v>
      </c>
      <c r="P24" s="539">
        <v>6</v>
      </c>
      <c r="Q24" s="539">
        <f>P24*F24</f>
        <v>30000</v>
      </c>
      <c r="R24" s="3"/>
    </row>
    <row r="25" spans="2:18" ht="48">
      <c r="B25" s="538" t="s">
        <v>214</v>
      </c>
      <c r="C25" s="539" t="s">
        <v>655</v>
      </c>
      <c r="D25" s="539" t="s">
        <v>656</v>
      </c>
      <c r="E25" s="538" t="s">
        <v>684</v>
      </c>
      <c r="F25" s="540">
        <v>8000</v>
      </c>
      <c r="G25" s="546" t="s">
        <v>530</v>
      </c>
      <c r="H25" s="542" t="s">
        <v>685</v>
      </c>
      <c r="I25" s="543" t="s">
        <v>686</v>
      </c>
      <c r="J25" s="544" t="s">
        <v>664</v>
      </c>
      <c r="K25" s="543" t="s">
        <v>665</v>
      </c>
      <c r="L25" s="539">
        <v>1</v>
      </c>
      <c r="M25" s="539">
        <v>3</v>
      </c>
      <c r="N25" s="539">
        <f t="shared" si="0"/>
        <v>24000</v>
      </c>
      <c r="O25" s="539"/>
      <c r="P25" s="539"/>
      <c r="Q25" s="539"/>
      <c r="R25" s="3"/>
    </row>
    <row r="26" spans="2:18" ht="48">
      <c r="B26" s="538" t="s">
        <v>214</v>
      </c>
      <c r="C26" s="539" t="s">
        <v>655</v>
      </c>
      <c r="D26" s="539" t="s">
        <v>656</v>
      </c>
      <c r="E26" s="538" t="s">
        <v>684</v>
      </c>
      <c r="F26" s="540">
        <v>8000</v>
      </c>
      <c r="G26" s="546" t="s">
        <v>530</v>
      </c>
      <c r="H26" s="542" t="s">
        <v>685</v>
      </c>
      <c r="I26" s="543" t="s">
        <v>686</v>
      </c>
      <c r="J26" s="544" t="s">
        <v>664</v>
      </c>
      <c r="K26" s="543" t="s">
        <v>665</v>
      </c>
      <c r="L26" s="539"/>
      <c r="M26" s="539"/>
      <c r="N26" s="539"/>
      <c r="O26" s="539"/>
      <c r="P26" s="539">
        <v>6</v>
      </c>
      <c r="Q26" s="539">
        <f>P26*F26</f>
        <v>48000</v>
      </c>
      <c r="R26" s="3"/>
    </row>
    <row r="27" spans="2:18" ht="48">
      <c r="B27" s="538" t="s">
        <v>214</v>
      </c>
      <c r="C27" s="539" t="s">
        <v>655</v>
      </c>
      <c r="D27" s="539" t="s">
        <v>656</v>
      </c>
      <c r="E27" s="539" t="s">
        <v>687</v>
      </c>
      <c r="F27" s="540">
        <v>3800</v>
      </c>
      <c r="G27" s="541" t="s">
        <v>688</v>
      </c>
      <c r="H27" s="542" t="s">
        <v>689</v>
      </c>
      <c r="I27" s="543" t="s">
        <v>690</v>
      </c>
      <c r="J27" s="544" t="s">
        <v>664</v>
      </c>
      <c r="K27" s="543" t="s">
        <v>665</v>
      </c>
      <c r="L27" s="539">
        <v>4</v>
      </c>
      <c r="M27" s="539">
        <v>12</v>
      </c>
      <c r="N27" s="539">
        <f t="shared" si="0"/>
        <v>45600</v>
      </c>
      <c r="O27" s="539"/>
      <c r="P27" s="539"/>
      <c r="Q27" s="539"/>
      <c r="R27" s="3"/>
    </row>
    <row r="28" spans="2:18" ht="48">
      <c r="B28" s="538" t="s">
        <v>214</v>
      </c>
      <c r="C28" s="539" t="s">
        <v>655</v>
      </c>
      <c r="D28" s="539" t="s">
        <v>656</v>
      </c>
      <c r="E28" s="539" t="s">
        <v>687</v>
      </c>
      <c r="F28" s="540">
        <v>3800</v>
      </c>
      <c r="G28" s="541" t="s">
        <v>688</v>
      </c>
      <c r="H28" s="542" t="s">
        <v>689</v>
      </c>
      <c r="I28" s="543" t="s">
        <v>690</v>
      </c>
      <c r="J28" s="544" t="s">
        <v>664</v>
      </c>
      <c r="K28" s="543" t="s">
        <v>665</v>
      </c>
      <c r="L28" s="539"/>
      <c r="M28" s="539"/>
      <c r="N28" s="539"/>
      <c r="O28" s="539">
        <v>3</v>
      </c>
      <c r="P28" s="539">
        <v>6</v>
      </c>
      <c r="Q28" s="539">
        <f>P28*F28</f>
        <v>22800</v>
      </c>
      <c r="R28" s="3"/>
    </row>
    <row r="29" spans="2:18" ht="36">
      <c r="B29" s="538" t="s">
        <v>214</v>
      </c>
      <c r="C29" s="539" t="s">
        <v>655</v>
      </c>
      <c r="D29" s="539" t="s">
        <v>656</v>
      </c>
      <c r="E29" s="539" t="s">
        <v>691</v>
      </c>
      <c r="F29" s="540">
        <v>1200</v>
      </c>
      <c r="G29" s="541" t="s">
        <v>692</v>
      </c>
      <c r="H29" s="542" t="s">
        <v>693</v>
      </c>
      <c r="I29" s="543" t="s">
        <v>659</v>
      </c>
      <c r="J29" s="544" t="s">
        <v>659</v>
      </c>
      <c r="K29" s="543" t="s">
        <v>660</v>
      </c>
      <c r="L29" s="539">
        <v>7</v>
      </c>
      <c r="M29" s="539">
        <v>12</v>
      </c>
      <c r="N29" s="539">
        <f t="shared" si="0"/>
        <v>14400</v>
      </c>
      <c r="O29" s="539"/>
      <c r="P29" s="539"/>
      <c r="Q29" s="539"/>
      <c r="R29" s="3"/>
    </row>
    <row r="30" spans="2:18" ht="48">
      <c r="B30" s="538" t="s">
        <v>214</v>
      </c>
      <c r="C30" s="539" t="s">
        <v>655</v>
      </c>
      <c r="D30" s="539" t="s">
        <v>656</v>
      </c>
      <c r="E30" s="539" t="s">
        <v>694</v>
      </c>
      <c r="F30" s="540">
        <v>3000</v>
      </c>
      <c r="G30" s="541" t="s">
        <v>695</v>
      </c>
      <c r="H30" s="542" t="s">
        <v>696</v>
      </c>
      <c r="I30" s="543" t="s">
        <v>663</v>
      </c>
      <c r="J30" s="544" t="s">
        <v>674</v>
      </c>
      <c r="K30" s="543" t="s">
        <v>675</v>
      </c>
      <c r="L30" s="539">
        <v>4</v>
      </c>
      <c r="M30" s="539">
        <v>12</v>
      </c>
      <c r="N30" s="539">
        <f t="shared" si="0"/>
        <v>36000</v>
      </c>
      <c r="O30" s="539"/>
      <c r="P30" s="539"/>
      <c r="Q30" s="539"/>
      <c r="R30" s="3"/>
    </row>
    <row r="31" spans="2:18" ht="48">
      <c r="B31" s="538" t="s">
        <v>214</v>
      </c>
      <c r="C31" s="539" t="s">
        <v>655</v>
      </c>
      <c r="D31" s="539" t="s">
        <v>656</v>
      </c>
      <c r="E31" s="539" t="s">
        <v>694</v>
      </c>
      <c r="F31" s="540">
        <v>3000</v>
      </c>
      <c r="G31" s="541" t="s">
        <v>695</v>
      </c>
      <c r="H31" s="542" t="s">
        <v>696</v>
      </c>
      <c r="I31" s="543" t="s">
        <v>663</v>
      </c>
      <c r="J31" s="544" t="s">
        <v>674</v>
      </c>
      <c r="K31" s="543" t="s">
        <v>675</v>
      </c>
      <c r="L31" s="539"/>
      <c r="M31" s="539"/>
      <c r="N31" s="539"/>
      <c r="O31" s="539">
        <v>3</v>
      </c>
      <c r="P31" s="539">
        <v>6</v>
      </c>
      <c r="Q31" s="539">
        <f>P31*F31</f>
        <v>18000</v>
      </c>
      <c r="R31" s="3"/>
    </row>
    <row r="32" spans="2:18" ht="36">
      <c r="B32" s="538" t="s">
        <v>214</v>
      </c>
      <c r="C32" s="539" t="s">
        <v>655</v>
      </c>
      <c r="D32" s="539" t="s">
        <v>656</v>
      </c>
      <c r="E32" s="539" t="s">
        <v>697</v>
      </c>
      <c r="F32" s="540">
        <v>2700</v>
      </c>
      <c r="G32" s="547">
        <v>71497902</v>
      </c>
      <c r="H32" s="542" t="s">
        <v>698</v>
      </c>
      <c r="I32" s="543" t="s">
        <v>663</v>
      </c>
      <c r="J32" s="544" t="s">
        <v>674</v>
      </c>
      <c r="K32" s="543" t="s">
        <v>675</v>
      </c>
      <c r="L32" s="539">
        <v>2</v>
      </c>
      <c r="M32" s="539">
        <v>5</v>
      </c>
      <c r="N32" s="539">
        <f t="shared" si="0"/>
        <v>13500</v>
      </c>
      <c r="O32" s="539"/>
      <c r="P32" s="539"/>
      <c r="Q32" s="539"/>
      <c r="R32" s="3"/>
    </row>
    <row r="33" spans="2:18" ht="60">
      <c r="B33" s="538" t="s">
        <v>214</v>
      </c>
      <c r="C33" s="539" t="s">
        <v>655</v>
      </c>
      <c r="D33" s="539" t="s">
        <v>656</v>
      </c>
      <c r="E33" s="539" t="s">
        <v>699</v>
      </c>
      <c r="F33" s="540">
        <v>2200</v>
      </c>
      <c r="G33" s="541" t="s">
        <v>700</v>
      </c>
      <c r="H33" s="542" t="s">
        <v>701</v>
      </c>
      <c r="I33" s="543" t="s">
        <v>702</v>
      </c>
      <c r="J33" s="544" t="s">
        <v>703</v>
      </c>
      <c r="K33" s="543" t="s">
        <v>660</v>
      </c>
      <c r="L33" s="539">
        <v>3</v>
      </c>
      <c r="M33" s="539">
        <v>9</v>
      </c>
      <c r="N33" s="539">
        <f t="shared" si="0"/>
        <v>19800</v>
      </c>
      <c r="O33" s="539"/>
      <c r="P33" s="539"/>
      <c r="Q33" s="539"/>
      <c r="R33" s="3"/>
    </row>
    <row r="34" spans="2:18" ht="60">
      <c r="B34" s="538" t="s">
        <v>214</v>
      </c>
      <c r="C34" s="539" t="s">
        <v>655</v>
      </c>
      <c r="D34" s="539" t="s">
        <v>656</v>
      </c>
      <c r="E34" s="539" t="s">
        <v>699</v>
      </c>
      <c r="F34" s="540">
        <v>3500</v>
      </c>
      <c r="G34" s="541" t="s">
        <v>700</v>
      </c>
      <c r="H34" s="542" t="s">
        <v>701</v>
      </c>
      <c r="I34" s="543" t="s">
        <v>702</v>
      </c>
      <c r="J34" s="544" t="s">
        <v>703</v>
      </c>
      <c r="K34" s="543" t="s">
        <v>660</v>
      </c>
      <c r="L34" s="539">
        <v>1</v>
      </c>
      <c r="M34" s="539">
        <v>3</v>
      </c>
      <c r="N34" s="539">
        <f t="shared" si="0"/>
        <v>10500</v>
      </c>
      <c r="O34" s="539"/>
      <c r="P34" s="539"/>
      <c r="Q34" s="539"/>
      <c r="R34" s="3"/>
    </row>
    <row r="35" spans="2:18" ht="60">
      <c r="B35" s="538" t="s">
        <v>214</v>
      </c>
      <c r="C35" s="539" t="s">
        <v>655</v>
      </c>
      <c r="D35" s="539" t="s">
        <v>656</v>
      </c>
      <c r="E35" s="539" t="s">
        <v>699</v>
      </c>
      <c r="F35" s="540">
        <v>3500</v>
      </c>
      <c r="G35" s="541" t="s">
        <v>700</v>
      </c>
      <c r="H35" s="542" t="s">
        <v>701</v>
      </c>
      <c r="I35" s="543" t="s">
        <v>702</v>
      </c>
      <c r="J35" s="544" t="s">
        <v>703</v>
      </c>
      <c r="K35" s="543" t="s">
        <v>660</v>
      </c>
      <c r="L35" s="539"/>
      <c r="M35" s="539"/>
      <c r="N35" s="539"/>
      <c r="O35" s="539">
        <v>3</v>
      </c>
      <c r="P35" s="539">
        <v>6</v>
      </c>
      <c r="Q35" s="539">
        <f>P35*F35</f>
        <v>21000</v>
      </c>
      <c r="R35" s="3"/>
    </row>
    <row r="36" spans="2:18" ht="48">
      <c r="B36" s="538" t="s">
        <v>214</v>
      </c>
      <c r="C36" s="539" t="s">
        <v>655</v>
      </c>
      <c r="D36" s="539" t="s">
        <v>656</v>
      </c>
      <c r="E36" s="539" t="s">
        <v>704</v>
      </c>
      <c r="F36" s="540">
        <v>3000</v>
      </c>
      <c r="G36" s="541" t="s">
        <v>705</v>
      </c>
      <c r="H36" s="548" t="s">
        <v>706</v>
      </c>
      <c r="I36" s="543" t="s">
        <v>659</v>
      </c>
      <c r="J36" s="544" t="s">
        <v>659</v>
      </c>
      <c r="K36" s="543" t="s">
        <v>675</v>
      </c>
      <c r="L36" s="539">
        <v>4</v>
      </c>
      <c r="M36" s="539">
        <v>12</v>
      </c>
      <c r="N36" s="539">
        <f t="shared" si="0"/>
        <v>36000</v>
      </c>
      <c r="O36" s="539"/>
      <c r="P36" s="539"/>
      <c r="Q36" s="539"/>
      <c r="R36" s="3"/>
    </row>
    <row r="37" spans="2:18" ht="48">
      <c r="B37" s="538" t="s">
        <v>214</v>
      </c>
      <c r="C37" s="539" t="s">
        <v>655</v>
      </c>
      <c r="D37" s="539" t="s">
        <v>656</v>
      </c>
      <c r="E37" s="539" t="s">
        <v>704</v>
      </c>
      <c r="F37" s="540">
        <v>3000</v>
      </c>
      <c r="G37" s="541" t="s">
        <v>705</v>
      </c>
      <c r="H37" s="548" t="s">
        <v>706</v>
      </c>
      <c r="I37" s="543" t="s">
        <v>659</v>
      </c>
      <c r="J37" s="544" t="s">
        <v>659</v>
      </c>
      <c r="K37" s="543" t="s">
        <v>675</v>
      </c>
      <c r="L37" s="539"/>
      <c r="M37" s="539"/>
      <c r="N37" s="539"/>
      <c r="O37" s="539">
        <v>3</v>
      </c>
      <c r="P37" s="539">
        <v>6</v>
      </c>
      <c r="Q37" s="539">
        <f>P37*F37</f>
        <v>18000</v>
      </c>
      <c r="R37" s="3"/>
    </row>
    <row r="38" spans="2:18" ht="72">
      <c r="B38" s="538" t="s">
        <v>214</v>
      </c>
      <c r="C38" s="539" t="s">
        <v>655</v>
      </c>
      <c r="D38" s="539" t="s">
        <v>656</v>
      </c>
      <c r="E38" s="539" t="s">
        <v>707</v>
      </c>
      <c r="F38" s="540">
        <v>2800</v>
      </c>
      <c r="G38" s="541" t="s">
        <v>708</v>
      </c>
      <c r="H38" s="542" t="s">
        <v>709</v>
      </c>
      <c r="I38" s="543" t="s">
        <v>710</v>
      </c>
      <c r="J38" s="544" t="s">
        <v>711</v>
      </c>
      <c r="K38" s="543" t="s">
        <v>675</v>
      </c>
      <c r="L38" s="539">
        <v>4</v>
      </c>
      <c r="M38" s="539">
        <v>12</v>
      </c>
      <c r="N38" s="539">
        <f t="shared" si="0"/>
        <v>33600</v>
      </c>
      <c r="O38" s="539"/>
      <c r="P38" s="539"/>
      <c r="Q38" s="539"/>
      <c r="R38" s="3"/>
    </row>
    <row r="39" spans="2:18" ht="72">
      <c r="B39" s="538" t="s">
        <v>214</v>
      </c>
      <c r="C39" s="539" t="s">
        <v>655</v>
      </c>
      <c r="D39" s="539" t="s">
        <v>656</v>
      </c>
      <c r="E39" s="539" t="s">
        <v>707</v>
      </c>
      <c r="F39" s="540">
        <v>2800</v>
      </c>
      <c r="G39" s="541" t="s">
        <v>708</v>
      </c>
      <c r="H39" s="542" t="s">
        <v>709</v>
      </c>
      <c r="I39" s="543" t="s">
        <v>710</v>
      </c>
      <c r="J39" s="544" t="s">
        <v>711</v>
      </c>
      <c r="K39" s="543" t="s">
        <v>675</v>
      </c>
      <c r="L39" s="539"/>
      <c r="M39" s="539"/>
      <c r="N39" s="539"/>
      <c r="O39" s="539">
        <v>3</v>
      </c>
      <c r="P39" s="539">
        <v>6</v>
      </c>
      <c r="Q39" s="539">
        <f>P39*F39</f>
        <v>16800</v>
      </c>
      <c r="R39" s="3"/>
    </row>
    <row r="40" spans="2:18" ht="48">
      <c r="B40" s="538" t="s">
        <v>214</v>
      </c>
      <c r="C40" s="539" t="s">
        <v>655</v>
      </c>
      <c r="D40" s="539" t="s">
        <v>656</v>
      </c>
      <c r="E40" s="539" t="s">
        <v>712</v>
      </c>
      <c r="F40" s="540">
        <v>3500</v>
      </c>
      <c r="G40" s="541" t="s">
        <v>700</v>
      </c>
      <c r="H40" s="542" t="s">
        <v>713</v>
      </c>
      <c r="I40" s="543" t="s">
        <v>714</v>
      </c>
      <c r="J40" s="544" t="s">
        <v>664</v>
      </c>
      <c r="K40" s="543" t="s">
        <v>665</v>
      </c>
      <c r="L40" s="539">
        <v>4</v>
      </c>
      <c r="M40" s="539">
        <v>12</v>
      </c>
      <c r="N40" s="539">
        <f t="shared" si="0"/>
        <v>42000</v>
      </c>
      <c r="O40" s="539"/>
      <c r="P40" s="539"/>
      <c r="Q40" s="539"/>
      <c r="R40" s="3"/>
    </row>
    <row r="41" spans="2:18" ht="48">
      <c r="B41" s="538" t="s">
        <v>214</v>
      </c>
      <c r="C41" s="539" t="s">
        <v>655</v>
      </c>
      <c r="D41" s="539" t="s">
        <v>656</v>
      </c>
      <c r="E41" s="539" t="s">
        <v>712</v>
      </c>
      <c r="F41" s="540">
        <v>3500</v>
      </c>
      <c r="G41" s="541" t="s">
        <v>700</v>
      </c>
      <c r="H41" s="542" t="s">
        <v>713</v>
      </c>
      <c r="I41" s="543" t="s">
        <v>714</v>
      </c>
      <c r="J41" s="544" t="s">
        <v>664</v>
      </c>
      <c r="K41" s="543" t="s">
        <v>665</v>
      </c>
      <c r="L41" s="539"/>
      <c r="M41" s="539"/>
      <c r="N41" s="539"/>
      <c r="O41" s="539">
        <v>3</v>
      </c>
      <c r="P41" s="539">
        <v>6</v>
      </c>
      <c r="Q41" s="539">
        <f>P41*F41</f>
        <v>21000</v>
      </c>
      <c r="R41" s="3"/>
    </row>
    <row r="42" spans="2:18" ht="48">
      <c r="B42" s="538" t="s">
        <v>214</v>
      </c>
      <c r="C42" s="539" t="s">
        <v>655</v>
      </c>
      <c r="D42" s="539" t="s">
        <v>656</v>
      </c>
      <c r="E42" s="539" t="s">
        <v>715</v>
      </c>
      <c r="F42" s="540">
        <v>8000</v>
      </c>
      <c r="G42" s="543">
        <v>25779416</v>
      </c>
      <c r="H42" s="542" t="s">
        <v>716</v>
      </c>
      <c r="I42" s="543" t="s">
        <v>717</v>
      </c>
      <c r="J42" s="544" t="s">
        <v>664</v>
      </c>
      <c r="K42" s="543" t="s">
        <v>665</v>
      </c>
      <c r="L42" s="539">
        <v>4</v>
      </c>
      <c r="M42" s="539">
        <v>12</v>
      </c>
      <c r="N42" s="539">
        <f t="shared" si="0"/>
        <v>96000</v>
      </c>
      <c r="O42" s="539"/>
      <c r="P42" s="539"/>
      <c r="Q42" s="539"/>
      <c r="R42" s="3"/>
    </row>
    <row r="43" spans="2:18" ht="48">
      <c r="B43" s="538" t="s">
        <v>214</v>
      </c>
      <c r="C43" s="539" t="s">
        <v>655</v>
      </c>
      <c r="D43" s="539" t="s">
        <v>656</v>
      </c>
      <c r="E43" s="539" t="s">
        <v>715</v>
      </c>
      <c r="F43" s="540">
        <v>8000</v>
      </c>
      <c r="G43" s="543">
        <v>25779416</v>
      </c>
      <c r="H43" s="542" t="s">
        <v>716</v>
      </c>
      <c r="I43" s="543" t="s">
        <v>717</v>
      </c>
      <c r="J43" s="544" t="s">
        <v>664</v>
      </c>
      <c r="K43" s="543" t="s">
        <v>665</v>
      </c>
      <c r="L43" s="539"/>
      <c r="M43" s="539"/>
      <c r="N43" s="539"/>
      <c r="O43" s="539">
        <v>3</v>
      </c>
      <c r="P43" s="539">
        <v>6</v>
      </c>
      <c r="Q43" s="539">
        <f>P43*F43</f>
        <v>48000</v>
      </c>
      <c r="R43" s="3"/>
    </row>
    <row r="44" spans="2:18" ht="36">
      <c r="B44" s="538" t="s">
        <v>214</v>
      </c>
      <c r="C44" s="539" t="s">
        <v>655</v>
      </c>
      <c r="D44" s="539" t="s">
        <v>656</v>
      </c>
      <c r="E44" s="538" t="s">
        <v>718</v>
      </c>
      <c r="F44" s="540">
        <v>2200</v>
      </c>
      <c r="G44" s="543">
        <v>47188469</v>
      </c>
      <c r="H44" s="542" t="s">
        <v>719</v>
      </c>
      <c r="I44" s="543" t="s">
        <v>663</v>
      </c>
      <c r="J44" s="544" t="s">
        <v>674</v>
      </c>
      <c r="K44" s="543" t="s">
        <v>683</v>
      </c>
      <c r="L44" s="539">
        <v>1</v>
      </c>
      <c r="M44" s="539">
        <v>8</v>
      </c>
      <c r="N44" s="539">
        <f t="shared" si="0"/>
        <v>17600</v>
      </c>
      <c r="O44" s="539"/>
      <c r="P44" s="539"/>
      <c r="Q44" s="539"/>
      <c r="R44" s="3"/>
    </row>
    <row r="45" spans="2:18" ht="36">
      <c r="B45" s="538" t="s">
        <v>214</v>
      </c>
      <c r="C45" s="539" t="s">
        <v>655</v>
      </c>
      <c r="D45" s="539" t="s">
        <v>656</v>
      </c>
      <c r="E45" s="538" t="s">
        <v>718</v>
      </c>
      <c r="F45" s="540">
        <v>2200</v>
      </c>
      <c r="G45" s="543">
        <v>47188469</v>
      </c>
      <c r="H45" s="542" t="s">
        <v>719</v>
      </c>
      <c r="I45" s="543" t="s">
        <v>663</v>
      </c>
      <c r="J45" s="544" t="s">
        <v>674</v>
      </c>
      <c r="K45" s="543" t="s">
        <v>683</v>
      </c>
      <c r="L45" s="539"/>
      <c r="M45" s="539"/>
      <c r="N45" s="539"/>
      <c r="O45" s="539">
        <v>3</v>
      </c>
      <c r="P45" s="539">
        <v>6</v>
      </c>
      <c r="Q45" s="539">
        <f>P45*F45</f>
        <v>13200</v>
      </c>
      <c r="R45" s="3"/>
    </row>
    <row r="46" spans="2:18" ht="36">
      <c r="B46" s="538" t="s">
        <v>214</v>
      </c>
      <c r="C46" s="539" t="s">
        <v>655</v>
      </c>
      <c r="D46" s="539" t="s">
        <v>656</v>
      </c>
      <c r="E46" s="538" t="s">
        <v>720</v>
      </c>
      <c r="F46" s="540">
        <v>2500</v>
      </c>
      <c r="G46" s="543">
        <v>40296892</v>
      </c>
      <c r="H46" s="542" t="s">
        <v>721</v>
      </c>
      <c r="I46" s="543" t="s">
        <v>659</v>
      </c>
      <c r="J46" s="544" t="s">
        <v>659</v>
      </c>
      <c r="K46" s="543" t="s">
        <v>722</v>
      </c>
      <c r="L46" s="539">
        <v>4</v>
      </c>
      <c r="M46" s="539">
        <v>12</v>
      </c>
      <c r="N46" s="539">
        <f t="shared" si="0"/>
        <v>30000</v>
      </c>
      <c r="O46" s="539"/>
      <c r="P46" s="539"/>
      <c r="Q46" s="539"/>
      <c r="R46" s="3"/>
    </row>
    <row r="47" spans="2:18" ht="36">
      <c r="B47" s="538" t="s">
        <v>214</v>
      </c>
      <c r="C47" s="539" t="s">
        <v>655</v>
      </c>
      <c r="D47" s="539" t="s">
        <v>656</v>
      </c>
      <c r="E47" s="538" t="s">
        <v>720</v>
      </c>
      <c r="F47" s="540">
        <v>2500</v>
      </c>
      <c r="G47" s="543">
        <v>40296892</v>
      </c>
      <c r="H47" s="542" t="s">
        <v>721</v>
      </c>
      <c r="I47" s="543" t="s">
        <v>659</v>
      </c>
      <c r="J47" s="544" t="s">
        <v>659</v>
      </c>
      <c r="K47" s="543" t="s">
        <v>722</v>
      </c>
      <c r="L47" s="539"/>
      <c r="M47" s="539"/>
      <c r="N47" s="539"/>
      <c r="O47" s="539">
        <v>3</v>
      </c>
      <c r="P47" s="539">
        <v>6</v>
      </c>
      <c r="Q47" s="539">
        <f>P47*F47</f>
        <v>15000</v>
      </c>
      <c r="R47" s="3"/>
    </row>
    <row r="48" spans="2:18" ht="48">
      <c r="B48" s="538" t="s">
        <v>214</v>
      </c>
      <c r="C48" s="539" t="s">
        <v>655</v>
      </c>
      <c r="D48" s="539" t="s">
        <v>656</v>
      </c>
      <c r="E48" s="539" t="s">
        <v>699</v>
      </c>
      <c r="F48" s="540">
        <v>2950</v>
      </c>
      <c r="G48" s="546" t="s">
        <v>723</v>
      </c>
      <c r="H48" s="542" t="s">
        <v>724</v>
      </c>
      <c r="I48" s="543" t="s">
        <v>659</v>
      </c>
      <c r="J48" s="544" t="s">
        <v>659</v>
      </c>
      <c r="K48" s="543" t="s">
        <v>660</v>
      </c>
      <c r="L48" s="539">
        <v>2</v>
      </c>
      <c r="M48" s="539">
        <v>4</v>
      </c>
      <c r="N48" s="539">
        <f t="shared" si="0"/>
        <v>11800</v>
      </c>
      <c r="O48" s="539"/>
      <c r="P48" s="539"/>
      <c r="Q48" s="539"/>
      <c r="R48" s="3"/>
    </row>
    <row r="49" spans="2:18" ht="48">
      <c r="B49" s="538" t="s">
        <v>214</v>
      </c>
      <c r="C49" s="539" t="s">
        <v>655</v>
      </c>
      <c r="D49" s="539" t="s">
        <v>656</v>
      </c>
      <c r="E49" s="539" t="s">
        <v>725</v>
      </c>
      <c r="F49" s="540">
        <v>3500</v>
      </c>
      <c r="G49" s="543">
        <v>70473752</v>
      </c>
      <c r="H49" s="542" t="s">
        <v>726</v>
      </c>
      <c r="I49" s="543" t="s">
        <v>663</v>
      </c>
      <c r="J49" s="544" t="s">
        <v>674</v>
      </c>
      <c r="K49" s="543" t="s">
        <v>675</v>
      </c>
      <c r="L49" s="539">
        <v>3</v>
      </c>
      <c r="M49" s="539">
        <v>8</v>
      </c>
      <c r="N49" s="539">
        <f t="shared" si="0"/>
        <v>28000</v>
      </c>
      <c r="O49" s="539"/>
      <c r="P49" s="539"/>
      <c r="Q49" s="539"/>
      <c r="R49" s="3"/>
    </row>
    <row r="50" spans="2:18" ht="60">
      <c r="B50" s="538" t="s">
        <v>214</v>
      </c>
      <c r="C50" s="539" t="s">
        <v>655</v>
      </c>
      <c r="D50" s="539" t="s">
        <v>656</v>
      </c>
      <c r="E50" s="539" t="s">
        <v>699</v>
      </c>
      <c r="F50" s="540">
        <v>3000</v>
      </c>
      <c r="G50" s="541">
        <v>42398918</v>
      </c>
      <c r="H50" s="542" t="s">
        <v>727</v>
      </c>
      <c r="I50" s="543" t="s">
        <v>659</v>
      </c>
      <c r="J50" s="544" t="s">
        <v>659</v>
      </c>
      <c r="K50" s="543" t="s">
        <v>660</v>
      </c>
      <c r="L50" s="539">
        <v>4</v>
      </c>
      <c r="M50" s="539">
        <v>12</v>
      </c>
      <c r="N50" s="539">
        <f t="shared" si="0"/>
        <v>36000</v>
      </c>
      <c r="O50" s="539"/>
      <c r="P50" s="539"/>
      <c r="Q50" s="539"/>
      <c r="R50" s="3"/>
    </row>
    <row r="51" spans="2:18" ht="60">
      <c r="B51" s="538" t="s">
        <v>214</v>
      </c>
      <c r="C51" s="539" t="s">
        <v>655</v>
      </c>
      <c r="D51" s="539" t="s">
        <v>656</v>
      </c>
      <c r="E51" s="539" t="s">
        <v>699</v>
      </c>
      <c r="F51" s="540">
        <v>3000</v>
      </c>
      <c r="G51" s="541">
        <v>42398918</v>
      </c>
      <c r="H51" s="542" t="s">
        <v>727</v>
      </c>
      <c r="I51" s="543" t="s">
        <v>659</v>
      </c>
      <c r="J51" s="544" t="s">
        <v>659</v>
      </c>
      <c r="K51" s="543" t="s">
        <v>660</v>
      </c>
      <c r="L51" s="539"/>
      <c r="M51" s="539"/>
      <c r="N51" s="539"/>
      <c r="O51" s="539">
        <v>3</v>
      </c>
      <c r="P51" s="539">
        <v>6</v>
      </c>
      <c r="Q51" s="539">
        <f>P51*F51</f>
        <v>18000</v>
      </c>
      <c r="R51" s="3"/>
    </row>
    <row r="52" spans="2:18" ht="48">
      <c r="B52" s="538" t="s">
        <v>214</v>
      </c>
      <c r="C52" s="539" t="s">
        <v>655</v>
      </c>
      <c r="D52" s="539" t="s">
        <v>656</v>
      </c>
      <c r="E52" s="538" t="s">
        <v>728</v>
      </c>
      <c r="F52" s="540">
        <v>3000</v>
      </c>
      <c r="G52" s="541" t="s">
        <v>729</v>
      </c>
      <c r="H52" s="542" t="s">
        <v>730</v>
      </c>
      <c r="I52" s="543" t="s">
        <v>731</v>
      </c>
      <c r="J52" s="544" t="s">
        <v>674</v>
      </c>
      <c r="K52" s="543" t="s">
        <v>675</v>
      </c>
      <c r="L52" s="539">
        <v>1</v>
      </c>
      <c r="M52" s="539">
        <v>4</v>
      </c>
      <c r="N52" s="539">
        <f t="shared" si="0"/>
        <v>12000</v>
      </c>
      <c r="O52" s="539"/>
      <c r="P52" s="539"/>
      <c r="Q52" s="539"/>
      <c r="R52" s="3"/>
    </row>
    <row r="53" spans="2:18" ht="48">
      <c r="B53" s="538" t="s">
        <v>214</v>
      </c>
      <c r="C53" s="539" t="s">
        <v>655</v>
      </c>
      <c r="D53" s="539" t="s">
        <v>656</v>
      </c>
      <c r="E53" s="538" t="s">
        <v>732</v>
      </c>
      <c r="F53" s="540">
        <v>5500</v>
      </c>
      <c r="G53" s="541" t="s">
        <v>729</v>
      </c>
      <c r="H53" s="542" t="s">
        <v>730</v>
      </c>
      <c r="I53" s="543" t="s">
        <v>731</v>
      </c>
      <c r="J53" s="544" t="s">
        <v>664</v>
      </c>
      <c r="K53" s="543" t="s">
        <v>665</v>
      </c>
      <c r="L53" s="539">
        <v>3</v>
      </c>
      <c r="M53" s="539">
        <v>8</v>
      </c>
      <c r="N53" s="539">
        <f t="shared" si="0"/>
        <v>44000</v>
      </c>
      <c r="O53" s="539"/>
      <c r="P53" s="539"/>
      <c r="Q53" s="539"/>
      <c r="R53" s="3"/>
    </row>
    <row r="54" spans="2:18" ht="48">
      <c r="B54" s="538" t="s">
        <v>214</v>
      </c>
      <c r="C54" s="539" t="s">
        <v>655</v>
      </c>
      <c r="D54" s="539" t="s">
        <v>656</v>
      </c>
      <c r="E54" s="538" t="s">
        <v>732</v>
      </c>
      <c r="F54" s="540">
        <v>5500</v>
      </c>
      <c r="G54" s="541" t="s">
        <v>729</v>
      </c>
      <c r="H54" s="542" t="s">
        <v>730</v>
      </c>
      <c r="I54" s="543" t="s">
        <v>731</v>
      </c>
      <c r="J54" s="544" t="s">
        <v>664</v>
      </c>
      <c r="K54" s="543" t="s">
        <v>665</v>
      </c>
      <c r="L54" s="539"/>
      <c r="M54" s="539"/>
      <c r="N54" s="539"/>
      <c r="O54" s="539">
        <v>3</v>
      </c>
      <c r="P54" s="539">
        <v>6</v>
      </c>
      <c r="Q54" s="539">
        <f>P54*F54</f>
        <v>33000</v>
      </c>
      <c r="R54" s="3"/>
    </row>
    <row r="55" spans="2:18" ht="48">
      <c r="B55" s="538" t="s">
        <v>214</v>
      </c>
      <c r="C55" s="539" t="s">
        <v>655</v>
      </c>
      <c r="D55" s="539" t="s">
        <v>656</v>
      </c>
      <c r="E55" s="538" t="s">
        <v>733</v>
      </c>
      <c r="F55" s="540">
        <v>5000</v>
      </c>
      <c r="G55" s="541" t="s">
        <v>734</v>
      </c>
      <c r="H55" s="542" t="s">
        <v>735</v>
      </c>
      <c r="I55" s="543" t="s">
        <v>733</v>
      </c>
      <c r="J55" s="544" t="s">
        <v>664</v>
      </c>
      <c r="K55" s="543" t="s">
        <v>665</v>
      </c>
      <c r="L55" s="539">
        <v>4</v>
      </c>
      <c r="M55" s="539">
        <v>12</v>
      </c>
      <c r="N55" s="539">
        <f t="shared" si="0"/>
        <v>60000</v>
      </c>
      <c r="O55" s="539"/>
      <c r="P55" s="539"/>
      <c r="Q55" s="539"/>
      <c r="R55" s="3"/>
    </row>
    <row r="56" spans="2:18" ht="48">
      <c r="B56" s="538" t="s">
        <v>214</v>
      </c>
      <c r="C56" s="539" t="s">
        <v>655</v>
      </c>
      <c r="D56" s="539" t="s">
        <v>656</v>
      </c>
      <c r="E56" s="538" t="s">
        <v>733</v>
      </c>
      <c r="F56" s="540">
        <v>5000</v>
      </c>
      <c r="G56" s="541" t="s">
        <v>734</v>
      </c>
      <c r="H56" s="542" t="s">
        <v>735</v>
      </c>
      <c r="I56" s="543" t="s">
        <v>733</v>
      </c>
      <c r="J56" s="544" t="s">
        <v>664</v>
      </c>
      <c r="K56" s="543" t="s">
        <v>665</v>
      </c>
      <c r="L56" s="539"/>
      <c r="M56" s="539"/>
      <c r="N56" s="539"/>
      <c r="O56" s="539">
        <v>3</v>
      </c>
      <c r="P56" s="539">
        <v>6</v>
      </c>
      <c r="Q56" s="539">
        <f>P56*F56</f>
        <v>30000</v>
      </c>
      <c r="R56" s="3"/>
    </row>
    <row r="57" spans="2:18" ht="48">
      <c r="B57" s="538" t="s">
        <v>214</v>
      </c>
      <c r="C57" s="539" t="s">
        <v>655</v>
      </c>
      <c r="D57" s="539" t="s">
        <v>656</v>
      </c>
      <c r="E57" s="538" t="s">
        <v>736</v>
      </c>
      <c r="F57" s="540">
        <v>5000</v>
      </c>
      <c r="G57" s="541">
        <v>72935212</v>
      </c>
      <c r="H57" s="542" t="s">
        <v>737</v>
      </c>
      <c r="I57" s="543" t="s">
        <v>663</v>
      </c>
      <c r="J57" s="544" t="s">
        <v>664</v>
      </c>
      <c r="K57" s="543" t="s">
        <v>665</v>
      </c>
      <c r="L57" s="539">
        <v>2</v>
      </c>
      <c r="M57" s="539">
        <v>6</v>
      </c>
      <c r="N57" s="539">
        <f t="shared" si="0"/>
        <v>30000</v>
      </c>
      <c r="O57" s="539"/>
      <c r="P57" s="539"/>
      <c r="Q57" s="539"/>
      <c r="R57" s="3"/>
    </row>
    <row r="58" spans="2:18" ht="48">
      <c r="B58" s="538" t="s">
        <v>214</v>
      </c>
      <c r="C58" s="539" t="s">
        <v>655</v>
      </c>
      <c r="D58" s="539" t="s">
        <v>656</v>
      </c>
      <c r="E58" s="538" t="s">
        <v>704</v>
      </c>
      <c r="F58" s="540">
        <v>3000</v>
      </c>
      <c r="G58" s="541" t="s">
        <v>738</v>
      </c>
      <c r="H58" s="542" t="s">
        <v>739</v>
      </c>
      <c r="I58" s="543" t="s">
        <v>659</v>
      </c>
      <c r="J58" s="544" t="s">
        <v>659</v>
      </c>
      <c r="K58" s="543" t="s">
        <v>675</v>
      </c>
      <c r="L58" s="539">
        <v>4</v>
      </c>
      <c r="M58" s="539">
        <v>12</v>
      </c>
      <c r="N58" s="539">
        <f t="shared" si="0"/>
        <v>36000</v>
      </c>
      <c r="O58" s="539"/>
      <c r="P58" s="539"/>
      <c r="Q58" s="539"/>
      <c r="R58" s="3"/>
    </row>
    <row r="59" spans="2:18" ht="48">
      <c r="B59" s="538" t="s">
        <v>214</v>
      </c>
      <c r="C59" s="539" t="s">
        <v>655</v>
      </c>
      <c r="D59" s="539" t="s">
        <v>656</v>
      </c>
      <c r="E59" s="538" t="s">
        <v>740</v>
      </c>
      <c r="F59" s="540">
        <v>3000</v>
      </c>
      <c r="G59" s="541" t="s">
        <v>738</v>
      </c>
      <c r="H59" s="542" t="s">
        <v>739</v>
      </c>
      <c r="I59" s="543" t="s">
        <v>659</v>
      </c>
      <c r="J59" s="544" t="s">
        <v>659</v>
      </c>
      <c r="K59" s="543" t="s">
        <v>675</v>
      </c>
      <c r="L59" s="539"/>
      <c r="M59" s="539"/>
      <c r="N59" s="539"/>
      <c r="O59" s="539">
        <v>3</v>
      </c>
      <c r="P59" s="539">
        <v>6</v>
      </c>
      <c r="Q59" s="539">
        <f>P59*F59</f>
        <v>18000</v>
      </c>
      <c r="R59" s="3"/>
    </row>
    <row r="60" spans="2:18" ht="48">
      <c r="B60" s="538" t="s">
        <v>214</v>
      </c>
      <c r="C60" s="539" t="s">
        <v>655</v>
      </c>
      <c r="D60" s="539" t="s">
        <v>656</v>
      </c>
      <c r="E60" s="538" t="s">
        <v>741</v>
      </c>
      <c r="F60" s="540">
        <v>3500</v>
      </c>
      <c r="G60" s="541">
        <v>41590515</v>
      </c>
      <c r="H60" s="542" t="s">
        <v>742</v>
      </c>
      <c r="I60" s="543" t="s">
        <v>686</v>
      </c>
      <c r="J60" s="544" t="s">
        <v>664</v>
      </c>
      <c r="K60" s="543" t="s">
        <v>665</v>
      </c>
      <c r="L60" s="539">
        <v>3</v>
      </c>
      <c r="M60" s="539">
        <v>9</v>
      </c>
      <c r="N60" s="539">
        <f t="shared" si="0"/>
        <v>31500</v>
      </c>
      <c r="O60" s="539"/>
      <c r="P60" s="539"/>
      <c r="Q60" s="539"/>
      <c r="R60" s="3"/>
    </row>
    <row r="61" spans="2:18" ht="48">
      <c r="B61" s="538" t="s">
        <v>214</v>
      </c>
      <c r="C61" s="539" t="s">
        <v>655</v>
      </c>
      <c r="D61" s="539" t="s">
        <v>656</v>
      </c>
      <c r="E61" s="538" t="s">
        <v>741</v>
      </c>
      <c r="F61" s="540">
        <v>5000</v>
      </c>
      <c r="G61" s="541">
        <v>41590515</v>
      </c>
      <c r="H61" s="542" t="s">
        <v>742</v>
      </c>
      <c r="I61" s="543" t="s">
        <v>686</v>
      </c>
      <c r="J61" s="544" t="s">
        <v>664</v>
      </c>
      <c r="K61" s="543" t="s">
        <v>665</v>
      </c>
      <c r="L61" s="539"/>
      <c r="M61" s="539">
        <v>1</v>
      </c>
      <c r="N61" s="539">
        <f t="shared" si="0"/>
        <v>5000</v>
      </c>
      <c r="O61" s="539"/>
      <c r="P61" s="539"/>
      <c r="Q61" s="539"/>
      <c r="R61" s="3"/>
    </row>
    <row r="62" spans="2:18" ht="48">
      <c r="B62" s="538" t="s">
        <v>214</v>
      </c>
      <c r="C62" s="539" t="s">
        <v>655</v>
      </c>
      <c r="D62" s="539" t="s">
        <v>656</v>
      </c>
      <c r="E62" s="538" t="s">
        <v>741</v>
      </c>
      <c r="F62" s="540">
        <v>5000</v>
      </c>
      <c r="G62" s="541">
        <v>41590515</v>
      </c>
      <c r="H62" s="542" t="s">
        <v>742</v>
      </c>
      <c r="I62" s="543" t="s">
        <v>686</v>
      </c>
      <c r="J62" s="544" t="s">
        <v>664</v>
      </c>
      <c r="K62" s="543" t="s">
        <v>665</v>
      </c>
      <c r="L62" s="539"/>
      <c r="M62" s="539"/>
      <c r="N62" s="539"/>
      <c r="O62" s="539">
        <v>3</v>
      </c>
      <c r="P62" s="539">
        <v>6</v>
      </c>
      <c r="Q62" s="539">
        <f>P62*F62</f>
        <v>30000</v>
      </c>
      <c r="R62" s="3"/>
    </row>
    <row r="63" spans="2:18" ht="60">
      <c r="B63" s="538" t="s">
        <v>214</v>
      </c>
      <c r="C63" s="539" t="s">
        <v>655</v>
      </c>
      <c r="D63" s="539" t="s">
        <v>656</v>
      </c>
      <c r="E63" s="538" t="s">
        <v>704</v>
      </c>
      <c r="F63" s="540">
        <v>3000</v>
      </c>
      <c r="G63" s="541" t="s">
        <v>743</v>
      </c>
      <c r="H63" s="542" t="s">
        <v>744</v>
      </c>
      <c r="I63" s="543" t="s">
        <v>659</v>
      </c>
      <c r="J63" s="544" t="s">
        <v>659</v>
      </c>
      <c r="K63" s="543" t="s">
        <v>683</v>
      </c>
      <c r="L63" s="539">
        <v>2</v>
      </c>
      <c r="M63" s="539">
        <v>5</v>
      </c>
      <c r="N63" s="539">
        <f t="shared" si="0"/>
        <v>15000</v>
      </c>
      <c r="O63" s="539"/>
      <c r="P63" s="539"/>
      <c r="Q63" s="539"/>
      <c r="R63" s="3"/>
    </row>
    <row r="64" spans="2:18" ht="60">
      <c r="B64" s="538" t="s">
        <v>214</v>
      </c>
      <c r="C64" s="539" t="s">
        <v>655</v>
      </c>
      <c r="D64" s="539" t="s">
        <v>656</v>
      </c>
      <c r="E64" s="538" t="s">
        <v>740</v>
      </c>
      <c r="F64" s="540">
        <v>4000</v>
      </c>
      <c r="G64" s="541" t="s">
        <v>743</v>
      </c>
      <c r="H64" s="542" t="s">
        <v>744</v>
      </c>
      <c r="I64" s="543" t="s">
        <v>659</v>
      </c>
      <c r="J64" s="544" t="s">
        <v>659</v>
      </c>
      <c r="K64" s="543" t="s">
        <v>683</v>
      </c>
      <c r="L64" s="539">
        <v>2</v>
      </c>
      <c r="M64" s="539">
        <v>7</v>
      </c>
      <c r="N64" s="539">
        <f t="shared" si="0"/>
        <v>28000</v>
      </c>
      <c r="O64" s="539"/>
      <c r="P64" s="539"/>
      <c r="Q64" s="539"/>
      <c r="R64" s="3"/>
    </row>
    <row r="65" spans="2:18" ht="48">
      <c r="B65" s="538" t="s">
        <v>214</v>
      </c>
      <c r="C65" s="539" t="s">
        <v>655</v>
      </c>
      <c r="D65" s="539" t="s">
        <v>656</v>
      </c>
      <c r="E65" s="538" t="s">
        <v>745</v>
      </c>
      <c r="F65" s="540">
        <v>4500</v>
      </c>
      <c r="G65" s="541">
        <v>45743233</v>
      </c>
      <c r="H65" s="542" t="s">
        <v>746</v>
      </c>
      <c r="I65" s="543" t="s">
        <v>663</v>
      </c>
      <c r="J65" s="544" t="s">
        <v>674</v>
      </c>
      <c r="K65" s="543" t="s">
        <v>683</v>
      </c>
      <c r="L65" s="539">
        <v>1</v>
      </c>
      <c r="M65" s="539">
        <v>3</v>
      </c>
      <c r="N65" s="539">
        <f t="shared" si="0"/>
        <v>13500</v>
      </c>
      <c r="O65" s="539"/>
      <c r="P65" s="539"/>
      <c r="Q65" s="539"/>
      <c r="R65" s="3"/>
    </row>
    <row r="66" spans="2:18" ht="48">
      <c r="B66" s="538" t="s">
        <v>214</v>
      </c>
      <c r="C66" s="539" t="s">
        <v>655</v>
      </c>
      <c r="D66" s="539" t="s">
        <v>656</v>
      </c>
      <c r="E66" s="538" t="s">
        <v>745</v>
      </c>
      <c r="F66" s="540">
        <v>4500</v>
      </c>
      <c r="G66" s="541">
        <v>45743233</v>
      </c>
      <c r="H66" s="542" t="s">
        <v>746</v>
      </c>
      <c r="I66" s="543" t="s">
        <v>663</v>
      </c>
      <c r="J66" s="544" t="s">
        <v>674</v>
      </c>
      <c r="K66" s="543" t="s">
        <v>683</v>
      </c>
      <c r="L66" s="539"/>
      <c r="M66" s="539"/>
      <c r="N66" s="539"/>
      <c r="O66" s="539">
        <v>3</v>
      </c>
      <c r="P66" s="539">
        <v>6</v>
      </c>
      <c r="Q66" s="539">
        <f>P66*F66</f>
        <v>27000</v>
      </c>
      <c r="R66" s="3"/>
    </row>
    <row r="67" spans="2:18" ht="48">
      <c r="B67" s="538" t="s">
        <v>214</v>
      </c>
      <c r="C67" s="539" t="s">
        <v>655</v>
      </c>
      <c r="D67" s="539" t="s">
        <v>656</v>
      </c>
      <c r="E67" s="538" t="s">
        <v>747</v>
      </c>
      <c r="F67" s="540">
        <v>5000</v>
      </c>
      <c r="G67" s="541" t="s">
        <v>748</v>
      </c>
      <c r="H67" s="542" t="s">
        <v>749</v>
      </c>
      <c r="I67" s="543" t="s">
        <v>663</v>
      </c>
      <c r="J67" s="544" t="s">
        <v>664</v>
      </c>
      <c r="K67" s="543" t="s">
        <v>665</v>
      </c>
      <c r="L67" s="539">
        <v>4</v>
      </c>
      <c r="M67" s="539">
        <v>12</v>
      </c>
      <c r="N67" s="539">
        <f t="shared" si="0"/>
        <v>60000</v>
      </c>
      <c r="O67" s="539"/>
      <c r="P67" s="539"/>
      <c r="Q67" s="539"/>
      <c r="R67" s="3"/>
    </row>
    <row r="68" spans="2:18" ht="48">
      <c r="B68" s="538" t="s">
        <v>214</v>
      </c>
      <c r="C68" s="539" t="s">
        <v>655</v>
      </c>
      <c r="D68" s="539" t="s">
        <v>656</v>
      </c>
      <c r="E68" s="538" t="s">
        <v>747</v>
      </c>
      <c r="F68" s="540">
        <v>5000</v>
      </c>
      <c r="G68" s="541" t="s">
        <v>748</v>
      </c>
      <c r="H68" s="542" t="s">
        <v>749</v>
      </c>
      <c r="I68" s="543" t="s">
        <v>663</v>
      </c>
      <c r="J68" s="544" t="s">
        <v>664</v>
      </c>
      <c r="K68" s="543" t="s">
        <v>665</v>
      </c>
      <c r="L68" s="539"/>
      <c r="M68" s="539"/>
      <c r="N68" s="539"/>
      <c r="O68" s="539">
        <v>3</v>
      </c>
      <c r="P68" s="539">
        <v>6</v>
      </c>
      <c r="Q68" s="539">
        <f>P68*F68</f>
        <v>30000</v>
      </c>
      <c r="R68" s="3"/>
    </row>
    <row r="69" spans="2:18" ht="60">
      <c r="B69" s="538" t="s">
        <v>214</v>
      </c>
      <c r="C69" s="539" t="s">
        <v>655</v>
      </c>
      <c r="D69" s="539" t="s">
        <v>656</v>
      </c>
      <c r="E69" s="539" t="s">
        <v>661</v>
      </c>
      <c r="F69" s="540">
        <v>5000</v>
      </c>
      <c r="G69" s="541" t="s">
        <v>750</v>
      </c>
      <c r="H69" s="542" t="s">
        <v>751</v>
      </c>
      <c r="I69" s="543" t="s">
        <v>663</v>
      </c>
      <c r="J69" s="544" t="s">
        <v>664</v>
      </c>
      <c r="K69" s="543" t="s">
        <v>665</v>
      </c>
      <c r="L69" s="539">
        <v>4</v>
      </c>
      <c r="M69" s="539">
        <v>12</v>
      </c>
      <c r="N69" s="539">
        <f t="shared" si="0"/>
        <v>60000</v>
      </c>
      <c r="O69" s="539"/>
      <c r="P69" s="539"/>
      <c r="Q69" s="539"/>
      <c r="R69" s="3"/>
    </row>
    <row r="70" spans="2:18" ht="60">
      <c r="B70" s="538" t="s">
        <v>214</v>
      </c>
      <c r="C70" s="539" t="s">
        <v>655</v>
      </c>
      <c r="D70" s="539" t="s">
        <v>656</v>
      </c>
      <c r="E70" s="539" t="s">
        <v>661</v>
      </c>
      <c r="F70" s="540">
        <v>5000</v>
      </c>
      <c r="G70" s="541" t="s">
        <v>750</v>
      </c>
      <c r="H70" s="542" t="s">
        <v>751</v>
      </c>
      <c r="I70" s="543" t="s">
        <v>663</v>
      </c>
      <c r="J70" s="544" t="s">
        <v>664</v>
      </c>
      <c r="K70" s="543" t="s">
        <v>665</v>
      </c>
      <c r="L70" s="539"/>
      <c r="M70" s="539"/>
      <c r="N70" s="539"/>
      <c r="O70" s="539">
        <v>3</v>
      </c>
      <c r="P70" s="539">
        <v>6</v>
      </c>
      <c r="Q70" s="539">
        <f>P70*F70</f>
        <v>30000</v>
      </c>
      <c r="R70" s="3"/>
    </row>
    <row r="71" spans="2:18" ht="48">
      <c r="B71" s="538" t="s">
        <v>214</v>
      </c>
      <c r="C71" s="539" t="s">
        <v>655</v>
      </c>
      <c r="D71" s="539" t="s">
        <v>656</v>
      </c>
      <c r="E71" s="539" t="s">
        <v>725</v>
      </c>
      <c r="F71" s="540">
        <v>3500</v>
      </c>
      <c r="G71" s="541" t="s">
        <v>752</v>
      </c>
      <c r="H71" s="542" t="s">
        <v>753</v>
      </c>
      <c r="I71" s="543" t="s">
        <v>663</v>
      </c>
      <c r="J71" s="544" t="s">
        <v>674</v>
      </c>
      <c r="K71" s="543" t="s">
        <v>675</v>
      </c>
      <c r="L71" s="539">
        <v>4</v>
      </c>
      <c r="M71" s="539">
        <v>12</v>
      </c>
      <c r="N71" s="539">
        <f t="shared" si="0"/>
        <v>42000</v>
      </c>
      <c r="O71" s="539"/>
      <c r="P71" s="539"/>
      <c r="Q71" s="539"/>
      <c r="R71" s="3"/>
    </row>
    <row r="72" spans="2:18" ht="48">
      <c r="B72" s="538" t="s">
        <v>214</v>
      </c>
      <c r="C72" s="539" t="s">
        <v>655</v>
      </c>
      <c r="D72" s="539" t="s">
        <v>656</v>
      </c>
      <c r="E72" s="539" t="s">
        <v>725</v>
      </c>
      <c r="F72" s="540">
        <v>3500</v>
      </c>
      <c r="G72" s="541" t="s">
        <v>752</v>
      </c>
      <c r="H72" s="542" t="s">
        <v>753</v>
      </c>
      <c r="I72" s="543" t="s">
        <v>663</v>
      </c>
      <c r="J72" s="544" t="s">
        <v>674</v>
      </c>
      <c r="K72" s="543" t="s">
        <v>675</v>
      </c>
      <c r="L72" s="539"/>
      <c r="M72" s="539"/>
      <c r="N72" s="539"/>
      <c r="O72" s="539">
        <v>3</v>
      </c>
      <c r="P72" s="539">
        <v>6</v>
      </c>
      <c r="Q72" s="539">
        <f>P72*F72</f>
        <v>21000</v>
      </c>
      <c r="R72" s="3"/>
    </row>
    <row r="73" spans="2:18" ht="36">
      <c r="B73" s="539" t="s">
        <v>214</v>
      </c>
      <c r="C73" s="539" t="s">
        <v>655</v>
      </c>
      <c r="D73" s="539" t="s">
        <v>656</v>
      </c>
      <c r="E73" s="538" t="s">
        <v>754</v>
      </c>
      <c r="F73" s="540">
        <v>4000</v>
      </c>
      <c r="G73" s="541" t="s">
        <v>755</v>
      </c>
      <c r="H73" s="542" t="s">
        <v>756</v>
      </c>
      <c r="I73" s="543" t="s">
        <v>663</v>
      </c>
      <c r="J73" s="544" t="s">
        <v>674</v>
      </c>
      <c r="K73" s="543" t="s">
        <v>675</v>
      </c>
      <c r="L73" s="539">
        <v>4</v>
      </c>
      <c r="M73" s="539">
        <v>12</v>
      </c>
      <c r="N73" s="539">
        <f>M73*F73</f>
        <v>48000</v>
      </c>
      <c r="O73" s="539"/>
      <c r="P73" s="539"/>
      <c r="Q73" s="539"/>
      <c r="R73" s="549"/>
    </row>
    <row r="74" spans="2:18" ht="36">
      <c r="B74" s="539" t="s">
        <v>214</v>
      </c>
      <c r="C74" s="539" t="s">
        <v>655</v>
      </c>
      <c r="D74" s="539" t="s">
        <v>656</v>
      </c>
      <c r="E74" s="538" t="s">
        <v>754</v>
      </c>
      <c r="F74" s="540">
        <v>4000</v>
      </c>
      <c r="G74" s="541" t="s">
        <v>755</v>
      </c>
      <c r="H74" s="542" t="s">
        <v>756</v>
      </c>
      <c r="I74" s="543" t="s">
        <v>663</v>
      </c>
      <c r="J74" s="544" t="s">
        <v>674</v>
      </c>
      <c r="K74" s="543" t="s">
        <v>675</v>
      </c>
      <c r="L74" s="539"/>
      <c r="M74" s="539"/>
      <c r="N74" s="539"/>
      <c r="O74" s="539">
        <v>3</v>
      </c>
      <c r="P74" s="539">
        <v>6</v>
      </c>
      <c r="Q74" s="539">
        <f>P74*F74</f>
        <v>24000</v>
      </c>
      <c r="R74" s="549"/>
    </row>
    <row r="75" spans="2:18" ht="36">
      <c r="B75" s="539" t="s">
        <v>214</v>
      </c>
      <c r="C75" s="539" t="s">
        <v>655</v>
      </c>
      <c r="D75" s="539" t="s">
        <v>656</v>
      </c>
      <c r="E75" s="538" t="s">
        <v>757</v>
      </c>
      <c r="F75" s="540">
        <v>2200</v>
      </c>
      <c r="G75" s="541">
        <v>73325736</v>
      </c>
      <c r="H75" s="542" t="s">
        <v>758</v>
      </c>
      <c r="I75" s="543" t="s">
        <v>663</v>
      </c>
      <c r="J75" s="544" t="s">
        <v>674</v>
      </c>
      <c r="K75" s="543" t="s">
        <v>675</v>
      </c>
      <c r="L75" s="539">
        <v>1</v>
      </c>
      <c r="M75" s="539">
        <v>1</v>
      </c>
      <c r="N75" s="539">
        <f aca="true" t="shared" si="1" ref="N75:N135">M75*F75</f>
        <v>2200</v>
      </c>
      <c r="O75" s="539"/>
      <c r="P75" s="539"/>
      <c r="Q75" s="539"/>
      <c r="R75" s="549"/>
    </row>
    <row r="76" spans="2:18" ht="36">
      <c r="B76" s="539" t="s">
        <v>214</v>
      </c>
      <c r="C76" s="539" t="s">
        <v>655</v>
      </c>
      <c r="D76" s="539" t="s">
        <v>656</v>
      </c>
      <c r="E76" s="538" t="s">
        <v>759</v>
      </c>
      <c r="F76" s="540">
        <v>6800</v>
      </c>
      <c r="G76" s="541">
        <v>25503026</v>
      </c>
      <c r="H76" s="542" t="s">
        <v>760</v>
      </c>
      <c r="I76" s="543" t="s">
        <v>761</v>
      </c>
      <c r="J76" s="544" t="s">
        <v>674</v>
      </c>
      <c r="K76" s="543" t="s">
        <v>665</v>
      </c>
      <c r="L76" s="539">
        <v>4</v>
      </c>
      <c r="M76" s="539">
        <v>12</v>
      </c>
      <c r="N76" s="539">
        <f t="shared" si="1"/>
        <v>81600</v>
      </c>
      <c r="O76" s="539"/>
      <c r="P76" s="539"/>
      <c r="Q76" s="539"/>
      <c r="R76" s="549"/>
    </row>
    <row r="77" spans="2:18" ht="36">
      <c r="B77" s="539" t="s">
        <v>214</v>
      </c>
      <c r="C77" s="539" t="s">
        <v>655</v>
      </c>
      <c r="D77" s="539" t="s">
        <v>656</v>
      </c>
      <c r="E77" s="538" t="s">
        <v>759</v>
      </c>
      <c r="F77" s="540">
        <v>6800</v>
      </c>
      <c r="G77" s="541">
        <v>25503026</v>
      </c>
      <c r="H77" s="542" t="s">
        <v>760</v>
      </c>
      <c r="I77" s="543" t="s">
        <v>762</v>
      </c>
      <c r="J77" s="544" t="s">
        <v>674</v>
      </c>
      <c r="K77" s="543" t="s">
        <v>675</v>
      </c>
      <c r="L77" s="539"/>
      <c r="M77" s="539"/>
      <c r="N77" s="539"/>
      <c r="O77" s="539">
        <v>3</v>
      </c>
      <c r="P77" s="539">
        <v>6</v>
      </c>
      <c r="Q77" s="539">
        <f>P77*F77</f>
        <v>40800</v>
      </c>
      <c r="R77" s="549"/>
    </row>
    <row r="78" spans="2:18" ht="48">
      <c r="B78" s="539" t="s">
        <v>214</v>
      </c>
      <c r="C78" s="539" t="s">
        <v>655</v>
      </c>
      <c r="D78" s="539" t="s">
        <v>656</v>
      </c>
      <c r="E78" s="538" t="s">
        <v>763</v>
      </c>
      <c r="F78" s="540">
        <v>3000</v>
      </c>
      <c r="G78" s="543">
        <v>48268775</v>
      </c>
      <c r="H78" s="542" t="s">
        <v>764</v>
      </c>
      <c r="I78" s="543" t="s">
        <v>663</v>
      </c>
      <c r="J78" s="544" t="s">
        <v>674</v>
      </c>
      <c r="K78" s="543" t="s">
        <v>675</v>
      </c>
      <c r="L78" s="539">
        <v>4</v>
      </c>
      <c r="M78" s="539">
        <v>12</v>
      </c>
      <c r="N78" s="539">
        <f t="shared" si="1"/>
        <v>36000</v>
      </c>
      <c r="O78" s="539"/>
      <c r="P78" s="539"/>
      <c r="Q78" s="539"/>
      <c r="R78" s="549"/>
    </row>
    <row r="79" spans="2:18" ht="48">
      <c r="B79" s="539" t="s">
        <v>214</v>
      </c>
      <c r="C79" s="539" t="s">
        <v>655</v>
      </c>
      <c r="D79" s="539" t="s">
        <v>656</v>
      </c>
      <c r="E79" s="538" t="s">
        <v>763</v>
      </c>
      <c r="F79" s="540">
        <v>3000</v>
      </c>
      <c r="G79" s="543">
        <v>48268775</v>
      </c>
      <c r="H79" s="542" t="s">
        <v>764</v>
      </c>
      <c r="I79" s="543" t="s">
        <v>663</v>
      </c>
      <c r="J79" s="544" t="s">
        <v>674</v>
      </c>
      <c r="K79" s="543" t="s">
        <v>675</v>
      </c>
      <c r="L79" s="539"/>
      <c r="M79" s="539"/>
      <c r="N79" s="539"/>
      <c r="O79" s="539">
        <v>3</v>
      </c>
      <c r="P79" s="539">
        <v>6</v>
      </c>
      <c r="Q79" s="539">
        <f>P79*F79</f>
        <v>18000</v>
      </c>
      <c r="R79" s="549"/>
    </row>
    <row r="80" spans="2:18" ht="48">
      <c r="B80" s="539" t="s">
        <v>214</v>
      </c>
      <c r="C80" s="539" t="s">
        <v>655</v>
      </c>
      <c r="D80" s="539" t="s">
        <v>656</v>
      </c>
      <c r="E80" s="538" t="s">
        <v>765</v>
      </c>
      <c r="F80" s="540">
        <v>7000</v>
      </c>
      <c r="G80" s="541" t="s">
        <v>766</v>
      </c>
      <c r="H80" s="542" t="s">
        <v>767</v>
      </c>
      <c r="I80" s="543" t="s">
        <v>663</v>
      </c>
      <c r="J80" s="544" t="s">
        <v>664</v>
      </c>
      <c r="K80" s="543" t="s">
        <v>665</v>
      </c>
      <c r="L80" s="539">
        <v>4</v>
      </c>
      <c r="M80" s="539">
        <v>12</v>
      </c>
      <c r="N80" s="539">
        <f t="shared" si="1"/>
        <v>84000</v>
      </c>
      <c r="O80" s="539"/>
      <c r="P80" s="539"/>
      <c r="Q80" s="539"/>
      <c r="R80" s="549"/>
    </row>
    <row r="81" spans="2:18" ht="48">
      <c r="B81" s="539" t="s">
        <v>214</v>
      </c>
      <c r="C81" s="539" t="s">
        <v>655</v>
      </c>
      <c r="D81" s="539" t="s">
        <v>656</v>
      </c>
      <c r="E81" s="538" t="s">
        <v>765</v>
      </c>
      <c r="F81" s="540">
        <v>7000</v>
      </c>
      <c r="G81" s="541" t="s">
        <v>766</v>
      </c>
      <c r="H81" s="542" t="s">
        <v>767</v>
      </c>
      <c r="I81" s="543" t="s">
        <v>663</v>
      </c>
      <c r="J81" s="544" t="s">
        <v>664</v>
      </c>
      <c r="K81" s="543" t="s">
        <v>665</v>
      </c>
      <c r="L81" s="539"/>
      <c r="M81" s="539"/>
      <c r="N81" s="539"/>
      <c r="O81" s="539">
        <v>3</v>
      </c>
      <c r="P81" s="539">
        <v>6</v>
      </c>
      <c r="Q81" s="539">
        <f>P81*F81</f>
        <v>42000</v>
      </c>
      <c r="R81" s="549"/>
    </row>
    <row r="82" spans="2:18" ht="48">
      <c r="B82" s="539" t="s">
        <v>214</v>
      </c>
      <c r="C82" s="539" t="s">
        <v>655</v>
      </c>
      <c r="D82" s="539" t="s">
        <v>656</v>
      </c>
      <c r="E82" s="539" t="s">
        <v>679</v>
      </c>
      <c r="F82" s="540">
        <v>9000</v>
      </c>
      <c r="G82" s="541" t="s">
        <v>768</v>
      </c>
      <c r="H82" s="542" t="s">
        <v>769</v>
      </c>
      <c r="I82" s="543" t="s">
        <v>663</v>
      </c>
      <c r="J82" s="544" t="s">
        <v>664</v>
      </c>
      <c r="K82" s="543" t="s">
        <v>665</v>
      </c>
      <c r="L82" s="539">
        <v>4</v>
      </c>
      <c r="M82" s="539">
        <v>12</v>
      </c>
      <c r="N82" s="539">
        <f t="shared" si="1"/>
        <v>108000</v>
      </c>
      <c r="O82" s="539"/>
      <c r="P82" s="539"/>
      <c r="Q82" s="539"/>
      <c r="R82" s="549"/>
    </row>
    <row r="83" spans="2:18" ht="48">
      <c r="B83" s="539" t="s">
        <v>214</v>
      </c>
      <c r="C83" s="539" t="s">
        <v>655</v>
      </c>
      <c r="D83" s="539" t="s">
        <v>656</v>
      </c>
      <c r="E83" s="539" t="s">
        <v>679</v>
      </c>
      <c r="F83" s="540">
        <v>9000</v>
      </c>
      <c r="G83" s="541" t="s">
        <v>768</v>
      </c>
      <c r="H83" s="542" t="s">
        <v>769</v>
      </c>
      <c r="I83" s="543" t="s">
        <v>663</v>
      </c>
      <c r="J83" s="544" t="s">
        <v>664</v>
      </c>
      <c r="K83" s="543" t="s">
        <v>665</v>
      </c>
      <c r="L83" s="539"/>
      <c r="M83" s="539"/>
      <c r="N83" s="539"/>
      <c r="O83" s="539">
        <v>3</v>
      </c>
      <c r="P83" s="539">
        <v>6</v>
      </c>
      <c r="Q83" s="539">
        <f>P83*F83</f>
        <v>54000</v>
      </c>
      <c r="R83" s="549"/>
    </row>
    <row r="84" spans="2:18" ht="48">
      <c r="B84" s="539" t="s">
        <v>214</v>
      </c>
      <c r="C84" s="539" t="s">
        <v>655</v>
      </c>
      <c r="D84" s="539" t="s">
        <v>656</v>
      </c>
      <c r="E84" s="539" t="s">
        <v>663</v>
      </c>
      <c r="F84" s="540">
        <v>7000</v>
      </c>
      <c r="G84" s="541" t="s">
        <v>770</v>
      </c>
      <c r="H84" s="542" t="s">
        <v>771</v>
      </c>
      <c r="I84" s="543" t="s">
        <v>663</v>
      </c>
      <c r="J84" s="544" t="s">
        <v>664</v>
      </c>
      <c r="K84" s="543" t="s">
        <v>665</v>
      </c>
      <c r="L84" s="539">
        <v>4</v>
      </c>
      <c r="M84" s="539">
        <v>12</v>
      </c>
      <c r="N84" s="539">
        <f t="shared" si="1"/>
        <v>84000</v>
      </c>
      <c r="O84" s="539"/>
      <c r="P84" s="539"/>
      <c r="Q84" s="539"/>
      <c r="R84" s="549"/>
    </row>
    <row r="85" spans="2:18" ht="48">
      <c r="B85" s="539" t="s">
        <v>214</v>
      </c>
      <c r="C85" s="539" t="s">
        <v>655</v>
      </c>
      <c r="D85" s="539" t="s">
        <v>656</v>
      </c>
      <c r="E85" s="539" t="s">
        <v>663</v>
      </c>
      <c r="F85" s="540">
        <v>7000</v>
      </c>
      <c r="G85" s="541" t="s">
        <v>770</v>
      </c>
      <c r="H85" s="542" t="s">
        <v>771</v>
      </c>
      <c r="I85" s="543" t="s">
        <v>663</v>
      </c>
      <c r="J85" s="544" t="s">
        <v>664</v>
      </c>
      <c r="K85" s="543" t="s">
        <v>665</v>
      </c>
      <c r="L85" s="539"/>
      <c r="M85" s="539"/>
      <c r="N85" s="539"/>
      <c r="O85" s="539">
        <v>3</v>
      </c>
      <c r="P85" s="539">
        <v>3</v>
      </c>
      <c r="Q85" s="539">
        <f>P85*F85</f>
        <v>21000</v>
      </c>
      <c r="R85" s="549"/>
    </row>
    <row r="86" spans="2:18" ht="48">
      <c r="B86" s="539" t="s">
        <v>214</v>
      </c>
      <c r="C86" s="539" t="s">
        <v>655</v>
      </c>
      <c r="D86" s="539" t="s">
        <v>656</v>
      </c>
      <c r="E86" s="538" t="s">
        <v>772</v>
      </c>
      <c r="F86" s="540">
        <v>5500</v>
      </c>
      <c r="G86" s="541" t="s">
        <v>773</v>
      </c>
      <c r="H86" s="542" t="s">
        <v>774</v>
      </c>
      <c r="I86" s="543" t="s">
        <v>731</v>
      </c>
      <c r="J86" s="544" t="s">
        <v>643</v>
      </c>
      <c r="K86" s="543" t="s">
        <v>665</v>
      </c>
      <c r="L86" s="539"/>
      <c r="M86" s="539">
        <v>5</v>
      </c>
      <c r="N86" s="539">
        <f t="shared" si="1"/>
        <v>27500</v>
      </c>
      <c r="O86" s="539"/>
      <c r="P86" s="539"/>
      <c r="Q86" s="539"/>
      <c r="R86" s="549"/>
    </row>
    <row r="87" spans="2:18" ht="48">
      <c r="B87" s="539" t="s">
        <v>214</v>
      </c>
      <c r="C87" s="539" t="s">
        <v>655</v>
      </c>
      <c r="D87" s="539" t="s">
        <v>656</v>
      </c>
      <c r="E87" s="538" t="s">
        <v>772</v>
      </c>
      <c r="F87" s="540">
        <v>6500</v>
      </c>
      <c r="G87" s="541" t="s">
        <v>773</v>
      </c>
      <c r="H87" s="542" t="s">
        <v>774</v>
      </c>
      <c r="I87" s="543" t="s">
        <v>731</v>
      </c>
      <c r="J87" s="544" t="s">
        <v>664</v>
      </c>
      <c r="K87" s="543" t="s">
        <v>665</v>
      </c>
      <c r="L87" s="539"/>
      <c r="M87" s="539">
        <v>7</v>
      </c>
      <c r="N87" s="539">
        <f t="shared" si="1"/>
        <v>45500</v>
      </c>
      <c r="O87" s="539"/>
      <c r="P87" s="539"/>
      <c r="Q87" s="539"/>
      <c r="R87" s="549"/>
    </row>
    <row r="88" spans="2:18" ht="48">
      <c r="B88" s="539" t="s">
        <v>214</v>
      </c>
      <c r="C88" s="539" t="s">
        <v>655</v>
      </c>
      <c r="D88" s="539" t="s">
        <v>656</v>
      </c>
      <c r="E88" s="538" t="s">
        <v>772</v>
      </c>
      <c r="F88" s="540">
        <v>6500</v>
      </c>
      <c r="G88" s="541" t="s">
        <v>773</v>
      </c>
      <c r="H88" s="542" t="s">
        <v>774</v>
      </c>
      <c r="I88" s="543" t="s">
        <v>731</v>
      </c>
      <c r="J88" s="544" t="s">
        <v>664</v>
      </c>
      <c r="K88" s="543" t="s">
        <v>665</v>
      </c>
      <c r="L88" s="539"/>
      <c r="M88" s="539"/>
      <c r="N88" s="539"/>
      <c r="O88" s="539">
        <v>3</v>
      </c>
      <c r="P88" s="539">
        <v>6</v>
      </c>
      <c r="Q88" s="539">
        <f>P88*F88</f>
        <v>39000</v>
      </c>
      <c r="R88" s="549"/>
    </row>
    <row r="89" spans="2:18" ht="36">
      <c r="B89" s="539" t="s">
        <v>214</v>
      </c>
      <c r="C89" s="539" t="s">
        <v>655</v>
      </c>
      <c r="D89" s="539" t="s">
        <v>656</v>
      </c>
      <c r="E89" s="538" t="s">
        <v>697</v>
      </c>
      <c r="F89" s="540">
        <v>3300</v>
      </c>
      <c r="G89" s="541" t="s">
        <v>775</v>
      </c>
      <c r="H89" s="542" t="s">
        <v>776</v>
      </c>
      <c r="I89" s="543" t="s">
        <v>663</v>
      </c>
      <c r="J89" s="544" t="s">
        <v>777</v>
      </c>
      <c r="K89" s="543" t="s">
        <v>675</v>
      </c>
      <c r="L89" s="539">
        <v>4</v>
      </c>
      <c r="M89" s="539">
        <v>12</v>
      </c>
      <c r="N89" s="539">
        <f t="shared" si="1"/>
        <v>39600</v>
      </c>
      <c r="O89" s="539"/>
      <c r="P89" s="539"/>
      <c r="Q89" s="539"/>
      <c r="R89" s="549"/>
    </row>
    <row r="90" spans="2:18" ht="36">
      <c r="B90" s="539" t="s">
        <v>214</v>
      </c>
      <c r="C90" s="539" t="s">
        <v>655</v>
      </c>
      <c r="D90" s="539" t="s">
        <v>656</v>
      </c>
      <c r="E90" s="538" t="s">
        <v>697</v>
      </c>
      <c r="F90" s="540">
        <v>3300</v>
      </c>
      <c r="G90" s="541" t="s">
        <v>775</v>
      </c>
      <c r="H90" s="542" t="s">
        <v>776</v>
      </c>
      <c r="I90" s="543" t="s">
        <v>663</v>
      </c>
      <c r="J90" s="544" t="s">
        <v>777</v>
      </c>
      <c r="K90" s="543" t="s">
        <v>675</v>
      </c>
      <c r="L90" s="539"/>
      <c r="M90" s="539"/>
      <c r="N90" s="539"/>
      <c r="O90" s="539">
        <v>3</v>
      </c>
      <c r="P90" s="539">
        <v>6</v>
      </c>
      <c r="Q90" s="539">
        <f>P90*F90</f>
        <v>19800</v>
      </c>
      <c r="R90" s="549"/>
    </row>
    <row r="91" spans="2:18" ht="60">
      <c r="B91" s="539" t="s">
        <v>214</v>
      </c>
      <c r="C91" s="539" t="s">
        <v>655</v>
      </c>
      <c r="D91" s="539" t="s">
        <v>656</v>
      </c>
      <c r="E91" s="539" t="s">
        <v>725</v>
      </c>
      <c r="F91" s="540">
        <v>3000</v>
      </c>
      <c r="G91" s="541" t="s">
        <v>778</v>
      </c>
      <c r="H91" s="542" t="s">
        <v>779</v>
      </c>
      <c r="I91" s="543" t="s">
        <v>663</v>
      </c>
      <c r="J91" s="544" t="s">
        <v>674</v>
      </c>
      <c r="K91" s="543" t="s">
        <v>675</v>
      </c>
      <c r="L91" s="539">
        <v>3</v>
      </c>
      <c r="M91" s="539">
        <v>9</v>
      </c>
      <c r="N91" s="539">
        <f t="shared" si="1"/>
        <v>27000</v>
      </c>
      <c r="O91" s="539"/>
      <c r="P91" s="539"/>
      <c r="Q91" s="539"/>
      <c r="R91" s="549"/>
    </row>
    <row r="92" spans="2:18" ht="60">
      <c r="B92" s="539" t="s">
        <v>214</v>
      </c>
      <c r="C92" s="539" t="s">
        <v>655</v>
      </c>
      <c r="D92" s="539" t="s">
        <v>656</v>
      </c>
      <c r="E92" s="539" t="s">
        <v>663</v>
      </c>
      <c r="F92" s="540">
        <v>4500</v>
      </c>
      <c r="G92" s="541" t="s">
        <v>778</v>
      </c>
      <c r="H92" s="542" t="s">
        <v>779</v>
      </c>
      <c r="I92" s="543" t="s">
        <v>663</v>
      </c>
      <c r="J92" s="544" t="s">
        <v>664</v>
      </c>
      <c r="K92" s="543" t="s">
        <v>665</v>
      </c>
      <c r="L92" s="539">
        <v>1</v>
      </c>
      <c r="M92" s="539">
        <v>3</v>
      </c>
      <c r="N92" s="539">
        <f t="shared" si="1"/>
        <v>13500</v>
      </c>
      <c r="O92" s="539"/>
      <c r="P92" s="539"/>
      <c r="Q92" s="539"/>
      <c r="R92" s="549"/>
    </row>
    <row r="93" spans="2:18" ht="60">
      <c r="B93" s="539" t="s">
        <v>214</v>
      </c>
      <c r="C93" s="539" t="s">
        <v>655</v>
      </c>
      <c r="D93" s="539" t="s">
        <v>656</v>
      </c>
      <c r="E93" s="539" t="s">
        <v>663</v>
      </c>
      <c r="F93" s="540">
        <v>4500</v>
      </c>
      <c r="G93" s="541" t="s">
        <v>778</v>
      </c>
      <c r="H93" s="542" t="s">
        <v>779</v>
      </c>
      <c r="I93" s="543" t="s">
        <v>663</v>
      </c>
      <c r="J93" s="544" t="s">
        <v>664</v>
      </c>
      <c r="K93" s="543" t="s">
        <v>665</v>
      </c>
      <c r="L93" s="539"/>
      <c r="M93" s="539"/>
      <c r="N93" s="539"/>
      <c r="O93" s="539">
        <v>3</v>
      </c>
      <c r="P93" s="539">
        <v>6</v>
      </c>
      <c r="Q93" s="539">
        <f>P93*F93</f>
        <v>27000</v>
      </c>
      <c r="R93" s="549"/>
    </row>
    <row r="94" spans="2:18" ht="36">
      <c r="B94" s="539" t="s">
        <v>214</v>
      </c>
      <c r="C94" s="539" t="s">
        <v>655</v>
      </c>
      <c r="D94" s="539" t="s">
        <v>656</v>
      </c>
      <c r="E94" s="539" t="s">
        <v>715</v>
      </c>
      <c r="F94" s="540">
        <v>8000</v>
      </c>
      <c r="G94" s="541" t="s">
        <v>780</v>
      </c>
      <c r="H94" s="542" t="s">
        <v>781</v>
      </c>
      <c r="I94" s="543" t="s">
        <v>717</v>
      </c>
      <c r="J94" s="544" t="s">
        <v>664</v>
      </c>
      <c r="K94" s="543" t="s">
        <v>665</v>
      </c>
      <c r="L94" s="539">
        <v>4</v>
      </c>
      <c r="M94" s="539">
        <v>12</v>
      </c>
      <c r="N94" s="539">
        <f t="shared" si="1"/>
        <v>96000</v>
      </c>
      <c r="O94" s="539"/>
      <c r="P94" s="539"/>
      <c r="Q94" s="539"/>
      <c r="R94" s="549"/>
    </row>
    <row r="95" spans="2:18" ht="36">
      <c r="B95" s="539" t="s">
        <v>214</v>
      </c>
      <c r="C95" s="539" t="s">
        <v>655</v>
      </c>
      <c r="D95" s="539" t="s">
        <v>656</v>
      </c>
      <c r="E95" s="539" t="s">
        <v>715</v>
      </c>
      <c r="F95" s="540">
        <v>8000</v>
      </c>
      <c r="G95" s="541" t="s">
        <v>780</v>
      </c>
      <c r="H95" s="542" t="s">
        <v>781</v>
      </c>
      <c r="I95" s="543" t="s">
        <v>717</v>
      </c>
      <c r="J95" s="544" t="s">
        <v>664</v>
      </c>
      <c r="K95" s="543" t="s">
        <v>665</v>
      </c>
      <c r="L95" s="539"/>
      <c r="M95" s="539"/>
      <c r="N95" s="539"/>
      <c r="O95" s="539">
        <v>3</v>
      </c>
      <c r="P95" s="539">
        <v>6</v>
      </c>
      <c r="Q95" s="539">
        <f>P95*F95</f>
        <v>48000</v>
      </c>
      <c r="R95" s="549"/>
    </row>
    <row r="96" spans="2:18" ht="60">
      <c r="B96" s="539" t="s">
        <v>214</v>
      </c>
      <c r="C96" s="539" t="s">
        <v>655</v>
      </c>
      <c r="D96" s="539" t="s">
        <v>656</v>
      </c>
      <c r="E96" s="539" t="s">
        <v>782</v>
      </c>
      <c r="F96" s="540">
        <v>2500</v>
      </c>
      <c r="G96" s="541" t="s">
        <v>783</v>
      </c>
      <c r="H96" s="542" t="s">
        <v>784</v>
      </c>
      <c r="I96" s="543" t="s">
        <v>663</v>
      </c>
      <c r="J96" s="544" t="s">
        <v>703</v>
      </c>
      <c r="K96" s="543" t="s">
        <v>675</v>
      </c>
      <c r="L96" s="539">
        <v>4</v>
      </c>
      <c r="M96" s="539">
        <v>12</v>
      </c>
      <c r="N96" s="539">
        <f t="shared" si="1"/>
        <v>30000</v>
      </c>
      <c r="O96" s="539"/>
      <c r="P96" s="539"/>
      <c r="Q96" s="539"/>
      <c r="R96" s="549"/>
    </row>
    <row r="97" spans="2:18" ht="60">
      <c r="B97" s="539" t="s">
        <v>214</v>
      </c>
      <c r="C97" s="539" t="s">
        <v>655</v>
      </c>
      <c r="D97" s="539" t="s">
        <v>656</v>
      </c>
      <c r="E97" s="539" t="s">
        <v>782</v>
      </c>
      <c r="F97" s="540">
        <v>2500</v>
      </c>
      <c r="G97" s="541" t="s">
        <v>783</v>
      </c>
      <c r="H97" s="542" t="s">
        <v>784</v>
      </c>
      <c r="I97" s="543" t="s">
        <v>663</v>
      </c>
      <c r="J97" s="544" t="s">
        <v>703</v>
      </c>
      <c r="K97" s="543" t="s">
        <v>675</v>
      </c>
      <c r="L97" s="539"/>
      <c r="M97" s="539"/>
      <c r="N97" s="539"/>
      <c r="O97" s="539">
        <v>3</v>
      </c>
      <c r="P97" s="539">
        <v>6</v>
      </c>
      <c r="Q97" s="539">
        <f>P97*F97</f>
        <v>15000</v>
      </c>
      <c r="R97" s="549"/>
    </row>
    <row r="98" spans="2:18" ht="48">
      <c r="B98" s="539" t="s">
        <v>214</v>
      </c>
      <c r="C98" s="539" t="s">
        <v>655</v>
      </c>
      <c r="D98" s="539" t="s">
        <v>656</v>
      </c>
      <c r="E98" s="539" t="s">
        <v>785</v>
      </c>
      <c r="F98" s="540">
        <v>5000</v>
      </c>
      <c r="G98" s="541" t="s">
        <v>786</v>
      </c>
      <c r="H98" s="542" t="s">
        <v>787</v>
      </c>
      <c r="I98" s="543" t="s">
        <v>733</v>
      </c>
      <c r="J98" s="544" t="s">
        <v>674</v>
      </c>
      <c r="K98" s="543" t="s">
        <v>665</v>
      </c>
      <c r="L98" s="539">
        <v>4</v>
      </c>
      <c r="M98" s="539">
        <v>12</v>
      </c>
      <c r="N98" s="539">
        <f t="shared" si="1"/>
        <v>60000</v>
      </c>
      <c r="O98" s="539"/>
      <c r="P98" s="539"/>
      <c r="Q98" s="539"/>
      <c r="R98" s="549"/>
    </row>
    <row r="99" spans="2:18" ht="48">
      <c r="B99" s="539" t="s">
        <v>214</v>
      </c>
      <c r="C99" s="539" t="s">
        <v>655</v>
      </c>
      <c r="D99" s="539" t="s">
        <v>656</v>
      </c>
      <c r="E99" s="539" t="s">
        <v>785</v>
      </c>
      <c r="F99" s="540">
        <v>5000</v>
      </c>
      <c r="G99" s="541" t="s">
        <v>786</v>
      </c>
      <c r="H99" s="542" t="s">
        <v>787</v>
      </c>
      <c r="I99" s="543" t="s">
        <v>733</v>
      </c>
      <c r="J99" s="544" t="s">
        <v>674</v>
      </c>
      <c r="K99" s="543" t="s">
        <v>665</v>
      </c>
      <c r="L99" s="539"/>
      <c r="M99" s="539"/>
      <c r="N99" s="539"/>
      <c r="O99" s="539">
        <v>2</v>
      </c>
      <c r="P99" s="539">
        <v>5</v>
      </c>
      <c r="Q99" s="539">
        <f>P99*F99</f>
        <v>25000</v>
      </c>
      <c r="R99" s="549"/>
    </row>
    <row r="100" spans="2:18" ht="48">
      <c r="B100" s="539" t="s">
        <v>214</v>
      </c>
      <c r="C100" s="539" t="s">
        <v>655</v>
      </c>
      <c r="D100" s="539" t="s">
        <v>656</v>
      </c>
      <c r="E100" s="539" t="s">
        <v>788</v>
      </c>
      <c r="F100" s="540">
        <v>3500</v>
      </c>
      <c r="G100" s="541" t="s">
        <v>789</v>
      </c>
      <c r="H100" s="542" t="s">
        <v>790</v>
      </c>
      <c r="I100" s="543" t="s">
        <v>663</v>
      </c>
      <c r="J100" s="544" t="s">
        <v>673</v>
      </c>
      <c r="K100" s="543" t="s">
        <v>675</v>
      </c>
      <c r="L100" s="539">
        <v>4</v>
      </c>
      <c r="M100" s="539">
        <v>12</v>
      </c>
      <c r="N100" s="539">
        <f t="shared" si="1"/>
        <v>42000</v>
      </c>
      <c r="O100" s="539"/>
      <c r="P100" s="539"/>
      <c r="Q100" s="539"/>
      <c r="R100" s="549"/>
    </row>
    <row r="101" spans="2:18" ht="48">
      <c r="B101" s="539" t="s">
        <v>214</v>
      </c>
      <c r="C101" s="539" t="s">
        <v>655</v>
      </c>
      <c r="D101" s="539" t="s">
        <v>656</v>
      </c>
      <c r="E101" s="539" t="s">
        <v>788</v>
      </c>
      <c r="F101" s="540">
        <v>3500</v>
      </c>
      <c r="G101" s="541" t="s">
        <v>789</v>
      </c>
      <c r="H101" s="542" t="s">
        <v>790</v>
      </c>
      <c r="I101" s="543" t="s">
        <v>663</v>
      </c>
      <c r="J101" s="544" t="s">
        <v>673</v>
      </c>
      <c r="K101" s="543" t="s">
        <v>675</v>
      </c>
      <c r="L101" s="539"/>
      <c r="M101" s="539"/>
      <c r="N101" s="539"/>
      <c r="O101" s="539">
        <v>3</v>
      </c>
      <c r="P101" s="539">
        <v>6</v>
      </c>
      <c r="Q101" s="539">
        <f>P101*F101</f>
        <v>21000</v>
      </c>
      <c r="R101" s="549"/>
    </row>
    <row r="102" spans="2:18" ht="60">
      <c r="B102" s="539" t="s">
        <v>214</v>
      </c>
      <c r="C102" s="539" t="s">
        <v>655</v>
      </c>
      <c r="D102" s="539" t="s">
        <v>656</v>
      </c>
      <c r="E102" s="539" t="s">
        <v>681</v>
      </c>
      <c r="F102" s="540">
        <v>7000</v>
      </c>
      <c r="G102" s="541" t="s">
        <v>791</v>
      </c>
      <c r="H102" s="542" t="s">
        <v>792</v>
      </c>
      <c r="I102" s="543" t="s">
        <v>663</v>
      </c>
      <c r="J102" s="544" t="s">
        <v>664</v>
      </c>
      <c r="K102" s="543" t="s">
        <v>665</v>
      </c>
      <c r="L102" s="539">
        <v>4</v>
      </c>
      <c r="M102" s="539">
        <v>12</v>
      </c>
      <c r="N102" s="539">
        <f t="shared" si="1"/>
        <v>84000</v>
      </c>
      <c r="O102" s="539"/>
      <c r="P102" s="539"/>
      <c r="Q102" s="539"/>
      <c r="R102" s="549"/>
    </row>
    <row r="103" spans="2:18" ht="60">
      <c r="B103" s="539" t="s">
        <v>214</v>
      </c>
      <c r="C103" s="539" t="s">
        <v>655</v>
      </c>
      <c r="D103" s="539" t="s">
        <v>656</v>
      </c>
      <c r="E103" s="539" t="s">
        <v>681</v>
      </c>
      <c r="F103" s="540">
        <v>7000</v>
      </c>
      <c r="G103" s="541" t="s">
        <v>791</v>
      </c>
      <c r="H103" s="542" t="s">
        <v>792</v>
      </c>
      <c r="I103" s="543" t="s">
        <v>663</v>
      </c>
      <c r="J103" s="544" t="s">
        <v>664</v>
      </c>
      <c r="K103" s="543" t="s">
        <v>665</v>
      </c>
      <c r="L103" s="539"/>
      <c r="M103" s="539"/>
      <c r="N103" s="539"/>
      <c r="O103" s="539">
        <v>3</v>
      </c>
      <c r="P103" s="539">
        <v>6</v>
      </c>
      <c r="Q103" s="539">
        <f>P103*F103</f>
        <v>42000</v>
      </c>
      <c r="R103" s="549"/>
    </row>
    <row r="104" spans="2:18" ht="48">
      <c r="B104" s="539" t="s">
        <v>214</v>
      </c>
      <c r="C104" s="539" t="s">
        <v>655</v>
      </c>
      <c r="D104" s="539" t="s">
        <v>656</v>
      </c>
      <c r="E104" s="539" t="s">
        <v>747</v>
      </c>
      <c r="F104" s="540">
        <v>7000</v>
      </c>
      <c r="G104" s="541" t="s">
        <v>793</v>
      </c>
      <c r="H104" s="542" t="s">
        <v>794</v>
      </c>
      <c r="I104" s="543" t="s">
        <v>663</v>
      </c>
      <c r="J104" s="544" t="s">
        <v>664</v>
      </c>
      <c r="K104" s="543" t="s">
        <v>665</v>
      </c>
      <c r="L104" s="539">
        <v>4</v>
      </c>
      <c r="M104" s="539">
        <v>12</v>
      </c>
      <c r="N104" s="539">
        <f t="shared" si="1"/>
        <v>84000</v>
      </c>
      <c r="O104" s="539"/>
      <c r="P104" s="539"/>
      <c r="Q104" s="539"/>
      <c r="R104" s="549"/>
    </row>
    <row r="105" spans="2:18" ht="48">
      <c r="B105" s="539" t="s">
        <v>214</v>
      </c>
      <c r="C105" s="539" t="s">
        <v>655</v>
      </c>
      <c r="D105" s="539" t="s">
        <v>656</v>
      </c>
      <c r="E105" s="539" t="s">
        <v>747</v>
      </c>
      <c r="F105" s="540">
        <v>7000</v>
      </c>
      <c r="G105" s="541" t="s">
        <v>793</v>
      </c>
      <c r="H105" s="542" t="s">
        <v>794</v>
      </c>
      <c r="I105" s="543" t="s">
        <v>663</v>
      </c>
      <c r="J105" s="544" t="s">
        <v>664</v>
      </c>
      <c r="K105" s="543" t="s">
        <v>665</v>
      </c>
      <c r="L105" s="539"/>
      <c r="M105" s="539"/>
      <c r="N105" s="539"/>
      <c r="O105" s="539">
        <v>3</v>
      </c>
      <c r="P105" s="539">
        <v>6</v>
      </c>
      <c r="Q105" s="539">
        <f>P105*F105</f>
        <v>42000</v>
      </c>
      <c r="R105" s="549"/>
    </row>
    <row r="106" spans="2:18" ht="36">
      <c r="B106" s="539" t="s">
        <v>214</v>
      </c>
      <c r="C106" s="539" t="s">
        <v>655</v>
      </c>
      <c r="D106" s="539" t="s">
        <v>656</v>
      </c>
      <c r="E106" s="539" t="s">
        <v>795</v>
      </c>
      <c r="F106" s="540">
        <v>3500</v>
      </c>
      <c r="G106" s="541" t="s">
        <v>796</v>
      </c>
      <c r="H106" s="542" t="s">
        <v>797</v>
      </c>
      <c r="I106" s="543" t="s">
        <v>703</v>
      </c>
      <c r="J106" s="544" t="s">
        <v>703</v>
      </c>
      <c r="K106" s="543" t="s">
        <v>675</v>
      </c>
      <c r="L106" s="539">
        <v>3</v>
      </c>
      <c r="M106" s="539">
        <v>7</v>
      </c>
      <c r="N106" s="539">
        <f t="shared" si="1"/>
        <v>24500</v>
      </c>
      <c r="O106" s="539"/>
      <c r="P106" s="539"/>
      <c r="Q106" s="539"/>
      <c r="R106" s="549"/>
    </row>
    <row r="107" spans="2:18" ht="36">
      <c r="B107" s="539" t="s">
        <v>214</v>
      </c>
      <c r="C107" s="539" t="s">
        <v>655</v>
      </c>
      <c r="D107" s="539" t="s">
        <v>656</v>
      </c>
      <c r="E107" s="539" t="s">
        <v>798</v>
      </c>
      <c r="F107" s="540">
        <v>5500</v>
      </c>
      <c r="G107" s="541" t="s">
        <v>796</v>
      </c>
      <c r="H107" s="542" t="s">
        <v>797</v>
      </c>
      <c r="I107" s="543" t="s">
        <v>703</v>
      </c>
      <c r="J107" s="544" t="s">
        <v>703</v>
      </c>
      <c r="K107" s="543" t="s">
        <v>675</v>
      </c>
      <c r="L107" s="539">
        <v>2</v>
      </c>
      <c r="M107" s="539">
        <v>5</v>
      </c>
      <c r="N107" s="539">
        <f t="shared" si="1"/>
        <v>27500</v>
      </c>
      <c r="O107" s="539"/>
      <c r="P107" s="539"/>
      <c r="Q107" s="539"/>
      <c r="R107" s="549"/>
    </row>
    <row r="108" spans="2:18" ht="36">
      <c r="B108" s="539" t="s">
        <v>214</v>
      </c>
      <c r="C108" s="539" t="s">
        <v>655</v>
      </c>
      <c r="D108" s="539" t="s">
        <v>656</v>
      </c>
      <c r="E108" s="539" t="s">
        <v>798</v>
      </c>
      <c r="F108" s="540">
        <v>5500</v>
      </c>
      <c r="G108" s="541" t="s">
        <v>796</v>
      </c>
      <c r="H108" s="542" t="s">
        <v>797</v>
      </c>
      <c r="I108" s="543" t="s">
        <v>703</v>
      </c>
      <c r="J108" s="544" t="s">
        <v>703</v>
      </c>
      <c r="K108" s="543" t="s">
        <v>675</v>
      </c>
      <c r="L108" s="539"/>
      <c r="M108" s="539"/>
      <c r="N108" s="539"/>
      <c r="O108" s="539">
        <v>3</v>
      </c>
      <c r="P108" s="539">
        <v>6</v>
      </c>
      <c r="Q108" s="539">
        <f>P108*F108</f>
        <v>33000</v>
      </c>
      <c r="R108" s="549"/>
    </row>
    <row r="109" spans="2:18" ht="48">
      <c r="B109" s="539" t="s">
        <v>214</v>
      </c>
      <c r="C109" s="539" t="s">
        <v>655</v>
      </c>
      <c r="D109" s="539" t="s">
        <v>656</v>
      </c>
      <c r="E109" s="542" t="s">
        <v>687</v>
      </c>
      <c r="F109" s="540">
        <v>5600</v>
      </c>
      <c r="G109" s="541" t="s">
        <v>799</v>
      </c>
      <c r="H109" s="542" t="s">
        <v>800</v>
      </c>
      <c r="I109" s="543" t="s">
        <v>801</v>
      </c>
      <c r="J109" s="544" t="s">
        <v>674</v>
      </c>
      <c r="K109" s="543" t="s">
        <v>675</v>
      </c>
      <c r="L109" s="539">
        <v>4</v>
      </c>
      <c r="M109" s="539">
        <v>12</v>
      </c>
      <c r="N109" s="539">
        <f t="shared" si="1"/>
        <v>67200</v>
      </c>
      <c r="O109" s="539"/>
      <c r="P109" s="539"/>
      <c r="Q109" s="539"/>
      <c r="R109" s="549"/>
    </row>
    <row r="110" spans="2:18" ht="48">
      <c r="B110" s="539" t="s">
        <v>214</v>
      </c>
      <c r="C110" s="539" t="s">
        <v>655</v>
      </c>
      <c r="D110" s="539" t="s">
        <v>656</v>
      </c>
      <c r="E110" s="542" t="s">
        <v>687</v>
      </c>
      <c r="F110" s="540">
        <v>5600</v>
      </c>
      <c r="G110" s="541" t="s">
        <v>799</v>
      </c>
      <c r="H110" s="542" t="s">
        <v>800</v>
      </c>
      <c r="I110" s="543" t="s">
        <v>801</v>
      </c>
      <c r="J110" s="544" t="s">
        <v>674</v>
      </c>
      <c r="K110" s="543" t="s">
        <v>675</v>
      </c>
      <c r="L110" s="539"/>
      <c r="M110" s="539"/>
      <c r="N110" s="539"/>
      <c r="O110" s="539">
        <v>3</v>
      </c>
      <c r="P110" s="539">
        <v>6</v>
      </c>
      <c r="Q110" s="539">
        <f>P110*F110</f>
        <v>33600</v>
      </c>
      <c r="R110" s="549"/>
    </row>
    <row r="111" spans="2:18" ht="48">
      <c r="B111" s="539" t="s">
        <v>214</v>
      </c>
      <c r="C111" s="539" t="s">
        <v>655</v>
      </c>
      <c r="D111" s="539" t="s">
        <v>656</v>
      </c>
      <c r="E111" s="539" t="s">
        <v>802</v>
      </c>
      <c r="F111" s="540">
        <v>7000</v>
      </c>
      <c r="G111" s="541" t="s">
        <v>803</v>
      </c>
      <c r="H111" s="542" t="s">
        <v>804</v>
      </c>
      <c r="I111" s="543" t="s">
        <v>663</v>
      </c>
      <c r="J111" s="544" t="s">
        <v>664</v>
      </c>
      <c r="K111" s="543" t="s">
        <v>665</v>
      </c>
      <c r="L111" s="539">
        <v>4</v>
      </c>
      <c r="M111" s="539">
        <v>12</v>
      </c>
      <c r="N111" s="539">
        <f t="shared" si="1"/>
        <v>84000</v>
      </c>
      <c r="O111" s="539"/>
      <c r="P111" s="539"/>
      <c r="Q111" s="539"/>
      <c r="R111" s="549"/>
    </row>
    <row r="112" spans="2:18" ht="48">
      <c r="B112" s="539" t="s">
        <v>214</v>
      </c>
      <c r="C112" s="539" t="s">
        <v>655</v>
      </c>
      <c r="D112" s="539" t="s">
        <v>656</v>
      </c>
      <c r="E112" s="539" t="s">
        <v>802</v>
      </c>
      <c r="F112" s="540">
        <v>7000</v>
      </c>
      <c r="G112" s="541" t="s">
        <v>803</v>
      </c>
      <c r="H112" s="542" t="s">
        <v>804</v>
      </c>
      <c r="I112" s="543" t="s">
        <v>663</v>
      </c>
      <c r="J112" s="544" t="s">
        <v>664</v>
      </c>
      <c r="K112" s="543" t="s">
        <v>665</v>
      </c>
      <c r="L112" s="539"/>
      <c r="M112" s="539"/>
      <c r="N112" s="539"/>
      <c r="O112" s="539">
        <v>3</v>
      </c>
      <c r="P112" s="539">
        <v>6</v>
      </c>
      <c r="Q112" s="539">
        <f>P112*F112</f>
        <v>42000</v>
      </c>
      <c r="R112" s="549"/>
    </row>
    <row r="113" spans="2:18" ht="48">
      <c r="B113" s="539" t="s">
        <v>214</v>
      </c>
      <c r="C113" s="539" t="s">
        <v>655</v>
      </c>
      <c r="D113" s="539" t="s">
        <v>656</v>
      </c>
      <c r="E113" s="539" t="s">
        <v>802</v>
      </c>
      <c r="F113" s="540">
        <v>7000</v>
      </c>
      <c r="G113" s="541" t="s">
        <v>805</v>
      </c>
      <c r="H113" s="542" t="s">
        <v>806</v>
      </c>
      <c r="I113" s="543" t="s">
        <v>663</v>
      </c>
      <c r="J113" s="544" t="s">
        <v>664</v>
      </c>
      <c r="K113" s="543" t="s">
        <v>665</v>
      </c>
      <c r="L113" s="539">
        <v>4</v>
      </c>
      <c r="M113" s="539">
        <v>12</v>
      </c>
      <c r="N113" s="539">
        <f t="shared" si="1"/>
        <v>84000</v>
      </c>
      <c r="O113" s="539"/>
      <c r="P113" s="539"/>
      <c r="Q113" s="539"/>
      <c r="R113" s="549"/>
    </row>
    <row r="114" spans="2:18" ht="48">
      <c r="B114" s="539" t="s">
        <v>214</v>
      </c>
      <c r="C114" s="539" t="s">
        <v>655</v>
      </c>
      <c r="D114" s="539" t="s">
        <v>656</v>
      </c>
      <c r="E114" s="539" t="s">
        <v>802</v>
      </c>
      <c r="F114" s="540">
        <v>7000</v>
      </c>
      <c r="G114" s="541" t="s">
        <v>805</v>
      </c>
      <c r="H114" s="542" t="s">
        <v>806</v>
      </c>
      <c r="I114" s="543" t="s">
        <v>663</v>
      </c>
      <c r="J114" s="544" t="s">
        <v>664</v>
      </c>
      <c r="K114" s="543" t="s">
        <v>665</v>
      </c>
      <c r="L114" s="539"/>
      <c r="M114" s="539"/>
      <c r="N114" s="539"/>
      <c r="O114" s="539">
        <v>3</v>
      </c>
      <c r="P114" s="539">
        <v>6</v>
      </c>
      <c r="Q114" s="539">
        <f>P114*F114</f>
        <v>42000</v>
      </c>
      <c r="R114" s="549"/>
    </row>
    <row r="115" spans="2:18" ht="36">
      <c r="B115" s="539" t="s">
        <v>214</v>
      </c>
      <c r="C115" s="539" t="s">
        <v>655</v>
      </c>
      <c r="D115" s="539" t="s">
        <v>656</v>
      </c>
      <c r="E115" s="539" t="s">
        <v>740</v>
      </c>
      <c r="F115" s="540">
        <v>3000</v>
      </c>
      <c r="G115" s="541" t="s">
        <v>807</v>
      </c>
      <c r="H115" s="542" t="s">
        <v>808</v>
      </c>
      <c r="I115" s="543" t="s">
        <v>659</v>
      </c>
      <c r="J115" s="544" t="s">
        <v>659</v>
      </c>
      <c r="K115" s="543" t="s">
        <v>675</v>
      </c>
      <c r="L115" s="539">
        <v>4</v>
      </c>
      <c r="M115" s="539">
        <v>12</v>
      </c>
      <c r="N115" s="539">
        <f t="shared" si="1"/>
        <v>36000</v>
      </c>
      <c r="O115" s="539"/>
      <c r="P115" s="539"/>
      <c r="Q115" s="539"/>
      <c r="R115" s="549"/>
    </row>
    <row r="116" spans="2:18" ht="36">
      <c r="B116" s="539" t="s">
        <v>214</v>
      </c>
      <c r="C116" s="539" t="s">
        <v>655</v>
      </c>
      <c r="D116" s="539" t="s">
        <v>656</v>
      </c>
      <c r="E116" s="539" t="s">
        <v>740</v>
      </c>
      <c r="F116" s="540">
        <v>3000</v>
      </c>
      <c r="G116" s="541" t="s">
        <v>807</v>
      </c>
      <c r="H116" s="542" t="s">
        <v>808</v>
      </c>
      <c r="I116" s="543" t="s">
        <v>659</v>
      </c>
      <c r="J116" s="544" t="s">
        <v>659</v>
      </c>
      <c r="K116" s="543" t="s">
        <v>675</v>
      </c>
      <c r="L116" s="539"/>
      <c r="M116" s="539"/>
      <c r="N116" s="539"/>
      <c r="O116" s="539">
        <v>3</v>
      </c>
      <c r="P116" s="539">
        <v>6</v>
      </c>
      <c r="Q116" s="539">
        <f>P116*F116</f>
        <v>18000</v>
      </c>
      <c r="R116" s="549"/>
    </row>
    <row r="117" spans="2:18" ht="48">
      <c r="B117" s="539" t="s">
        <v>214</v>
      </c>
      <c r="C117" s="539" t="s">
        <v>655</v>
      </c>
      <c r="D117" s="539" t="s">
        <v>656</v>
      </c>
      <c r="E117" s="539" t="s">
        <v>699</v>
      </c>
      <c r="F117" s="540">
        <v>2200</v>
      </c>
      <c r="G117" s="541" t="s">
        <v>809</v>
      </c>
      <c r="H117" s="542" t="s">
        <v>810</v>
      </c>
      <c r="I117" s="543" t="s">
        <v>659</v>
      </c>
      <c r="J117" s="544" t="s">
        <v>659</v>
      </c>
      <c r="K117" s="543" t="s">
        <v>660</v>
      </c>
      <c r="L117" s="539">
        <v>4</v>
      </c>
      <c r="M117" s="539">
        <v>12</v>
      </c>
      <c r="N117" s="539">
        <f t="shared" si="1"/>
        <v>26400</v>
      </c>
      <c r="O117" s="539"/>
      <c r="P117" s="539"/>
      <c r="Q117" s="539"/>
      <c r="R117" s="549"/>
    </row>
    <row r="118" spans="2:18" ht="48">
      <c r="B118" s="539" t="s">
        <v>214</v>
      </c>
      <c r="C118" s="539" t="s">
        <v>655</v>
      </c>
      <c r="D118" s="539" t="s">
        <v>656</v>
      </c>
      <c r="E118" s="539" t="s">
        <v>699</v>
      </c>
      <c r="F118" s="540">
        <v>2200</v>
      </c>
      <c r="G118" s="541" t="s">
        <v>809</v>
      </c>
      <c r="H118" s="542" t="s">
        <v>810</v>
      </c>
      <c r="I118" s="543" t="s">
        <v>659</v>
      </c>
      <c r="J118" s="544" t="s">
        <v>659</v>
      </c>
      <c r="K118" s="543" t="s">
        <v>660</v>
      </c>
      <c r="L118" s="539"/>
      <c r="M118" s="539"/>
      <c r="N118" s="539"/>
      <c r="O118" s="539">
        <v>3</v>
      </c>
      <c r="P118" s="539">
        <v>6</v>
      </c>
      <c r="Q118" s="539">
        <f>P118*F118</f>
        <v>13200</v>
      </c>
      <c r="R118" s="549"/>
    </row>
    <row r="119" spans="2:18" ht="36">
      <c r="B119" s="539" t="s">
        <v>214</v>
      </c>
      <c r="C119" s="539" t="s">
        <v>655</v>
      </c>
      <c r="D119" s="539" t="s">
        <v>656</v>
      </c>
      <c r="E119" s="539" t="s">
        <v>811</v>
      </c>
      <c r="F119" s="540">
        <v>4000</v>
      </c>
      <c r="G119" s="541" t="s">
        <v>812</v>
      </c>
      <c r="H119" s="542" t="s">
        <v>813</v>
      </c>
      <c r="I119" s="543" t="s">
        <v>663</v>
      </c>
      <c r="J119" s="544" t="s">
        <v>674</v>
      </c>
      <c r="K119" s="543" t="s">
        <v>665</v>
      </c>
      <c r="L119" s="539">
        <v>3</v>
      </c>
      <c r="M119" s="539">
        <v>9</v>
      </c>
      <c r="N119" s="539">
        <f t="shared" si="1"/>
        <v>36000</v>
      </c>
      <c r="O119" s="539"/>
      <c r="P119" s="539"/>
      <c r="Q119" s="539"/>
      <c r="R119" s="549"/>
    </row>
    <row r="120" spans="2:18" ht="36">
      <c r="B120" s="539" t="s">
        <v>214</v>
      </c>
      <c r="C120" s="539" t="s">
        <v>655</v>
      </c>
      <c r="D120" s="539" t="s">
        <v>656</v>
      </c>
      <c r="E120" s="539" t="s">
        <v>663</v>
      </c>
      <c r="F120" s="540">
        <v>6500</v>
      </c>
      <c r="G120" s="541" t="s">
        <v>812</v>
      </c>
      <c r="H120" s="542" t="s">
        <v>813</v>
      </c>
      <c r="I120" s="543" t="s">
        <v>663</v>
      </c>
      <c r="J120" s="544" t="s">
        <v>814</v>
      </c>
      <c r="K120" s="543" t="s">
        <v>665</v>
      </c>
      <c r="L120" s="539">
        <v>1</v>
      </c>
      <c r="M120" s="539">
        <v>3</v>
      </c>
      <c r="N120" s="539">
        <f t="shared" si="1"/>
        <v>19500</v>
      </c>
      <c r="O120" s="539"/>
      <c r="P120" s="539"/>
      <c r="Q120" s="539"/>
      <c r="R120" s="549"/>
    </row>
    <row r="121" spans="2:18" ht="36">
      <c r="B121" s="539" t="s">
        <v>214</v>
      </c>
      <c r="C121" s="539" t="s">
        <v>655</v>
      </c>
      <c r="D121" s="539" t="s">
        <v>656</v>
      </c>
      <c r="E121" s="539" t="s">
        <v>663</v>
      </c>
      <c r="F121" s="540">
        <v>6500</v>
      </c>
      <c r="G121" s="541" t="s">
        <v>812</v>
      </c>
      <c r="H121" s="542" t="s">
        <v>813</v>
      </c>
      <c r="I121" s="543" t="s">
        <v>663</v>
      </c>
      <c r="J121" s="544" t="s">
        <v>814</v>
      </c>
      <c r="K121" s="543" t="s">
        <v>665</v>
      </c>
      <c r="L121" s="539"/>
      <c r="M121" s="539"/>
      <c r="N121" s="539"/>
      <c r="O121" s="539">
        <v>3</v>
      </c>
      <c r="P121" s="539">
        <v>6</v>
      </c>
      <c r="Q121" s="539">
        <f>P121*F121</f>
        <v>39000</v>
      </c>
      <c r="R121" s="549"/>
    </row>
    <row r="122" spans="2:18" ht="48">
      <c r="B122" s="539" t="s">
        <v>214</v>
      </c>
      <c r="C122" s="539" t="s">
        <v>655</v>
      </c>
      <c r="D122" s="539" t="s">
        <v>656</v>
      </c>
      <c r="E122" s="539" t="s">
        <v>681</v>
      </c>
      <c r="F122" s="540">
        <v>7000</v>
      </c>
      <c r="G122" s="541" t="s">
        <v>815</v>
      </c>
      <c r="H122" s="542" t="s">
        <v>816</v>
      </c>
      <c r="I122" s="543" t="s">
        <v>663</v>
      </c>
      <c r="J122" s="544" t="s">
        <v>664</v>
      </c>
      <c r="K122" s="543" t="s">
        <v>665</v>
      </c>
      <c r="L122" s="539">
        <v>4</v>
      </c>
      <c r="M122" s="539">
        <v>12</v>
      </c>
      <c r="N122" s="539">
        <f t="shared" si="1"/>
        <v>84000</v>
      </c>
      <c r="O122" s="539"/>
      <c r="P122" s="539"/>
      <c r="Q122" s="539"/>
      <c r="R122" s="549"/>
    </row>
    <row r="123" spans="2:18" ht="48">
      <c r="B123" s="539" t="s">
        <v>214</v>
      </c>
      <c r="C123" s="539" t="s">
        <v>655</v>
      </c>
      <c r="D123" s="539" t="s">
        <v>656</v>
      </c>
      <c r="E123" s="539" t="s">
        <v>681</v>
      </c>
      <c r="F123" s="540">
        <v>7000</v>
      </c>
      <c r="G123" s="541" t="s">
        <v>815</v>
      </c>
      <c r="H123" s="542" t="s">
        <v>816</v>
      </c>
      <c r="I123" s="543" t="s">
        <v>663</v>
      </c>
      <c r="J123" s="544" t="s">
        <v>664</v>
      </c>
      <c r="K123" s="543" t="s">
        <v>665</v>
      </c>
      <c r="L123" s="539"/>
      <c r="M123" s="539"/>
      <c r="N123" s="539"/>
      <c r="O123" s="539">
        <v>3</v>
      </c>
      <c r="P123" s="539">
        <v>6</v>
      </c>
      <c r="Q123" s="539">
        <f>P123*F123</f>
        <v>42000</v>
      </c>
      <c r="R123" s="549"/>
    </row>
    <row r="124" spans="2:18" ht="48">
      <c r="B124" s="539" t="s">
        <v>214</v>
      </c>
      <c r="C124" s="539" t="s">
        <v>655</v>
      </c>
      <c r="D124" s="539" t="s">
        <v>656</v>
      </c>
      <c r="E124" s="542" t="s">
        <v>699</v>
      </c>
      <c r="F124" s="540">
        <v>3500</v>
      </c>
      <c r="G124" s="550" t="s">
        <v>817</v>
      </c>
      <c r="H124" s="542" t="s">
        <v>818</v>
      </c>
      <c r="I124" s="543" t="s">
        <v>819</v>
      </c>
      <c r="J124" s="544" t="s">
        <v>820</v>
      </c>
      <c r="K124" s="543" t="s">
        <v>660</v>
      </c>
      <c r="L124" s="539">
        <v>2</v>
      </c>
      <c r="M124" s="539">
        <v>8</v>
      </c>
      <c r="N124" s="539">
        <f t="shared" si="1"/>
        <v>28000</v>
      </c>
      <c r="O124" s="539"/>
      <c r="P124" s="539"/>
      <c r="Q124" s="539"/>
      <c r="R124" s="549"/>
    </row>
    <row r="125" spans="2:18" ht="48">
      <c r="B125" s="539" t="s">
        <v>214</v>
      </c>
      <c r="C125" s="539" t="s">
        <v>655</v>
      </c>
      <c r="D125" s="539" t="s">
        <v>656</v>
      </c>
      <c r="E125" s="542" t="s">
        <v>699</v>
      </c>
      <c r="F125" s="540">
        <v>3500</v>
      </c>
      <c r="G125" s="550" t="s">
        <v>817</v>
      </c>
      <c r="H125" s="542" t="s">
        <v>818</v>
      </c>
      <c r="I125" s="543" t="s">
        <v>819</v>
      </c>
      <c r="J125" s="544" t="s">
        <v>820</v>
      </c>
      <c r="K125" s="543" t="s">
        <v>660</v>
      </c>
      <c r="L125" s="539"/>
      <c r="M125" s="539"/>
      <c r="N125" s="539"/>
      <c r="O125" s="539">
        <v>3</v>
      </c>
      <c r="P125" s="539">
        <v>6</v>
      </c>
      <c r="Q125" s="539">
        <f>P125*F125</f>
        <v>21000</v>
      </c>
      <c r="R125" s="549"/>
    </row>
    <row r="126" spans="2:18" ht="36">
      <c r="B126" s="539" t="s">
        <v>214</v>
      </c>
      <c r="C126" s="539" t="s">
        <v>655</v>
      </c>
      <c r="D126" s="539" t="s">
        <v>656</v>
      </c>
      <c r="E126" s="539" t="s">
        <v>697</v>
      </c>
      <c r="F126" s="540">
        <v>3200</v>
      </c>
      <c r="G126" s="541" t="s">
        <v>821</v>
      </c>
      <c r="H126" s="542" t="s">
        <v>822</v>
      </c>
      <c r="I126" s="543" t="s">
        <v>663</v>
      </c>
      <c r="J126" s="544" t="s">
        <v>703</v>
      </c>
      <c r="K126" s="543" t="s">
        <v>675</v>
      </c>
      <c r="L126" s="539">
        <v>4</v>
      </c>
      <c r="M126" s="539">
        <v>12</v>
      </c>
      <c r="N126" s="539">
        <f t="shared" si="1"/>
        <v>38400</v>
      </c>
      <c r="O126" s="539"/>
      <c r="P126" s="539"/>
      <c r="Q126" s="539"/>
      <c r="R126" s="549"/>
    </row>
    <row r="127" spans="2:18" ht="36">
      <c r="B127" s="539" t="s">
        <v>214</v>
      </c>
      <c r="C127" s="539" t="s">
        <v>655</v>
      </c>
      <c r="D127" s="539" t="s">
        <v>656</v>
      </c>
      <c r="E127" s="539" t="s">
        <v>697</v>
      </c>
      <c r="F127" s="540">
        <v>3200</v>
      </c>
      <c r="G127" s="541" t="s">
        <v>821</v>
      </c>
      <c r="H127" s="542" t="s">
        <v>822</v>
      </c>
      <c r="I127" s="543" t="s">
        <v>663</v>
      </c>
      <c r="J127" s="544" t="s">
        <v>703</v>
      </c>
      <c r="K127" s="543" t="s">
        <v>675</v>
      </c>
      <c r="L127" s="539"/>
      <c r="M127" s="539"/>
      <c r="N127" s="539"/>
      <c r="O127" s="539">
        <v>3</v>
      </c>
      <c r="P127" s="539">
        <v>6</v>
      </c>
      <c r="Q127" s="539">
        <f>P127*F127</f>
        <v>19200</v>
      </c>
      <c r="R127" s="549"/>
    </row>
    <row r="128" spans="2:18" ht="48">
      <c r="B128" s="539" t="s">
        <v>214</v>
      </c>
      <c r="C128" s="539" t="s">
        <v>655</v>
      </c>
      <c r="D128" s="539" t="s">
        <v>656</v>
      </c>
      <c r="E128" s="539" t="s">
        <v>782</v>
      </c>
      <c r="F128" s="540">
        <v>2500</v>
      </c>
      <c r="G128" s="541" t="s">
        <v>823</v>
      </c>
      <c r="H128" s="542" t="s">
        <v>824</v>
      </c>
      <c r="I128" s="543" t="s">
        <v>663</v>
      </c>
      <c r="J128" s="544" t="s">
        <v>664</v>
      </c>
      <c r="K128" s="543" t="s">
        <v>675</v>
      </c>
      <c r="L128" s="539">
        <v>4</v>
      </c>
      <c r="M128" s="539">
        <v>12</v>
      </c>
      <c r="N128" s="539">
        <f t="shared" si="1"/>
        <v>30000</v>
      </c>
      <c r="O128" s="539"/>
      <c r="P128" s="539"/>
      <c r="Q128" s="539"/>
      <c r="R128" s="549"/>
    </row>
    <row r="129" spans="2:18" ht="48">
      <c r="B129" s="539" t="s">
        <v>214</v>
      </c>
      <c r="C129" s="539" t="s">
        <v>655</v>
      </c>
      <c r="D129" s="539" t="s">
        <v>656</v>
      </c>
      <c r="E129" s="539" t="s">
        <v>782</v>
      </c>
      <c r="F129" s="540">
        <v>2500</v>
      </c>
      <c r="G129" s="541" t="s">
        <v>823</v>
      </c>
      <c r="H129" s="542" t="s">
        <v>824</v>
      </c>
      <c r="I129" s="543" t="s">
        <v>663</v>
      </c>
      <c r="J129" s="544" t="s">
        <v>664</v>
      </c>
      <c r="K129" s="543" t="s">
        <v>675</v>
      </c>
      <c r="L129" s="539"/>
      <c r="M129" s="539"/>
      <c r="N129" s="539"/>
      <c r="O129" s="539">
        <v>3</v>
      </c>
      <c r="P129" s="539">
        <v>6</v>
      </c>
      <c r="Q129" s="539">
        <f>P129*F129</f>
        <v>15000</v>
      </c>
      <c r="R129" s="549"/>
    </row>
    <row r="130" spans="2:18" ht="60">
      <c r="B130" s="539" t="s">
        <v>214</v>
      </c>
      <c r="C130" s="539" t="s">
        <v>655</v>
      </c>
      <c r="D130" s="539" t="s">
        <v>656</v>
      </c>
      <c r="E130" s="538" t="s">
        <v>825</v>
      </c>
      <c r="F130" s="540">
        <v>9000</v>
      </c>
      <c r="G130" s="541" t="s">
        <v>826</v>
      </c>
      <c r="H130" s="542" t="s">
        <v>827</v>
      </c>
      <c r="I130" s="543" t="s">
        <v>663</v>
      </c>
      <c r="J130" s="544" t="s">
        <v>664</v>
      </c>
      <c r="K130" s="543" t="s">
        <v>665</v>
      </c>
      <c r="L130" s="539">
        <v>4</v>
      </c>
      <c r="M130" s="539">
        <v>12</v>
      </c>
      <c r="N130" s="539">
        <f t="shared" si="1"/>
        <v>108000</v>
      </c>
      <c r="O130" s="539"/>
      <c r="P130" s="539"/>
      <c r="Q130" s="539"/>
      <c r="R130" s="549"/>
    </row>
    <row r="131" spans="2:18" ht="60">
      <c r="B131" s="539" t="s">
        <v>214</v>
      </c>
      <c r="C131" s="539" t="s">
        <v>655</v>
      </c>
      <c r="D131" s="539" t="s">
        <v>656</v>
      </c>
      <c r="E131" s="542" t="s">
        <v>828</v>
      </c>
      <c r="F131" s="540">
        <v>3500</v>
      </c>
      <c r="G131" s="541" t="s">
        <v>829</v>
      </c>
      <c r="H131" s="542" t="s">
        <v>830</v>
      </c>
      <c r="I131" s="543" t="s">
        <v>831</v>
      </c>
      <c r="J131" s="544" t="s">
        <v>674</v>
      </c>
      <c r="K131" s="543" t="s">
        <v>683</v>
      </c>
      <c r="L131" s="539">
        <v>3</v>
      </c>
      <c r="M131" s="539">
        <v>8</v>
      </c>
      <c r="N131" s="539">
        <f t="shared" si="1"/>
        <v>28000</v>
      </c>
      <c r="O131" s="539"/>
      <c r="P131" s="539"/>
      <c r="Q131" s="539"/>
      <c r="R131" s="549"/>
    </row>
    <row r="132" spans="2:18" ht="60">
      <c r="B132" s="539" t="s">
        <v>214</v>
      </c>
      <c r="C132" s="539" t="s">
        <v>655</v>
      </c>
      <c r="D132" s="539" t="s">
        <v>656</v>
      </c>
      <c r="E132" s="542" t="s">
        <v>828</v>
      </c>
      <c r="F132" s="540">
        <v>3500</v>
      </c>
      <c r="G132" s="541" t="s">
        <v>829</v>
      </c>
      <c r="H132" s="542" t="s">
        <v>830</v>
      </c>
      <c r="I132" s="543" t="s">
        <v>831</v>
      </c>
      <c r="J132" s="544" t="s">
        <v>674</v>
      </c>
      <c r="K132" s="543" t="s">
        <v>683</v>
      </c>
      <c r="L132" s="539"/>
      <c r="M132" s="539"/>
      <c r="N132" s="539"/>
      <c r="O132" s="539">
        <v>3</v>
      </c>
      <c r="P132" s="539">
        <v>6</v>
      </c>
      <c r="Q132" s="539">
        <f>P132*F132</f>
        <v>21000</v>
      </c>
      <c r="R132" s="549"/>
    </row>
    <row r="133" spans="2:18" ht="48">
      <c r="B133" s="539" t="s">
        <v>214</v>
      </c>
      <c r="C133" s="539" t="s">
        <v>655</v>
      </c>
      <c r="D133" s="539" t="s">
        <v>656</v>
      </c>
      <c r="E133" s="539" t="s">
        <v>697</v>
      </c>
      <c r="F133" s="540">
        <v>3800</v>
      </c>
      <c r="G133" s="541" t="s">
        <v>832</v>
      </c>
      <c r="H133" s="542" t="s">
        <v>833</v>
      </c>
      <c r="I133" s="551" t="s">
        <v>710</v>
      </c>
      <c r="J133" s="544" t="s">
        <v>711</v>
      </c>
      <c r="K133" s="551" t="s">
        <v>675</v>
      </c>
      <c r="L133" s="539">
        <v>4</v>
      </c>
      <c r="M133" s="539">
        <v>12</v>
      </c>
      <c r="N133" s="539">
        <f t="shared" si="1"/>
        <v>45600</v>
      </c>
      <c r="O133" s="539"/>
      <c r="P133" s="539"/>
      <c r="Q133" s="539"/>
      <c r="R133" s="549"/>
    </row>
    <row r="134" spans="2:18" ht="48">
      <c r="B134" s="539" t="s">
        <v>214</v>
      </c>
      <c r="C134" s="539" t="s">
        <v>655</v>
      </c>
      <c r="D134" s="539" t="s">
        <v>656</v>
      </c>
      <c r="E134" s="539" t="s">
        <v>697</v>
      </c>
      <c r="F134" s="540">
        <v>3800</v>
      </c>
      <c r="G134" s="541" t="s">
        <v>832</v>
      </c>
      <c r="H134" s="542" t="s">
        <v>833</v>
      </c>
      <c r="I134" s="551" t="s">
        <v>710</v>
      </c>
      <c r="J134" s="544" t="s">
        <v>711</v>
      </c>
      <c r="K134" s="551" t="s">
        <v>675</v>
      </c>
      <c r="L134" s="539"/>
      <c r="M134" s="539"/>
      <c r="N134" s="539"/>
      <c r="O134" s="539">
        <v>3</v>
      </c>
      <c r="P134" s="539">
        <v>6</v>
      </c>
      <c r="Q134" s="539">
        <f>P134*F134</f>
        <v>22800</v>
      </c>
      <c r="R134" s="549"/>
    </row>
    <row r="135" spans="2:18" ht="48">
      <c r="B135" s="539" t="s">
        <v>214</v>
      </c>
      <c r="C135" s="539" t="s">
        <v>655</v>
      </c>
      <c r="D135" s="539" t="s">
        <v>656</v>
      </c>
      <c r="E135" s="539" t="s">
        <v>834</v>
      </c>
      <c r="F135" s="540">
        <v>4500</v>
      </c>
      <c r="G135" s="547">
        <v>43088308</v>
      </c>
      <c r="H135" s="542" t="s">
        <v>835</v>
      </c>
      <c r="I135" s="551" t="s">
        <v>663</v>
      </c>
      <c r="J135" s="544" t="s">
        <v>674</v>
      </c>
      <c r="K135" s="551" t="s">
        <v>675</v>
      </c>
      <c r="L135" s="539">
        <v>1</v>
      </c>
      <c r="M135" s="539">
        <v>2</v>
      </c>
      <c r="N135" s="539">
        <f t="shared" si="1"/>
        <v>9000</v>
      </c>
      <c r="O135" s="539"/>
      <c r="P135" s="539"/>
      <c r="Q135" s="539"/>
      <c r="R135" s="549"/>
    </row>
    <row r="136" spans="2:18" ht="12.75">
      <c r="B136" s="533" t="s">
        <v>287</v>
      </c>
      <c r="C136" s="533"/>
      <c r="D136" s="533"/>
      <c r="E136" s="533"/>
      <c r="F136" s="533"/>
      <c r="G136" s="537"/>
      <c r="H136" s="533"/>
      <c r="I136" s="533"/>
      <c r="J136" s="537"/>
      <c r="K136" s="533"/>
      <c r="L136" s="533"/>
      <c r="M136" s="533"/>
      <c r="N136" s="533"/>
      <c r="O136" s="533"/>
      <c r="P136" s="533"/>
      <c r="Q136" s="533"/>
      <c r="R136" s="3"/>
    </row>
  </sheetData>
  <sheetProtection/>
  <mergeCells count="5">
    <mergeCell ref="B3:R3"/>
    <mergeCell ref="B7:F7"/>
    <mergeCell ref="G7:K7"/>
    <mergeCell ref="L7:N7"/>
    <mergeCell ref="O7:Q7"/>
  </mergeCells>
  <printOptions/>
  <pageMargins left="0.31496062992125984" right="0.7086614173228347" top="0.7480314960629921" bottom="0.7480314960629921" header="0.31496062992125984" footer="0.31496062992125984"/>
  <pageSetup horizontalDpi="200" verticalDpi="200" orientation="landscape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O23"/>
  <sheetViews>
    <sheetView tabSelected="1" workbookViewId="0" topLeftCell="A1">
      <selection activeCell="Q15" sqref="Q15"/>
    </sheetView>
  </sheetViews>
  <sheetFormatPr defaultColWidth="11.421875" defaultRowHeight="12.75"/>
  <cols>
    <col min="4" max="4" width="13.140625" style="0" customWidth="1"/>
    <col min="6" max="6" width="12.421875" style="0" customWidth="1"/>
    <col min="9" max="9" width="7.57421875" style="0" customWidth="1"/>
    <col min="10" max="10" width="7.8515625" style="0" customWidth="1"/>
  </cols>
  <sheetData>
    <row r="3" spans="2:15" ht="23.25">
      <c r="B3" s="631" t="s">
        <v>245</v>
      </c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</row>
    <row r="5" spans="2:15" ht="12.75">
      <c r="B5" s="242" t="s">
        <v>565</v>
      </c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</row>
    <row r="6" spans="2:15" ht="12.75">
      <c r="B6" s="234" t="s">
        <v>422</v>
      </c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</row>
    <row r="7" spans="2:15" ht="13.5" thickBot="1">
      <c r="B7" s="3"/>
      <c r="C7" s="3"/>
      <c r="D7" s="3"/>
      <c r="E7" s="3"/>
      <c r="F7" s="3"/>
      <c r="G7" s="3"/>
      <c r="H7" s="377"/>
      <c r="I7" s="377"/>
      <c r="J7" s="3"/>
      <c r="K7" s="3"/>
      <c r="L7" s="3"/>
      <c r="M7" s="3"/>
      <c r="N7" s="3"/>
      <c r="O7" s="3"/>
    </row>
    <row r="8" spans="2:15" ht="13.5" thickBot="1">
      <c r="B8" s="669" t="s">
        <v>566</v>
      </c>
      <c r="C8" s="671"/>
      <c r="D8" s="670" t="s">
        <v>567</v>
      </c>
      <c r="E8" s="670"/>
      <c r="F8" s="675" t="s">
        <v>568</v>
      </c>
      <c r="G8" s="676"/>
      <c r="H8" s="676"/>
      <c r="I8" s="676"/>
      <c r="J8" s="677"/>
      <c r="K8" s="670" t="s">
        <v>569</v>
      </c>
      <c r="L8" s="670"/>
      <c r="M8" s="671"/>
      <c r="N8" s="629" t="s">
        <v>570</v>
      </c>
      <c r="O8" s="678" t="s">
        <v>571</v>
      </c>
    </row>
    <row r="9" spans="2:15" ht="72.75" thickBot="1">
      <c r="B9" s="422" t="s">
        <v>572</v>
      </c>
      <c r="C9" s="428" t="s">
        <v>553</v>
      </c>
      <c r="D9" s="423" t="s">
        <v>573</v>
      </c>
      <c r="E9" s="429" t="s">
        <v>574</v>
      </c>
      <c r="F9" s="422" t="s">
        <v>575</v>
      </c>
      <c r="G9" s="424" t="s">
        <v>576</v>
      </c>
      <c r="H9" s="426" t="s">
        <v>577</v>
      </c>
      <c r="I9" s="426" t="s">
        <v>578</v>
      </c>
      <c r="J9" s="427" t="s">
        <v>12</v>
      </c>
      <c r="K9" s="422" t="s">
        <v>579</v>
      </c>
      <c r="L9" s="423" t="s">
        <v>580</v>
      </c>
      <c r="M9" s="430" t="s">
        <v>581</v>
      </c>
      <c r="N9" s="630"/>
      <c r="O9" s="679"/>
    </row>
    <row r="10" spans="2:15" ht="12.75">
      <c r="B10" s="378"/>
      <c r="C10" s="379"/>
      <c r="D10" s="380"/>
      <c r="E10" s="387"/>
      <c r="F10" s="326"/>
      <c r="G10" s="381"/>
      <c r="H10" s="381"/>
      <c r="I10" s="381"/>
      <c r="J10" s="388"/>
      <c r="K10" s="326"/>
      <c r="L10" s="380"/>
      <c r="M10" s="327"/>
      <c r="N10" s="327"/>
      <c r="O10" s="327"/>
    </row>
    <row r="11" spans="2:15" ht="12.75">
      <c r="B11" s="326"/>
      <c r="C11" s="327"/>
      <c r="D11" s="325"/>
      <c r="E11" s="389"/>
      <c r="F11" s="326"/>
      <c r="G11" s="381"/>
      <c r="H11" s="381"/>
      <c r="I11" s="381"/>
      <c r="J11" s="388"/>
      <c r="K11" s="326"/>
      <c r="L11" s="325"/>
      <c r="M11" s="327"/>
      <c r="N11" s="327"/>
      <c r="O11" s="327"/>
    </row>
    <row r="12" spans="2:15" ht="12.75">
      <c r="B12" s="326"/>
      <c r="C12" s="327"/>
      <c r="D12" s="325"/>
      <c r="E12" s="389"/>
      <c r="F12" s="326"/>
      <c r="G12" s="381"/>
      <c r="H12" s="381"/>
      <c r="I12" s="381"/>
      <c r="J12" s="388"/>
      <c r="K12" s="326"/>
      <c r="L12" s="325"/>
      <c r="M12" s="327"/>
      <c r="N12" s="327"/>
      <c r="O12" s="327"/>
    </row>
    <row r="13" spans="2:15" ht="12.75">
      <c r="B13" s="326"/>
      <c r="C13" s="327"/>
      <c r="D13" s="325"/>
      <c r="E13" s="389"/>
      <c r="F13" s="326"/>
      <c r="G13" s="381"/>
      <c r="H13" s="381"/>
      <c r="I13" s="381"/>
      <c r="J13" s="388"/>
      <c r="K13" s="326"/>
      <c r="L13" s="325"/>
      <c r="M13" s="327"/>
      <c r="N13" s="327"/>
      <c r="O13" s="327"/>
    </row>
    <row r="14" spans="2:15" ht="12.75">
      <c r="B14" s="326"/>
      <c r="C14" s="327"/>
      <c r="D14" s="325"/>
      <c r="E14" s="389"/>
      <c r="F14" s="326"/>
      <c r="G14" s="381"/>
      <c r="H14" s="390" t="s">
        <v>418</v>
      </c>
      <c r="I14" s="381"/>
      <c r="J14" s="388"/>
      <c r="K14" s="326"/>
      <c r="L14" s="325"/>
      <c r="M14" s="327"/>
      <c r="N14" s="327"/>
      <c r="O14" s="327"/>
    </row>
    <row r="15" spans="2:15" ht="12.75">
      <c r="B15" s="326"/>
      <c r="C15" s="327"/>
      <c r="D15" s="325"/>
      <c r="E15" s="389"/>
      <c r="F15" s="326"/>
      <c r="G15" s="381"/>
      <c r="H15" s="381"/>
      <c r="I15" s="381"/>
      <c r="J15" s="388"/>
      <c r="K15" s="326"/>
      <c r="L15" s="325"/>
      <c r="M15" s="327"/>
      <c r="N15" s="327"/>
      <c r="O15" s="327"/>
    </row>
    <row r="16" spans="2:15" ht="12.75">
      <c r="B16" s="326"/>
      <c r="C16" s="327"/>
      <c r="D16" s="325"/>
      <c r="E16" s="389"/>
      <c r="F16" s="326"/>
      <c r="G16" s="381"/>
      <c r="H16" s="381"/>
      <c r="I16" s="381"/>
      <c r="J16" s="388"/>
      <c r="K16" s="326"/>
      <c r="L16" s="325"/>
      <c r="M16" s="327"/>
      <c r="N16" s="327"/>
      <c r="O16" s="327"/>
    </row>
    <row r="17" spans="2:15" ht="12.75">
      <c r="B17" s="326"/>
      <c r="C17" s="327"/>
      <c r="D17" s="325"/>
      <c r="E17" s="389"/>
      <c r="F17" s="326"/>
      <c r="G17" s="381"/>
      <c r="H17" s="381"/>
      <c r="I17" s="381"/>
      <c r="J17" s="388"/>
      <c r="K17" s="326"/>
      <c r="L17" s="325"/>
      <c r="M17" s="327"/>
      <c r="N17" s="327"/>
      <c r="O17" s="327"/>
    </row>
    <row r="18" spans="2:15" ht="12.75">
      <c r="B18" s="326"/>
      <c r="C18" s="327"/>
      <c r="D18" s="325"/>
      <c r="E18" s="389"/>
      <c r="F18" s="326"/>
      <c r="G18" s="381"/>
      <c r="H18" s="381"/>
      <c r="I18" s="381"/>
      <c r="J18" s="388"/>
      <c r="K18" s="326"/>
      <c r="L18" s="325"/>
      <c r="M18" s="327"/>
      <c r="N18" s="327"/>
      <c r="O18" s="327"/>
    </row>
    <row r="19" spans="2:15" ht="12.75">
      <c r="B19" s="326"/>
      <c r="C19" s="327"/>
      <c r="D19" s="325"/>
      <c r="E19" s="389"/>
      <c r="F19" s="326"/>
      <c r="G19" s="381"/>
      <c r="H19" s="381"/>
      <c r="I19" s="381"/>
      <c r="J19" s="388"/>
      <c r="K19" s="326"/>
      <c r="L19" s="325"/>
      <c r="M19" s="327"/>
      <c r="N19" s="327"/>
      <c r="O19" s="327"/>
    </row>
    <row r="20" spans="2:15" ht="12.75">
      <c r="B20" s="326"/>
      <c r="C20" s="327"/>
      <c r="D20" s="325"/>
      <c r="E20" s="389"/>
      <c r="F20" s="326"/>
      <c r="G20" s="381"/>
      <c r="H20" s="381"/>
      <c r="I20" s="381"/>
      <c r="J20" s="388"/>
      <c r="K20" s="326"/>
      <c r="L20" s="325"/>
      <c r="M20" s="327"/>
      <c r="N20" s="327"/>
      <c r="O20" s="327"/>
    </row>
    <row r="21" spans="2:15" ht="13.5" thickBot="1">
      <c r="B21" s="382"/>
      <c r="C21" s="330"/>
      <c r="D21" s="325"/>
      <c r="E21" s="389"/>
      <c r="F21" s="326"/>
      <c r="G21" s="381"/>
      <c r="H21" s="381"/>
      <c r="I21" s="381"/>
      <c r="J21" s="388"/>
      <c r="K21" s="326"/>
      <c r="L21" s="325"/>
      <c r="M21" s="327"/>
      <c r="N21" s="327"/>
      <c r="O21" s="327"/>
    </row>
    <row r="22" spans="2:15" ht="13.5" thickBot="1">
      <c r="B22" s="383"/>
      <c r="C22" s="391"/>
      <c r="D22" s="386"/>
      <c r="E22" s="392"/>
      <c r="F22" s="393"/>
      <c r="G22" s="384"/>
      <c r="H22" s="384"/>
      <c r="I22" s="384"/>
      <c r="J22" s="394"/>
      <c r="K22" s="395"/>
      <c r="L22" s="386"/>
      <c r="M22" s="385"/>
      <c r="N22" s="385"/>
      <c r="O22" s="385"/>
    </row>
    <row r="23" spans="2:15" ht="12.75">
      <c r="B23" s="3" t="s">
        <v>582</v>
      </c>
      <c r="C23" s="3"/>
      <c r="D23" s="3"/>
      <c r="E23" s="3"/>
      <c r="F23" s="3"/>
      <c r="G23" s="3"/>
      <c r="H23" s="377"/>
      <c r="I23" s="377"/>
      <c r="J23" s="3"/>
      <c r="K23" s="3"/>
      <c r="L23" s="3"/>
      <c r="M23" s="3"/>
      <c r="N23" s="3"/>
      <c r="O23" s="3"/>
    </row>
  </sheetData>
  <sheetProtection/>
  <mergeCells count="7">
    <mergeCell ref="B3:O3"/>
    <mergeCell ref="B8:C8"/>
    <mergeCell ref="D8:E8"/>
    <mergeCell ref="F8:J8"/>
    <mergeCell ref="K8:M8"/>
    <mergeCell ref="N8:N9"/>
    <mergeCell ref="O8:O9"/>
  </mergeCells>
  <printOptions/>
  <pageMargins left="0.31496062992125984" right="0.7086614173228347" top="0.7480314960629921" bottom="0.7480314960629921" header="0.31496062992125984" footer="0.31496062992125984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14"/>
  <sheetViews>
    <sheetView zoomScalePageLayoutView="0" workbookViewId="0" topLeftCell="A10">
      <selection activeCell="H16" sqref="H16"/>
    </sheetView>
  </sheetViews>
  <sheetFormatPr defaultColWidth="11.421875" defaultRowHeight="12.75"/>
  <cols>
    <col min="1" max="1" width="7.7109375" style="0" customWidth="1"/>
    <col min="5" max="5" width="16.421875" style="0" customWidth="1"/>
  </cols>
  <sheetData>
    <row r="3" spans="2:15" ht="23.25">
      <c r="B3" s="589" t="s">
        <v>245</v>
      </c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</row>
    <row r="4" spans="2:15" ht="15"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</row>
    <row r="5" spans="2:15" ht="15">
      <c r="B5" s="552" t="s">
        <v>602</v>
      </c>
      <c r="C5" s="439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</row>
    <row r="6" spans="2:15" ht="15">
      <c r="B6" s="553" t="s">
        <v>603</v>
      </c>
      <c r="C6" s="440"/>
      <c r="D6" s="440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</row>
    <row r="7" spans="2:15" ht="15.75" thickBot="1">
      <c r="B7" s="440"/>
      <c r="C7" s="440"/>
      <c r="D7" s="440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</row>
    <row r="8" spans="2:15" ht="13.5" thickBot="1">
      <c r="B8" s="590" t="s">
        <v>604</v>
      </c>
      <c r="C8" s="590" t="s">
        <v>605</v>
      </c>
      <c r="D8" s="583" t="s">
        <v>606</v>
      </c>
      <c r="E8" s="583" t="s">
        <v>607</v>
      </c>
      <c r="F8" s="592" t="s">
        <v>608</v>
      </c>
      <c r="G8" s="583" t="s">
        <v>609</v>
      </c>
      <c r="H8" s="592" t="s">
        <v>610</v>
      </c>
      <c r="I8" s="583" t="s">
        <v>611</v>
      </c>
      <c r="J8" s="585">
        <v>2018</v>
      </c>
      <c r="K8" s="586"/>
      <c r="L8" s="585">
        <v>2019</v>
      </c>
      <c r="M8" s="586"/>
      <c r="N8" s="467">
        <v>2020</v>
      </c>
      <c r="O8" s="468">
        <v>2021</v>
      </c>
    </row>
    <row r="9" spans="2:15" ht="33" customHeight="1" thickBot="1">
      <c r="B9" s="591"/>
      <c r="C9" s="591"/>
      <c r="D9" s="584"/>
      <c r="E9" s="584"/>
      <c r="F9" s="593"/>
      <c r="G9" s="584"/>
      <c r="H9" s="593"/>
      <c r="I9" s="584"/>
      <c r="J9" s="469" t="s">
        <v>612</v>
      </c>
      <c r="K9" s="470" t="s">
        <v>613</v>
      </c>
      <c r="L9" s="469" t="s">
        <v>612</v>
      </c>
      <c r="M9" s="470" t="s">
        <v>613</v>
      </c>
      <c r="N9" s="471" t="s">
        <v>612</v>
      </c>
      <c r="O9" s="472" t="s">
        <v>612</v>
      </c>
    </row>
    <row r="10" spans="2:15" ht="48.75" customHeight="1">
      <c r="B10" s="587" t="s">
        <v>614</v>
      </c>
      <c r="C10" s="441"/>
      <c r="D10" s="442" t="s">
        <v>615</v>
      </c>
      <c r="E10" s="443" t="s">
        <v>616</v>
      </c>
      <c r="F10" s="444">
        <v>2017</v>
      </c>
      <c r="G10" s="445">
        <v>100</v>
      </c>
      <c r="H10" s="446" t="s">
        <v>617</v>
      </c>
      <c r="I10" s="447" t="s">
        <v>618</v>
      </c>
      <c r="J10" s="448" t="s">
        <v>619</v>
      </c>
      <c r="K10" s="449" t="s">
        <v>619</v>
      </c>
      <c r="L10" s="448">
        <v>100</v>
      </c>
      <c r="M10" s="449">
        <v>100</v>
      </c>
      <c r="N10" s="444">
        <v>100</v>
      </c>
      <c r="O10" s="445">
        <v>100</v>
      </c>
    </row>
    <row r="11" spans="2:15" ht="97.5" customHeight="1">
      <c r="B11" s="587"/>
      <c r="C11" s="441"/>
      <c r="D11" s="442" t="s">
        <v>620</v>
      </c>
      <c r="E11" s="450" t="s">
        <v>621</v>
      </c>
      <c r="F11" s="451">
        <v>2017</v>
      </c>
      <c r="G11" s="452">
        <v>40</v>
      </c>
      <c r="H11" s="453" t="s">
        <v>617</v>
      </c>
      <c r="I11" s="454" t="s">
        <v>622</v>
      </c>
      <c r="J11" s="455" t="s">
        <v>619</v>
      </c>
      <c r="K11" s="456" t="s">
        <v>619</v>
      </c>
      <c r="L11" s="455">
        <v>45</v>
      </c>
      <c r="M11" s="456">
        <v>61</v>
      </c>
      <c r="N11" s="451">
        <v>45</v>
      </c>
      <c r="O11" s="452">
        <v>45</v>
      </c>
    </row>
    <row r="12" spans="2:15" ht="50.25" customHeight="1">
      <c r="B12" s="587"/>
      <c r="C12" s="457"/>
      <c r="D12" s="442" t="s">
        <v>623</v>
      </c>
      <c r="E12" s="450" t="s">
        <v>624</v>
      </c>
      <c r="F12" s="451">
        <v>2017</v>
      </c>
      <c r="G12" s="452">
        <v>90</v>
      </c>
      <c r="H12" s="453" t="s">
        <v>617</v>
      </c>
      <c r="I12" s="454" t="s">
        <v>625</v>
      </c>
      <c r="J12" s="455" t="s">
        <v>619</v>
      </c>
      <c r="K12" s="456" t="s">
        <v>619</v>
      </c>
      <c r="L12" s="455">
        <v>90</v>
      </c>
      <c r="M12" s="456">
        <v>83</v>
      </c>
      <c r="N12" s="451">
        <v>90</v>
      </c>
      <c r="O12" s="452">
        <v>90</v>
      </c>
    </row>
    <row r="13" spans="2:15" ht="63" customHeight="1">
      <c r="B13" s="587"/>
      <c r="C13" s="457"/>
      <c r="D13" s="450" t="s">
        <v>626</v>
      </c>
      <c r="E13" s="450" t="s">
        <v>627</v>
      </c>
      <c r="F13" s="451">
        <v>2018</v>
      </c>
      <c r="G13" s="452" t="s">
        <v>619</v>
      </c>
      <c r="H13" s="453" t="s">
        <v>617</v>
      </c>
      <c r="I13" s="454" t="s">
        <v>628</v>
      </c>
      <c r="J13" s="455" t="s">
        <v>619</v>
      </c>
      <c r="K13" s="456" t="s">
        <v>619</v>
      </c>
      <c r="L13" s="455">
        <v>3</v>
      </c>
      <c r="M13" s="456">
        <v>1</v>
      </c>
      <c r="N13" s="451">
        <v>3</v>
      </c>
      <c r="O13" s="452">
        <v>3</v>
      </c>
    </row>
    <row r="14" spans="2:15" ht="68.25" thickBot="1">
      <c r="B14" s="588"/>
      <c r="C14" s="458"/>
      <c r="D14" s="459" t="s">
        <v>615</v>
      </c>
      <c r="E14" s="460" t="s">
        <v>629</v>
      </c>
      <c r="F14" s="461">
        <v>2017</v>
      </c>
      <c r="G14" s="462">
        <v>2.38</v>
      </c>
      <c r="H14" s="463" t="s">
        <v>617</v>
      </c>
      <c r="I14" s="464" t="s">
        <v>618</v>
      </c>
      <c r="J14" s="465">
        <v>10.59</v>
      </c>
      <c r="K14" s="466" t="s">
        <v>619</v>
      </c>
      <c r="L14" s="465">
        <v>11.85</v>
      </c>
      <c r="M14" s="466">
        <v>28.8</v>
      </c>
      <c r="N14" s="461">
        <v>13.44</v>
      </c>
      <c r="O14" s="462">
        <v>15.53</v>
      </c>
    </row>
  </sheetData>
  <sheetProtection/>
  <mergeCells count="12">
    <mergeCell ref="G8:G9"/>
    <mergeCell ref="H8:H9"/>
    <mergeCell ref="I8:I9"/>
    <mergeCell ref="J8:K8"/>
    <mergeCell ref="L8:M8"/>
    <mergeCell ref="B10:B14"/>
    <mergeCell ref="B3:O3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72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26"/>
  <sheetViews>
    <sheetView workbookViewId="0" topLeftCell="A1">
      <selection activeCell="D1" sqref="D1"/>
    </sheetView>
  </sheetViews>
  <sheetFormatPr defaultColWidth="11.28125" defaultRowHeight="12.75"/>
  <cols>
    <col min="1" max="1" width="50.57421875" style="0" customWidth="1"/>
    <col min="2" max="2" width="14.00390625" style="0" customWidth="1"/>
    <col min="3" max="3" width="13.421875" style="0" customWidth="1"/>
    <col min="4" max="4" width="13.00390625" style="0" customWidth="1"/>
  </cols>
  <sheetData>
    <row r="1" ht="12.75">
      <c r="A1" s="54" t="s">
        <v>177</v>
      </c>
    </row>
    <row r="2" ht="12.75">
      <c r="A2" s="55" t="s">
        <v>422</v>
      </c>
    </row>
    <row r="3" spans="1:4" s="80" customFormat="1" ht="27.75" customHeight="1">
      <c r="A3" s="191" t="s">
        <v>146</v>
      </c>
      <c r="B3" s="192">
        <v>2019</v>
      </c>
      <c r="C3" s="192">
        <v>2020</v>
      </c>
      <c r="D3" s="192">
        <v>2021</v>
      </c>
    </row>
    <row r="4" spans="1:4" s="81" customFormat="1" ht="12.75">
      <c r="A4" s="144" t="s">
        <v>143</v>
      </c>
      <c r="B4" s="139">
        <v>26655120</v>
      </c>
      <c r="C4" s="195">
        <v>26695872</v>
      </c>
      <c r="D4" s="195">
        <v>27219832</v>
      </c>
    </row>
    <row r="5" spans="1:4" s="81" customFormat="1" ht="12.75">
      <c r="A5" s="144" t="s">
        <v>144</v>
      </c>
      <c r="B5" s="139">
        <v>26376697</v>
      </c>
      <c r="C5" s="195">
        <v>17060750</v>
      </c>
      <c r="D5" s="195">
        <v>18752182</v>
      </c>
    </row>
    <row r="6" spans="1:4" s="81" customFormat="1" ht="12.75">
      <c r="A6" s="144" t="s">
        <v>145</v>
      </c>
      <c r="B6" s="144"/>
      <c r="C6" s="195"/>
      <c r="D6" s="195"/>
    </row>
    <row r="7" spans="1:4" s="83" customFormat="1" ht="27.75" customHeight="1">
      <c r="A7" s="193" t="s">
        <v>137</v>
      </c>
      <c r="B7" s="194">
        <f>SUM(B4:B6)</f>
        <v>53031817</v>
      </c>
      <c r="C7" s="196">
        <f>SUM(C4:C6)</f>
        <v>43756622</v>
      </c>
      <c r="D7" s="196">
        <f>SUM(D4:D6)</f>
        <v>45972014</v>
      </c>
    </row>
    <row r="8" spans="1:4" ht="12.75">
      <c r="A8" s="19"/>
      <c r="B8" s="19"/>
      <c r="C8" s="19"/>
      <c r="D8" s="19"/>
    </row>
    <row r="9" spans="1:4" s="80" customFormat="1" ht="27.75" customHeight="1">
      <c r="A9" s="191" t="s">
        <v>147</v>
      </c>
      <c r="B9" s="192">
        <v>2019</v>
      </c>
      <c r="C9" s="192" t="s">
        <v>178</v>
      </c>
      <c r="D9" s="192" t="s">
        <v>179</v>
      </c>
    </row>
    <row r="10" spans="1:4" s="81" customFormat="1" ht="12.75">
      <c r="A10" s="144" t="s">
        <v>143</v>
      </c>
      <c r="B10" s="139">
        <v>25973333</v>
      </c>
      <c r="C10" s="195">
        <v>26765871</v>
      </c>
      <c r="D10" s="195">
        <v>27219832</v>
      </c>
    </row>
    <row r="11" spans="1:4" s="81" customFormat="1" ht="12.75">
      <c r="A11" s="144" t="s">
        <v>144</v>
      </c>
      <c r="B11" s="139">
        <v>16882631</v>
      </c>
      <c r="C11" s="195">
        <v>20806646</v>
      </c>
      <c r="D11" s="195">
        <v>18752182</v>
      </c>
    </row>
    <row r="12" spans="1:4" s="81" customFormat="1" ht="12.75">
      <c r="A12" s="144" t="s">
        <v>145</v>
      </c>
      <c r="B12" s="139">
        <v>0</v>
      </c>
      <c r="C12" s="144"/>
      <c r="D12" s="195"/>
    </row>
    <row r="13" spans="1:4" s="83" customFormat="1" ht="27.75" customHeight="1">
      <c r="A13" s="193" t="s">
        <v>138</v>
      </c>
      <c r="B13" s="194">
        <f>SUM(B10:B12)</f>
        <v>42855964</v>
      </c>
      <c r="C13" s="197">
        <f>SUM(C10:C12)</f>
        <v>47572517</v>
      </c>
      <c r="D13" s="196">
        <f>SUM(D10:D12)</f>
        <v>45972014</v>
      </c>
    </row>
    <row r="14" spans="1:4" ht="12.75">
      <c r="A14" s="19"/>
      <c r="B14" s="19"/>
      <c r="C14" s="19"/>
      <c r="D14" s="19"/>
    </row>
    <row r="15" spans="1:4" s="80" customFormat="1" ht="27.75" customHeight="1">
      <c r="A15" s="191" t="s">
        <v>148</v>
      </c>
      <c r="B15" s="192">
        <v>2019</v>
      </c>
      <c r="C15" s="192" t="s">
        <v>178</v>
      </c>
      <c r="D15" s="192" t="s">
        <v>179</v>
      </c>
    </row>
    <row r="16" spans="1:4" s="81" customFormat="1" ht="12.75">
      <c r="A16" s="144" t="s">
        <v>143</v>
      </c>
      <c r="B16" s="139">
        <v>24685835</v>
      </c>
      <c r="C16" s="139">
        <v>27256753.9</v>
      </c>
      <c r="D16" s="195">
        <v>27219832</v>
      </c>
    </row>
    <row r="17" spans="1:4" s="81" customFormat="1" ht="12.75">
      <c r="A17" s="144" t="s">
        <v>144</v>
      </c>
      <c r="B17" s="139">
        <v>15860853.37</v>
      </c>
      <c r="C17" s="139">
        <v>18777618.1</v>
      </c>
      <c r="D17" s="195">
        <v>18752182</v>
      </c>
    </row>
    <row r="18" spans="1:4" s="81" customFormat="1" ht="12.75">
      <c r="A18" s="144" t="s">
        <v>145</v>
      </c>
      <c r="B18" s="139">
        <v>0</v>
      </c>
      <c r="C18" s="144"/>
      <c r="D18" s="195"/>
    </row>
    <row r="19" spans="1:4" s="83" customFormat="1" ht="27.75" customHeight="1">
      <c r="A19" s="193" t="s">
        <v>139</v>
      </c>
      <c r="B19" s="143">
        <f>SUM(B16:B18)</f>
        <v>40546688.37</v>
      </c>
      <c r="C19" s="196">
        <f>SUM(C16:C18)</f>
        <v>46034372</v>
      </c>
      <c r="D19" s="196">
        <f>SUM(D16:D18)</f>
        <v>45972014</v>
      </c>
    </row>
    <row r="20" ht="12.75">
      <c r="A20" s="131" t="s">
        <v>180</v>
      </c>
    </row>
    <row r="21" ht="12.75">
      <c r="A21" s="132" t="s">
        <v>181</v>
      </c>
    </row>
    <row r="23" ht="12.75">
      <c r="D23" s="558"/>
    </row>
    <row r="24" spans="2:4" ht="12.75">
      <c r="B24" s="559"/>
      <c r="D24" s="558"/>
    </row>
    <row r="26" ht="12.75">
      <c r="C26" s="560"/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  <headerFooter>
    <oddHeader xml:space="preserve">&amp;L&amp;"Arial,Negrita"&amp;14
&amp;C&amp;"Arial,Negrita"&amp;18PROYECTO DE PRESUPUESTO 2021&amp;R&amp;"Arial,Negrita"&amp;14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54"/>
  <sheetViews>
    <sheetView workbookViewId="0" topLeftCell="A1">
      <selection activeCell="F26" sqref="F26"/>
    </sheetView>
  </sheetViews>
  <sheetFormatPr defaultColWidth="11.28125" defaultRowHeight="12.75"/>
  <cols>
    <col min="1" max="1" width="43.140625" style="0" customWidth="1"/>
    <col min="2" max="3" width="14.28125" style="0" customWidth="1"/>
    <col min="4" max="4" width="14.8515625" style="0" customWidth="1"/>
  </cols>
  <sheetData>
    <row r="1" ht="12.75">
      <c r="A1" s="54" t="s">
        <v>182</v>
      </c>
    </row>
    <row r="2" ht="12.75">
      <c r="A2" s="55" t="s">
        <v>599</v>
      </c>
    </row>
    <row r="3" spans="1:4" s="80" customFormat="1" ht="27.75" customHeight="1">
      <c r="A3" s="84" t="s">
        <v>142</v>
      </c>
      <c r="B3" s="85">
        <v>2019</v>
      </c>
      <c r="C3" s="85">
        <v>2020</v>
      </c>
      <c r="D3" s="85">
        <v>2021</v>
      </c>
    </row>
    <row r="4" spans="1:4" s="82" customFormat="1" ht="12.75">
      <c r="A4" s="140" t="s">
        <v>59</v>
      </c>
      <c r="B4" s="140"/>
      <c r="C4" s="140"/>
      <c r="D4" s="140"/>
    </row>
    <row r="5" spans="1:4" s="81" customFormat="1" ht="12.75">
      <c r="A5" s="138" t="s">
        <v>48</v>
      </c>
      <c r="B5" s="139"/>
      <c r="C5" s="139"/>
      <c r="D5" s="139"/>
    </row>
    <row r="6" spans="1:4" s="81" customFormat="1" ht="12.75">
      <c r="A6" s="138" t="s">
        <v>49</v>
      </c>
      <c r="B6" s="139">
        <f>17304003+11490177</f>
        <v>28794180</v>
      </c>
      <c r="C6" s="139">
        <v>29409239</v>
      </c>
      <c r="D6" s="139">
        <v>29149045</v>
      </c>
    </row>
    <row r="7" spans="1:4" s="81" customFormat="1" ht="12.75">
      <c r="A7" s="138" t="s">
        <v>50</v>
      </c>
      <c r="B7" s="139">
        <f>526492+2405656</f>
        <v>2932148</v>
      </c>
      <c r="C7" s="139">
        <v>2727485</v>
      </c>
      <c r="D7" s="139">
        <v>2798753</v>
      </c>
    </row>
    <row r="8" spans="1:4" s="81" customFormat="1" ht="12.75">
      <c r="A8" s="138" t="s">
        <v>51</v>
      </c>
      <c r="B8" s="139">
        <f>8185635+2480864+10000</f>
        <v>10676499</v>
      </c>
      <c r="C8" s="139">
        <f>10205192+14000</f>
        <v>10219192</v>
      </c>
      <c r="D8" s="139">
        <f>12270178+12400</f>
        <v>12282578</v>
      </c>
    </row>
    <row r="9" spans="1:4" s="81" customFormat="1" ht="12.75">
      <c r="A9" s="138" t="s">
        <v>66</v>
      </c>
      <c r="B9" s="139">
        <v>42000</v>
      </c>
      <c r="C9" s="139">
        <v>118000</v>
      </c>
      <c r="D9" s="139">
        <v>140300</v>
      </c>
    </row>
    <row r="10" spans="1:4" s="81" customFormat="1" ht="12.75">
      <c r="A10" s="138" t="s">
        <v>67</v>
      </c>
      <c r="B10" s="139">
        <v>514838</v>
      </c>
      <c r="C10" s="139">
        <v>514838</v>
      </c>
      <c r="D10" s="139">
        <v>514838</v>
      </c>
    </row>
    <row r="11" spans="1:4" s="81" customFormat="1" ht="12.75">
      <c r="A11" s="140" t="s">
        <v>47</v>
      </c>
      <c r="B11" s="141">
        <f>SUM(B6:B10)</f>
        <v>42959665</v>
      </c>
      <c r="C11" s="141">
        <f>SUM(C6:C10)</f>
        <v>42988754</v>
      </c>
      <c r="D11" s="141">
        <f>SUM(D6:D10)</f>
        <v>44885514</v>
      </c>
    </row>
    <row r="12" spans="1:4" s="81" customFormat="1" ht="12.75">
      <c r="A12" s="138" t="s">
        <v>65</v>
      </c>
      <c r="B12" s="139"/>
      <c r="C12" s="139"/>
      <c r="D12" s="139"/>
    </row>
    <row r="13" spans="1:4" s="81" customFormat="1" ht="12.75">
      <c r="A13" s="138" t="s">
        <v>68</v>
      </c>
      <c r="B13" s="139"/>
      <c r="C13" s="139"/>
      <c r="D13" s="139"/>
    </row>
    <row r="14" spans="1:4" s="81" customFormat="1" ht="12.75">
      <c r="A14" s="138" t="s">
        <v>56</v>
      </c>
      <c r="B14" s="139">
        <f>10000000+72152</f>
        <v>10072152</v>
      </c>
      <c r="C14" s="139">
        <v>767868</v>
      </c>
      <c r="D14" s="139">
        <v>1086500</v>
      </c>
    </row>
    <row r="15" spans="1:4" s="81" customFormat="1" ht="12.75">
      <c r="A15" s="138" t="s">
        <v>57</v>
      </c>
      <c r="B15" s="139"/>
      <c r="C15" s="139"/>
      <c r="D15" s="139"/>
    </row>
    <row r="16" spans="1:4" s="81" customFormat="1" ht="12.75">
      <c r="A16" s="140" t="s">
        <v>42</v>
      </c>
      <c r="B16" s="141">
        <f>SUM(B14:B15)</f>
        <v>10072152</v>
      </c>
      <c r="C16" s="141">
        <f>SUM(C14:C15)</f>
        <v>767868</v>
      </c>
      <c r="D16" s="141">
        <f>SUM(D14:D15)</f>
        <v>1086500</v>
      </c>
    </row>
    <row r="17" spans="1:4" s="81" customFormat="1" ht="12.75">
      <c r="A17" s="138" t="s">
        <v>58</v>
      </c>
      <c r="B17" s="139"/>
      <c r="C17" s="139"/>
      <c r="D17" s="139"/>
    </row>
    <row r="18" spans="1:4" s="83" customFormat="1" ht="18" customHeight="1">
      <c r="A18" s="142" t="s">
        <v>137</v>
      </c>
      <c r="B18" s="143">
        <f>B11+B16</f>
        <v>53031817</v>
      </c>
      <c r="C18" s="143">
        <f>C11+C16</f>
        <v>43756622</v>
      </c>
      <c r="D18" s="143">
        <f>D11+D16</f>
        <v>45972014</v>
      </c>
    </row>
    <row r="20" spans="1:4" s="80" customFormat="1" ht="27.75" customHeight="1">
      <c r="A20" s="84" t="s">
        <v>141</v>
      </c>
      <c r="B20" s="85">
        <v>2019</v>
      </c>
      <c r="C20" s="85">
        <v>2020</v>
      </c>
      <c r="D20" s="85">
        <v>2021</v>
      </c>
    </row>
    <row r="21" spans="1:4" s="82" customFormat="1" ht="12.75">
      <c r="A21" s="140" t="s">
        <v>59</v>
      </c>
      <c r="B21" s="140"/>
      <c r="C21" s="140"/>
      <c r="D21" s="140"/>
    </row>
    <row r="22" spans="1:4" s="81" customFormat="1" ht="12.75">
      <c r="A22" s="138" t="s">
        <v>48</v>
      </c>
      <c r="B22" s="139"/>
      <c r="C22" s="139"/>
      <c r="D22" s="139"/>
    </row>
    <row r="23" spans="1:4" s="81" customFormat="1" ht="12.75">
      <c r="A23" s="138" t="s">
        <v>49</v>
      </c>
      <c r="B23" s="139">
        <f>17208408+11391546</f>
        <v>28599954</v>
      </c>
      <c r="C23" s="139">
        <v>29409239</v>
      </c>
      <c r="D23" s="139">
        <v>29149045</v>
      </c>
    </row>
    <row r="24" spans="1:4" s="81" customFormat="1" ht="12.75">
      <c r="A24" s="138" t="s">
        <v>50</v>
      </c>
      <c r="B24" s="139">
        <f>655069+1848223</f>
        <v>2503292</v>
      </c>
      <c r="C24" s="139">
        <v>2735765</v>
      </c>
      <c r="D24" s="139">
        <v>2798753</v>
      </c>
    </row>
    <row r="25" spans="1:4" s="81" customFormat="1" ht="12.75">
      <c r="A25" s="138" t="s">
        <v>51</v>
      </c>
      <c r="B25" s="139">
        <f>7180583+88000+3373159+36356</f>
        <v>10678098</v>
      </c>
      <c r="C25" s="139">
        <f>12804567+59742</f>
        <v>12864309</v>
      </c>
      <c r="D25" s="139">
        <f>12270178+12400</f>
        <v>12282578</v>
      </c>
    </row>
    <row r="26" spans="1:4" s="81" customFormat="1" ht="12.75">
      <c r="A26" s="138" t="s">
        <v>66</v>
      </c>
      <c r="B26" s="139">
        <f>121709</f>
        <v>121709</v>
      </c>
      <c r="C26" s="139">
        <v>126000</v>
      </c>
      <c r="D26" s="139">
        <v>140300</v>
      </c>
    </row>
    <row r="27" spans="1:4" s="81" customFormat="1" ht="12.75">
      <c r="A27" s="138" t="s">
        <v>67</v>
      </c>
      <c r="B27" s="139">
        <f>365391+133347</f>
        <v>498738</v>
      </c>
      <c r="C27" s="139">
        <v>452032</v>
      </c>
      <c r="D27" s="139">
        <v>514838</v>
      </c>
    </row>
    <row r="28" spans="1:4" s="81" customFormat="1" ht="12.75">
      <c r="A28" s="140" t="s">
        <v>47</v>
      </c>
      <c r="B28" s="141">
        <f>SUM(B23:B27)</f>
        <v>42401791</v>
      </c>
      <c r="C28" s="141">
        <f>SUM(C23:C27)</f>
        <v>45587345</v>
      </c>
      <c r="D28" s="141">
        <f>SUM(D23:D27)</f>
        <v>44885514</v>
      </c>
    </row>
    <row r="29" spans="1:4" s="81" customFormat="1" ht="12.75">
      <c r="A29" s="138" t="s">
        <v>65</v>
      </c>
      <c r="B29" s="139"/>
      <c r="C29" s="139"/>
      <c r="D29" s="139"/>
    </row>
    <row r="30" spans="1:4" s="81" customFormat="1" ht="12.75">
      <c r="A30" s="138" t="s">
        <v>68</v>
      </c>
      <c r="B30" s="139"/>
      <c r="C30" s="139"/>
      <c r="D30" s="139"/>
    </row>
    <row r="31" spans="1:4" s="81" customFormat="1" ht="12.75">
      <c r="A31" s="138" t="s">
        <v>56</v>
      </c>
      <c r="B31" s="139">
        <f>354173+100000</f>
        <v>454173</v>
      </c>
      <c r="C31" s="139">
        <v>1985172</v>
      </c>
      <c r="D31" s="139">
        <v>1086500</v>
      </c>
    </row>
    <row r="32" spans="1:4" s="81" customFormat="1" ht="12.75">
      <c r="A32" s="138" t="s">
        <v>57</v>
      </c>
      <c r="B32" s="139"/>
      <c r="C32" s="139"/>
      <c r="D32" s="139"/>
    </row>
    <row r="33" spans="1:4" s="81" customFormat="1" ht="12.75">
      <c r="A33" s="140" t="s">
        <v>42</v>
      </c>
      <c r="B33" s="141">
        <f>SUM(B31:B32)</f>
        <v>454173</v>
      </c>
      <c r="C33" s="141">
        <f>SUM(C31:C32)</f>
        <v>1985172</v>
      </c>
      <c r="D33" s="141">
        <f>SUM(D31:D32)</f>
        <v>1086500</v>
      </c>
    </row>
    <row r="34" spans="1:4" s="81" customFormat="1" ht="12.75">
      <c r="A34" s="138" t="s">
        <v>58</v>
      </c>
      <c r="B34" s="139"/>
      <c r="C34" s="139"/>
      <c r="D34" s="139"/>
    </row>
    <row r="35" spans="1:4" s="83" customFormat="1" ht="18" customHeight="1">
      <c r="A35" s="142" t="s">
        <v>138</v>
      </c>
      <c r="B35" s="143">
        <f>B28+B33</f>
        <v>42855964</v>
      </c>
      <c r="C35" s="143">
        <f>C28+C33</f>
        <v>47572517</v>
      </c>
      <c r="D35" s="143">
        <f>D28+D33</f>
        <v>45972014</v>
      </c>
    </row>
    <row r="37" spans="1:4" s="80" customFormat="1" ht="27.75" customHeight="1">
      <c r="A37" s="84" t="s">
        <v>140</v>
      </c>
      <c r="B37" s="85">
        <v>2019</v>
      </c>
      <c r="C37" s="85">
        <v>2020</v>
      </c>
      <c r="D37" s="85">
        <v>2021</v>
      </c>
    </row>
    <row r="38" spans="1:4" s="82" customFormat="1" ht="12.75">
      <c r="A38" s="140" t="s">
        <v>59</v>
      </c>
      <c r="B38" s="140"/>
      <c r="C38" s="140"/>
      <c r="D38" s="140"/>
    </row>
    <row r="39" spans="1:4" s="81" customFormat="1" ht="12.75">
      <c r="A39" s="138" t="s">
        <v>48</v>
      </c>
      <c r="B39" s="144"/>
      <c r="C39" s="144"/>
      <c r="D39" s="144"/>
    </row>
    <row r="40" spans="1:4" s="81" customFormat="1" ht="12.75">
      <c r="A40" s="138" t="s">
        <v>49</v>
      </c>
      <c r="B40" s="139">
        <f>16448606.07+10868955.15</f>
        <v>27317561.22</v>
      </c>
      <c r="C40" s="139">
        <v>28513467</v>
      </c>
      <c r="D40" s="139">
        <v>29149045</v>
      </c>
    </row>
    <row r="41" spans="1:4" s="81" customFormat="1" ht="12.75">
      <c r="A41" s="138" t="s">
        <v>50</v>
      </c>
      <c r="B41" s="139">
        <f>647095.78+1595661.06</f>
        <v>2242756.84</v>
      </c>
      <c r="C41" s="139">
        <v>2573341</v>
      </c>
      <c r="D41" s="139">
        <v>2798753</v>
      </c>
    </row>
    <row r="42" spans="1:4" s="81" customFormat="1" ht="12.75">
      <c r="A42" s="138" t="s">
        <v>51</v>
      </c>
      <c r="B42" s="139">
        <f>6696123.35+3170640.84+75904.77+20650</f>
        <v>9963318.959999999</v>
      </c>
      <c r="C42" s="139">
        <f>12353937+58814</f>
        <v>12412751</v>
      </c>
      <c r="D42" s="139">
        <f>12270178+12400</f>
        <v>12282578</v>
      </c>
    </row>
    <row r="43" spans="1:4" s="81" customFormat="1" ht="12.75">
      <c r="A43" s="138" t="s">
        <v>66</v>
      </c>
      <c r="B43" s="139">
        <f>121565.59</f>
        <v>121565.59</v>
      </c>
      <c r="C43" s="139">
        <v>126000</v>
      </c>
      <c r="D43" s="139">
        <v>140300</v>
      </c>
    </row>
    <row r="44" spans="1:4" s="81" customFormat="1" ht="12.75">
      <c r="A44" s="138" t="s">
        <v>67</v>
      </c>
      <c r="B44" s="139">
        <f>359827+133346.32</f>
        <v>493173.32</v>
      </c>
      <c r="C44" s="139">
        <v>451990</v>
      </c>
      <c r="D44" s="139">
        <v>514838</v>
      </c>
    </row>
    <row r="45" spans="1:4" s="81" customFormat="1" ht="12.75">
      <c r="A45" s="140" t="s">
        <v>47</v>
      </c>
      <c r="B45" s="141">
        <f>SUM(B40:B44)</f>
        <v>40138375.93</v>
      </c>
      <c r="C45" s="141">
        <f>SUM(C40:C44)</f>
        <v>44077549</v>
      </c>
      <c r="D45" s="141">
        <f>SUM(D40:D44)</f>
        <v>44885514</v>
      </c>
    </row>
    <row r="46" spans="1:4" s="81" customFormat="1" ht="12.75">
      <c r="A46" s="138" t="s">
        <v>65</v>
      </c>
      <c r="B46" s="139"/>
      <c r="C46" s="139"/>
      <c r="D46" s="139"/>
    </row>
    <row r="47" spans="1:4" s="81" customFormat="1" ht="12.75">
      <c r="A47" s="138" t="s">
        <v>68</v>
      </c>
      <c r="B47" s="139"/>
      <c r="C47" s="139"/>
      <c r="D47" s="139"/>
    </row>
    <row r="48" spans="1:4" s="81" customFormat="1" ht="12.75">
      <c r="A48" s="138" t="s">
        <v>56</v>
      </c>
      <c r="B48" s="139">
        <f>336712.44+71600</f>
        <v>408312.44</v>
      </c>
      <c r="C48" s="139">
        <v>1956823</v>
      </c>
      <c r="D48" s="139">
        <v>1086500</v>
      </c>
    </row>
    <row r="49" spans="1:4" s="81" customFormat="1" ht="12.75">
      <c r="A49" s="138" t="s">
        <v>57</v>
      </c>
      <c r="B49" s="139"/>
      <c r="C49" s="139"/>
      <c r="D49" s="139"/>
    </row>
    <row r="50" spans="1:4" s="81" customFormat="1" ht="12.75">
      <c r="A50" s="140" t="s">
        <v>42</v>
      </c>
      <c r="B50" s="141">
        <f>SUM(B48:B49)</f>
        <v>408312.44</v>
      </c>
      <c r="C50" s="141">
        <f>SUM(C48:C49)</f>
        <v>1956823</v>
      </c>
      <c r="D50" s="141">
        <f>SUM(D48:D49)</f>
        <v>1086500</v>
      </c>
    </row>
    <row r="51" spans="1:4" s="81" customFormat="1" ht="12.75">
      <c r="A51" s="138" t="s">
        <v>58</v>
      </c>
      <c r="B51" s="139"/>
      <c r="C51" s="139"/>
      <c r="D51" s="139"/>
    </row>
    <row r="52" spans="1:4" s="83" customFormat="1" ht="18" customHeight="1">
      <c r="A52" s="145" t="s">
        <v>139</v>
      </c>
      <c r="B52" s="143">
        <f>B45+B50</f>
        <v>40546688.37</v>
      </c>
      <c r="C52" s="143">
        <f>C45+C50</f>
        <v>46034372</v>
      </c>
      <c r="D52" s="143">
        <f>D45+D50</f>
        <v>45972014</v>
      </c>
    </row>
    <row r="53" ht="12.75">
      <c r="A53" s="473" t="s">
        <v>180</v>
      </c>
    </row>
    <row r="54" ht="12.75">
      <c r="A54" s="474" t="s">
        <v>181</v>
      </c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&amp;C&amp;"Arial,Negrita"&amp;18PROYECTO DE PRESUPUESTO 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W14"/>
  <sheetViews>
    <sheetView zoomScaleSheetLayoutView="100" workbookViewId="0" topLeftCell="A1">
      <selection activeCell="H2" sqref="H2"/>
    </sheetView>
  </sheetViews>
  <sheetFormatPr defaultColWidth="11.28125" defaultRowHeight="12.75"/>
  <cols>
    <col min="1" max="1" width="17.57421875" style="58" customWidth="1"/>
    <col min="2" max="2" width="20.421875" style="58" customWidth="1"/>
    <col min="3" max="3" width="3.8515625" style="58" customWidth="1"/>
    <col min="4" max="4" width="9.140625" style="58" customWidth="1"/>
    <col min="5" max="5" width="8.421875" style="58" customWidth="1"/>
    <col min="6" max="6" width="9.140625" style="58" customWidth="1"/>
    <col min="7" max="7" width="7.00390625" style="58" customWidth="1"/>
    <col min="8" max="8" width="6.8515625" style="58" customWidth="1"/>
    <col min="9" max="9" width="8.7109375" style="58" customWidth="1"/>
    <col min="10" max="10" width="5.00390625" style="58" customWidth="1"/>
    <col min="11" max="11" width="3.28125" style="58" customWidth="1"/>
    <col min="12" max="12" width="7.57421875" style="58" customWidth="1"/>
    <col min="13" max="15" width="5.00390625" style="58" customWidth="1"/>
    <col min="16" max="16" width="8.140625" style="58" customWidth="1"/>
    <col min="17" max="17" width="9.00390625" style="58" customWidth="1"/>
    <col min="18" max="18" width="5.00390625" style="58" customWidth="1"/>
    <col min="19" max="16384" width="11.28125" style="58" customWidth="1"/>
  </cols>
  <sheetData>
    <row r="1" spans="1:18" s="57" customFormat="1" ht="11.25">
      <c r="A1" s="54" t="s">
        <v>183</v>
      </c>
      <c r="B1" s="54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23" s="57" customFormat="1" ht="12" thickBot="1">
      <c r="A2" s="54" t="s">
        <v>599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6"/>
      <c r="T2" s="56"/>
      <c r="U2" s="56"/>
      <c r="V2" s="56"/>
      <c r="W2" s="56"/>
    </row>
    <row r="3" spans="1:18" s="61" customFormat="1" ht="27.75" customHeight="1" thickBot="1">
      <c r="A3" s="594" t="s">
        <v>136</v>
      </c>
      <c r="B3" s="594" t="s">
        <v>116</v>
      </c>
      <c r="C3" s="596" t="s">
        <v>59</v>
      </c>
      <c r="D3" s="597"/>
      <c r="E3" s="597"/>
      <c r="F3" s="597"/>
      <c r="G3" s="597"/>
      <c r="H3" s="597"/>
      <c r="I3" s="598"/>
      <c r="J3" s="596" t="s">
        <v>47</v>
      </c>
      <c r="K3" s="597"/>
      <c r="L3" s="597"/>
      <c r="M3" s="597"/>
      <c r="N3" s="598"/>
      <c r="O3" s="596" t="s">
        <v>42</v>
      </c>
      <c r="P3" s="598"/>
      <c r="Q3" s="596" t="s">
        <v>2</v>
      </c>
      <c r="R3" s="598"/>
    </row>
    <row r="4" spans="1:18" s="62" customFormat="1" ht="109.5" customHeight="1" thickBot="1">
      <c r="A4" s="595"/>
      <c r="B4" s="595"/>
      <c r="C4" s="97" t="s">
        <v>48</v>
      </c>
      <c r="D4" s="98" t="s">
        <v>49</v>
      </c>
      <c r="E4" s="98" t="s">
        <v>50</v>
      </c>
      <c r="F4" s="98" t="s">
        <v>51</v>
      </c>
      <c r="G4" s="98" t="s">
        <v>52</v>
      </c>
      <c r="H4" s="98" t="s">
        <v>53</v>
      </c>
      <c r="I4" s="99" t="s">
        <v>44</v>
      </c>
      <c r="J4" s="97" t="s">
        <v>54</v>
      </c>
      <c r="K4" s="98" t="s">
        <v>55</v>
      </c>
      <c r="L4" s="98" t="s">
        <v>56</v>
      </c>
      <c r="M4" s="98" t="s">
        <v>57</v>
      </c>
      <c r="N4" s="99" t="s">
        <v>45</v>
      </c>
      <c r="O4" s="97" t="s">
        <v>58</v>
      </c>
      <c r="P4" s="99" t="s">
        <v>46</v>
      </c>
      <c r="Q4" s="100" t="s">
        <v>69</v>
      </c>
      <c r="R4" s="101" t="s">
        <v>40</v>
      </c>
    </row>
    <row r="5" spans="1:18" ht="12" thickBot="1">
      <c r="A5" s="102" t="s">
        <v>214</v>
      </c>
      <c r="B5" s="102" t="s">
        <v>214</v>
      </c>
      <c r="D5" s="150">
        <f>'F-03 Presupuesto'!D6</f>
        <v>29149045</v>
      </c>
      <c r="E5" s="151">
        <f>'F-03 Presupuesto'!D7</f>
        <v>2798753</v>
      </c>
      <c r="F5" s="151">
        <f>'F-03 Presupuesto'!D8</f>
        <v>12282578</v>
      </c>
      <c r="G5" s="151">
        <f>'F-03 Presupuesto'!D9</f>
        <v>140300</v>
      </c>
      <c r="H5" s="151">
        <f>'F-03 Presupuesto'!D10</f>
        <v>514838</v>
      </c>
      <c r="I5" s="152">
        <f>SUM(D5:H5)</f>
        <v>44885514</v>
      </c>
      <c r="J5" s="150"/>
      <c r="K5" s="151"/>
      <c r="L5" s="151">
        <f>'F-03 Presupuesto'!D14</f>
        <v>1086500</v>
      </c>
      <c r="M5" s="151"/>
      <c r="N5" s="152"/>
      <c r="O5" s="150"/>
      <c r="P5" s="152">
        <f>SUM(L5:O5)</f>
        <v>1086500</v>
      </c>
      <c r="Q5" s="150">
        <f>I5+P5</f>
        <v>45972014</v>
      </c>
      <c r="R5" s="153">
        <v>100</v>
      </c>
    </row>
    <row r="6" spans="1:18" ht="11.25" hidden="1">
      <c r="A6" s="103" t="s">
        <v>7</v>
      </c>
      <c r="B6" s="103" t="s">
        <v>130</v>
      </c>
      <c r="C6" s="104"/>
      <c r="D6" s="105"/>
      <c r="E6" s="105"/>
      <c r="F6" s="105"/>
      <c r="G6" s="105"/>
      <c r="H6" s="105"/>
      <c r="I6" s="106"/>
      <c r="J6" s="104"/>
      <c r="K6" s="105"/>
      <c r="L6" s="105"/>
      <c r="M6" s="105"/>
      <c r="N6" s="106"/>
      <c r="O6" s="104"/>
      <c r="P6" s="106"/>
      <c r="Q6" s="104"/>
      <c r="R6" s="107"/>
    </row>
    <row r="7" spans="1:18" ht="11.25" hidden="1">
      <c r="A7" s="103" t="s">
        <v>0</v>
      </c>
      <c r="B7" s="103" t="s">
        <v>131</v>
      </c>
      <c r="C7" s="108"/>
      <c r="D7" s="109"/>
      <c r="E7" s="110"/>
      <c r="F7" s="110"/>
      <c r="G7" s="110"/>
      <c r="H7" s="110"/>
      <c r="I7" s="111"/>
      <c r="J7" s="108"/>
      <c r="K7" s="109"/>
      <c r="L7" s="109"/>
      <c r="M7" s="109"/>
      <c r="N7" s="111"/>
      <c r="O7" s="108"/>
      <c r="P7" s="112"/>
      <c r="Q7" s="113"/>
      <c r="R7" s="114"/>
    </row>
    <row r="8" spans="1:18" ht="11.25" hidden="1">
      <c r="A8" s="103" t="s">
        <v>8</v>
      </c>
      <c r="B8" s="103" t="s">
        <v>135</v>
      </c>
      <c r="C8" s="108"/>
      <c r="D8" s="109"/>
      <c r="E8" s="110"/>
      <c r="F8" s="110"/>
      <c r="G8" s="110"/>
      <c r="H8" s="110"/>
      <c r="I8" s="111"/>
      <c r="J8" s="108"/>
      <c r="K8" s="109"/>
      <c r="L8" s="109"/>
      <c r="M8" s="109"/>
      <c r="N8" s="111"/>
      <c r="O8" s="108"/>
      <c r="P8" s="112"/>
      <c r="Q8" s="113"/>
      <c r="R8" s="114"/>
    </row>
    <row r="9" spans="1:18" ht="11.25" hidden="1">
      <c r="A9" s="103" t="s">
        <v>1</v>
      </c>
      <c r="B9" s="103" t="s">
        <v>132</v>
      </c>
      <c r="C9" s="104"/>
      <c r="D9" s="105"/>
      <c r="E9" s="105"/>
      <c r="F9" s="105"/>
      <c r="G9" s="105"/>
      <c r="H9" s="105"/>
      <c r="I9" s="106"/>
      <c r="J9" s="104"/>
      <c r="K9" s="105"/>
      <c r="L9" s="105"/>
      <c r="M9" s="105"/>
      <c r="N9" s="106"/>
      <c r="O9" s="104"/>
      <c r="P9" s="106"/>
      <c r="Q9" s="104"/>
      <c r="R9" s="107"/>
    </row>
    <row r="10" spans="1:18" ht="11.25" hidden="1">
      <c r="A10" s="103" t="s">
        <v>9</v>
      </c>
      <c r="B10" s="103" t="s">
        <v>133</v>
      </c>
      <c r="C10" s="115"/>
      <c r="D10" s="116"/>
      <c r="E10" s="116"/>
      <c r="F10" s="116"/>
      <c r="G10" s="116"/>
      <c r="H10" s="116"/>
      <c r="I10" s="117"/>
      <c r="J10" s="115"/>
      <c r="K10" s="116"/>
      <c r="L10" s="116"/>
      <c r="M10" s="116"/>
      <c r="N10" s="117"/>
      <c r="O10" s="115"/>
      <c r="P10" s="117"/>
      <c r="Q10" s="115"/>
      <c r="R10" s="118"/>
    </row>
    <row r="11" spans="1:18" ht="11.25" hidden="1">
      <c r="A11" s="103" t="s">
        <v>10</v>
      </c>
      <c r="B11" s="103" t="s">
        <v>134</v>
      </c>
      <c r="C11" s="115"/>
      <c r="D11" s="116"/>
      <c r="E11" s="116"/>
      <c r="F11" s="116"/>
      <c r="G11" s="116"/>
      <c r="H11" s="116"/>
      <c r="I11" s="117"/>
      <c r="J11" s="115"/>
      <c r="K11" s="116"/>
      <c r="L11" s="116"/>
      <c r="M11" s="116"/>
      <c r="N11" s="119"/>
      <c r="O11" s="120"/>
      <c r="P11" s="117"/>
      <c r="Q11" s="115"/>
      <c r="R11" s="118"/>
    </row>
    <row r="12" spans="1:18" ht="12" hidden="1" thickBot="1">
      <c r="A12" s="121" t="s">
        <v>11</v>
      </c>
      <c r="B12" s="121" t="s">
        <v>11</v>
      </c>
      <c r="C12" s="122"/>
      <c r="D12" s="123"/>
      <c r="E12" s="123"/>
      <c r="F12" s="123"/>
      <c r="G12" s="123"/>
      <c r="H12" s="123"/>
      <c r="I12" s="124"/>
      <c r="J12" s="122"/>
      <c r="K12" s="123"/>
      <c r="L12" s="123"/>
      <c r="M12" s="123"/>
      <c r="N12" s="124"/>
      <c r="O12" s="122"/>
      <c r="P12" s="124"/>
      <c r="Q12" s="122"/>
      <c r="R12" s="125"/>
    </row>
    <row r="13" spans="1:18" ht="12" thickBot="1">
      <c r="A13" s="126" t="s">
        <v>39</v>
      </c>
      <c r="B13" s="126" t="s">
        <v>39</v>
      </c>
      <c r="C13" s="127"/>
      <c r="D13" s="134">
        <f aca="true" t="shared" si="0" ref="D13:I13">D5</f>
        <v>29149045</v>
      </c>
      <c r="E13" s="134">
        <f t="shared" si="0"/>
        <v>2798753</v>
      </c>
      <c r="F13" s="134">
        <f t="shared" si="0"/>
        <v>12282578</v>
      </c>
      <c r="G13" s="134">
        <f t="shared" si="0"/>
        <v>140300</v>
      </c>
      <c r="H13" s="134">
        <f t="shared" si="0"/>
        <v>514838</v>
      </c>
      <c r="I13" s="134">
        <f t="shared" si="0"/>
        <v>44885514</v>
      </c>
      <c r="J13" s="136"/>
      <c r="K13" s="134"/>
      <c r="L13" s="134">
        <f>L5</f>
        <v>1086500</v>
      </c>
      <c r="M13" s="134"/>
      <c r="N13" s="135"/>
      <c r="O13" s="136"/>
      <c r="P13" s="135">
        <f>P5</f>
        <v>1086500</v>
      </c>
      <c r="Q13" s="136">
        <f>Q5</f>
        <v>45972014</v>
      </c>
      <c r="R13" s="137">
        <f>R5</f>
        <v>100</v>
      </c>
    </row>
    <row r="14" spans="1:18" ht="11.25">
      <c r="A14" s="63"/>
      <c r="B14" s="63"/>
      <c r="C14" s="64"/>
      <c r="D14" s="65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</sheetData>
  <sheetProtection/>
  <mergeCells count="6">
    <mergeCell ref="A3:A4"/>
    <mergeCell ref="J3:N3"/>
    <mergeCell ref="O3:P3"/>
    <mergeCell ref="Q3:R3"/>
    <mergeCell ref="C3:I3"/>
    <mergeCell ref="B3:B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&amp;C&amp;"Arial,Negrita"&amp;18PROYECTO DE PRESUPUESTO 2021
</oddHead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E54"/>
  <sheetViews>
    <sheetView workbookViewId="0" topLeftCell="A1">
      <selection activeCell="B4" sqref="B4:B5"/>
    </sheetView>
  </sheetViews>
  <sheetFormatPr defaultColWidth="11.421875" defaultRowHeight="12.75"/>
  <cols>
    <col min="2" max="2" width="73.28125" style="0" customWidth="1"/>
  </cols>
  <sheetData>
    <row r="2" spans="2:5" ht="26.25">
      <c r="B2" s="599" t="s">
        <v>245</v>
      </c>
      <c r="C2" s="600"/>
      <c r="D2" s="600"/>
      <c r="E2" s="600"/>
    </row>
    <row r="4" ht="12.75">
      <c r="B4" s="233" t="s">
        <v>228</v>
      </c>
    </row>
    <row r="5" ht="12.75">
      <c r="B5" s="234" t="s">
        <v>599</v>
      </c>
    </row>
    <row r="6" spans="2:5" ht="25.5">
      <c r="B6" s="84" t="s">
        <v>229</v>
      </c>
      <c r="C6" s="85">
        <v>2019</v>
      </c>
      <c r="D6" s="85">
        <v>2020</v>
      </c>
      <c r="E6" s="85">
        <v>2021</v>
      </c>
    </row>
    <row r="7" spans="2:5" ht="12.75">
      <c r="B7" s="235" t="s">
        <v>230</v>
      </c>
      <c r="C7" s="236"/>
      <c r="D7" s="236"/>
      <c r="E7" s="236"/>
    </row>
    <row r="8" spans="2:5" ht="12.75">
      <c r="B8" s="235" t="s">
        <v>231</v>
      </c>
      <c r="C8" s="235"/>
      <c r="D8" s="235"/>
      <c r="E8" s="235"/>
    </row>
    <row r="9" spans="2:5" ht="12.75">
      <c r="B9" s="235" t="s">
        <v>232</v>
      </c>
      <c r="C9" s="235"/>
      <c r="D9" s="235"/>
      <c r="E9" s="235"/>
    </row>
    <row r="10" spans="2:5" ht="12.75">
      <c r="B10" s="235" t="s">
        <v>233</v>
      </c>
      <c r="C10" s="235"/>
      <c r="D10" s="235"/>
      <c r="E10" s="235"/>
    </row>
    <row r="11" spans="2:5" ht="12.75">
      <c r="B11" s="235" t="s">
        <v>234</v>
      </c>
      <c r="C11" s="235"/>
      <c r="D11" s="235"/>
      <c r="E11" s="235"/>
    </row>
    <row r="12" spans="2:5" ht="12.75">
      <c r="B12" s="235" t="s">
        <v>235</v>
      </c>
      <c r="C12" s="235"/>
      <c r="D12" s="235"/>
      <c r="E12" s="235"/>
    </row>
    <row r="13" spans="2:5" ht="12.75">
      <c r="B13" s="235" t="s">
        <v>236</v>
      </c>
      <c r="C13" s="601" t="s">
        <v>601</v>
      </c>
      <c r="D13" s="602"/>
      <c r="E13" s="603"/>
    </row>
    <row r="14" spans="2:5" ht="12.75">
      <c r="B14" s="235" t="s">
        <v>237</v>
      </c>
      <c r="C14" s="235"/>
      <c r="D14" s="235"/>
      <c r="E14" s="235"/>
    </row>
    <row r="15" spans="2:5" ht="12.75">
      <c r="B15" s="235" t="s">
        <v>238</v>
      </c>
      <c r="C15" s="235"/>
      <c r="D15" s="235"/>
      <c r="E15" s="235"/>
    </row>
    <row r="16" spans="2:5" ht="12.75">
      <c r="B16" s="235" t="s">
        <v>239</v>
      </c>
      <c r="C16" s="235"/>
      <c r="D16" s="235"/>
      <c r="E16" s="235"/>
    </row>
    <row r="17" spans="2:5" ht="12.75">
      <c r="B17" s="235" t="s">
        <v>240</v>
      </c>
      <c r="C17" s="235"/>
      <c r="D17" s="235"/>
      <c r="E17" s="235"/>
    </row>
    <row r="18" spans="2:5" ht="12.75">
      <c r="B18" s="235" t="s">
        <v>241</v>
      </c>
      <c r="C18" s="235"/>
      <c r="D18" s="235"/>
      <c r="E18" s="235"/>
    </row>
    <row r="19" spans="2:5" ht="12.75">
      <c r="B19" s="235" t="s">
        <v>242</v>
      </c>
      <c r="C19" s="235"/>
      <c r="D19" s="235"/>
      <c r="E19" s="235"/>
    </row>
    <row r="20" spans="2:5" ht="12.75">
      <c r="B20" s="237" t="s">
        <v>137</v>
      </c>
      <c r="C20" s="238"/>
      <c r="D20" s="238"/>
      <c r="E20" s="238"/>
    </row>
    <row r="22" spans="2:5" ht="25.5">
      <c r="B22" s="84" t="s">
        <v>243</v>
      </c>
      <c r="C22" s="85">
        <v>2019</v>
      </c>
      <c r="D22" s="85" t="s">
        <v>178</v>
      </c>
      <c r="E22" s="85" t="s">
        <v>179</v>
      </c>
    </row>
    <row r="23" spans="2:5" ht="12.75">
      <c r="B23" s="235" t="s">
        <v>230</v>
      </c>
      <c r="C23" s="236"/>
      <c r="D23" s="236"/>
      <c r="E23" s="236"/>
    </row>
    <row r="24" spans="2:5" ht="12.75">
      <c r="B24" s="235" t="s">
        <v>231</v>
      </c>
      <c r="C24" s="235"/>
      <c r="D24" s="235"/>
      <c r="E24" s="235"/>
    </row>
    <row r="25" spans="2:5" ht="12.75">
      <c r="B25" s="235" t="s">
        <v>232</v>
      </c>
      <c r="C25" s="235"/>
      <c r="D25" s="235"/>
      <c r="E25" s="235"/>
    </row>
    <row r="26" spans="2:5" ht="12.75">
      <c r="B26" s="235" t="s">
        <v>233</v>
      </c>
      <c r="C26" s="235"/>
      <c r="D26" s="235"/>
      <c r="E26" s="235"/>
    </row>
    <row r="27" spans="2:5" ht="12.75">
      <c r="B27" s="235" t="s">
        <v>234</v>
      </c>
      <c r="C27" s="235"/>
      <c r="D27" s="235"/>
      <c r="E27" s="235"/>
    </row>
    <row r="28" spans="2:5" ht="12.75">
      <c r="B28" s="235" t="s">
        <v>235</v>
      </c>
      <c r="C28" s="235"/>
      <c r="D28" s="235"/>
      <c r="E28" s="235"/>
    </row>
    <row r="29" spans="2:5" ht="12.75">
      <c r="B29" s="235" t="s">
        <v>236</v>
      </c>
      <c r="C29" s="601" t="s">
        <v>601</v>
      </c>
      <c r="D29" s="602"/>
      <c r="E29" s="603"/>
    </row>
    <row r="30" spans="2:5" ht="12.75">
      <c r="B30" s="235" t="s">
        <v>237</v>
      </c>
      <c r="C30" s="235"/>
      <c r="D30" s="235"/>
      <c r="E30" s="235"/>
    </row>
    <row r="31" spans="2:5" ht="12.75">
      <c r="B31" s="235" t="s">
        <v>238</v>
      </c>
      <c r="C31" s="235"/>
      <c r="D31" s="235"/>
      <c r="E31" s="235"/>
    </row>
    <row r="32" spans="2:5" ht="12.75">
      <c r="B32" s="235" t="s">
        <v>239</v>
      </c>
      <c r="C32" s="235"/>
      <c r="D32" s="235"/>
      <c r="E32" s="235"/>
    </row>
    <row r="33" spans="2:5" ht="12.75">
      <c r="B33" s="235" t="s">
        <v>240</v>
      </c>
      <c r="C33" s="235"/>
      <c r="D33" s="235"/>
      <c r="E33" s="235"/>
    </row>
    <row r="34" spans="2:5" ht="12.75">
      <c r="B34" s="235" t="s">
        <v>241</v>
      </c>
      <c r="C34" s="235"/>
      <c r="D34" s="235"/>
      <c r="E34" s="235"/>
    </row>
    <row r="35" spans="2:5" ht="12.75">
      <c r="B35" s="235" t="s">
        <v>242</v>
      </c>
      <c r="C35" s="235"/>
      <c r="D35" s="235"/>
      <c r="E35" s="235"/>
    </row>
    <row r="36" spans="2:5" ht="12.75">
      <c r="B36" s="237" t="s">
        <v>137</v>
      </c>
      <c r="C36" s="238"/>
      <c r="D36" s="238"/>
      <c r="E36" s="238"/>
    </row>
    <row r="38" spans="2:5" ht="25.5">
      <c r="B38" s="84" t="s">
        <v>244</v>
      </c>
      <c r="C38" s="85">
        <v>2019</v>
      </c>
      <c r="D38" s="85" t="s">
        <v>178</v>
      </c>
      <c r="E38" s="85" t="s">
        <v>179</v>
      </c>
    </row>
    <row r="39" spans="2:5" ht="12.75">
      <c r="B39" s="235" t="s">
        <v>230</v>
      </c>
      <c r="C39" s="236"/>
      <c r="D39" s="236"/>
      <c r="E39" s="236"/>
    </row>
    <row r="40" spans="2:5" ht="12.75">
      <c r="B40" s="235" t="s">
        <v>231</v>
      </c>
      <c r="C40" s="235"/>
      <c r="D40" s="235"/>
      <c r="E40" s="235"/>
    </row>
    <row r="41" spans="2:5" ht="12.75">
      <c r="B41" s="235" t="s">
        <v>232</v>
      </c>
      <c r="C41" s="235"/>
      <c r="D41" s="235"/>
      <c r="E41" s="235"/>
    </row>
    <row r="42" spans="2:5" ht="12.75">
      <c r="B42" s="235" t="s">
        <v>233</v>
      </c>
      <c r="C42" s="235"/>
      <c r="D42" s="235"/>
      <c r="E42" s="235"/>
    </row>
    <row r="43" spans="2:5" ht="12.75">
      <c r="B43" s="235" t="s">
        <v>234</v>
      </c>
      <c r="C43" s="235"/>
      <c r="D43" s="235"/>
      <c r="E43" s="235"/>
    </row>
    <row r="44" spans="2:5" ht="12.75">
      <c r="B44" s="235" t="s">
        <v>235</v>
      </c>
      <c r="C44" s="235"/>
      <c r="D44" s="235"/>
      <c r="E44" s="235"/>
    </row>
    <row r="45" spans="2:5" ht="12.75">
      <c r="B45" s="235" t="s">
        <v>236</v>
      </c>
      <c r="C45" s="601" t="s">
        <v>601</v>
      </c>
      <c r="D45" s="602"/>
      <c r="E45" s="603"/>
    </row>
    <row r="46" spans="2:5" ht="12.75">
      <c r="B46" s="235" t="s">
        <v>237</v>
      </c>
      <c r="C46" s="235"/>
      <c r="D46" s="235"/>
      <c r="E46" s="235"/>
    </row>
    <row r="47" spans="2:5" ht="12.75">
      <c r="B47" s="235" t="s">
        <v>238</v>
      </c>
      <c r="C47" s="235"/>
      <c r="D47" s="235"/>
      <c r="E47" s="235"/>
    </row>
    <row r="48" spans="2:5" ht="12.75">
      <c r="B48" s="235" t="s">
        <v>239</v>
      </c>
      <c r="C48" s="235"/>
      <c r="D48" s="235"/>
      <c r="E48" s="235"/>
    </row>
    <row r="49" spans="2:5" ht="12.75">
      <c r="B49" s="235" t="s">
        <v>240</v>
      </c>
      <c r="C49" s="235"/>
      <c r="D49" s="235"/>
      <c r="E49" s="235"/>
    </row>
    <row r="50" spans="2:5" ht="12.75">
      <c r="B50" s="235" t="s">
        <v>241</v>
      </c>
      <c r="C50" s="235"/>
      <c r="D50" s="235"/>
      <c r="E50" s="235"/>
    </row>
    <row r="51" spans="2:5" ht="12.75">
      <c r="B51" s="235" t="s">
        <v>242</v>
      </c>
      <c r="C51" s="235"/>
      <c r="D51" s="235"/>
      <c r="E51" s="235"/>
    </row>
    <row r="52" spans="2:5" ht="12.75">
      <c r="B52" s="237" t="s">
        <v>137</v>
      </c>
      <c r="C52" s="238"/>
      <c r="D52" s="238"/>
      <c r="E52" s="238"/>
    </row>
    <row r="53" ht="12.75">
      <c r="B53" s="239" t="s">
        <v>180</v>
      </c>
    </row>
    <row r="54" ht="12.75">
      <c r="B54" s="240" t="s">
        <v>181</v>
      </c>
    </row>
  </sheetData>
  <sheetProtection/>
  <mergeCells count="4">
    <mergeCell ref="B2:E2"/>
    <mergeCell ref="C13:E13"/>
    <mergeCell ref="C29:E29"/>
    <mergeCell ref="C45:E45"/>
  </mergeCells>
  <printOptions/>
  <pageMargins left="0.31496062992125984" right="0.7086614173228347" top="0.7480314960629921" bottom="0.7480314960629921" header="0.31496062992125984" footer="0.31496062992125984"/>
  <pageSetup horizontalDpi="200" verticalDpi="2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O54"/>
  <sheetViews>
    <sheetView workbookViewId="0" topLeftCell="C1">
      <selection activeCell="Q21" sqref="Q21"/>
    </sheetView>
  </sheetViews>
  <sheetFormatPr defaultColWidth="11.421875" defaultRowHeight="12.75"/>
  <cols>
    <col min="2" max="2" width="25.421875" style="0" customWidth="1"/>
  </cols>
  <sheetData>
    <row r="2" spans="2:15" ht="24" customHeight="1">
      <c r="B2" s="599" t="s">
        <v>245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</row>
    <row r="4" spans="2:15" ht="12.75">
      <c r="B4" s="242" t="s">
        <v>246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</row>
    <row r="5" spans="2:15" ht="13.5" thickBot="1">
      <c r="B5" s="234" t="s">
        <v>599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</row>
    <row r="6" spans="2:15" ht="13.5" thickBot="1">
      <c r="B6" s="604" t="s">
        <v>247</v>
      </c>
      <c r="C6" s="606" t="s">
        <v>248</v>
      </c>
      <c r="D6" s="607"/>
      <c r="E6" s="607"/>
      <c r="F6" s="607"/>
      <c r="G6" s="608" t="s">
        <v>249</v>
      </c>
      <c r="H6" s="609"/>
      <c r="I6" s="610"/>
      <c r="J6" s="608" t="s">
        <v>250</v>
      </c>
      <c r="K6" s="609"/>
      <c r="L6" s="609"/>
      <c r="M6" s="609"/>
      <c r="N6" s="609"/>
      <c r="O6" s="610"/>
    </row>
    <row r="7" spans="2:15" ht="27.75" thickBot="1">
      <c r="B7" s="605"/>
      <c r="C7" s="244">
        <v>2019</v>
      </c>
      <c r="D7" s="245">
        <v>2020</v>
      </c>
      <c r="E7" s="245" t="s">
        <v>251</v>
      </c>
      <c r="F7" s="246" t="s">
        <v>252</v>
      </c>
      <c r="G7" s="244">
        <v>2019</v>
      </c>
      <c r="H7" s="245">
        <v>2020</v>
      </c>
      <c r="I7" s="245" t="s">
        <v>251</v>
      </c>
      <c r="J7" s="244">
        <v>2019</v>
      </c>
      <c r="K7" s="245" t="s">
        <v>178</v>
      </c>
      <c r="L7" s="245" t="s">
        <v>251</v>
      </c>
      <c r="M7" s="247" t="s">
        <v>253</v>
      </c>
      <c r="N7" s="247" t="s">
        <v>252</v>
      </c>
      <c r="O7" s="246" t="s">
        <v>254</v>
      </c>
    </row>
    <row r="8" spans="2:15" ht="12.75">
      <c r="B8" s="248"/>
      <c r="C8" s="249"/>
      <c r="D8" s="250"/>
      <c r="E8" s="250"/>
      <c r="F8" s="251"/>
      <c r="G8" s="249"/>
      <c r="H8" s="250"/>
      <c r="I8" s="252"/>
      <c r="J8" s="249"/>
      <c r="K8" s="250"/>
      <c r="L8" s="252"/>
      <c r="M8" s="251"/>
      <c r="N8" s="251"/>
      <c r="O8" s="252"/>
    </row>
    <row r="9" spans="2:15" ht="22.5">
      <c r="B9" s="253" t="s">
        <v>255</v>
      </c>
      <c r="C9" s="254"/>
      <c r="D9" s="255"/>
      <c r="E9" s="255"/>
      <c r="F9" s="256"/>
      <c r="G9" s="254"/>
      <c r="H9" s="255"/>
      <c r="I9" s="257"/>
      <c r="J9" s="254"/>
      <c r="K9" s="255"/>
      <c r="L9" s="257"/>
      <c r="M9" s="256"/>
      <c r="N9" s="256"/>
      <c r="O9" s="257"/>
    </row>
    <row r="10" spans="2:15" ht="12.75">
      <c r="B10" s="258" t="s">
        <v>256</v>
      </c>
      <c r="C10" s="259"/>
      <c r="D10" s="260"/>
      <c r="E10" s="260"/>
      <c r="F10" s="261"/>
      <c r="G10" s="259"/>
      <c r="H10" s="260"/>
      <c r="I10" s="262"/>
      <c r="J10" s="259"/>
      <c r="K10" s="260"/>
      <c r="L10" s="262"/>
      <c r="M10" s="261"/>
      <c r="N10" s="261"/>
      <c r="O10" s="262"/>
    </row>
    <row r="11" spans="2:15" ht="12.75">
      <c r="B11" s="263"/>
      <c r="C11" s="259"/>
      <c r="D11" s="260"/>
      <c r="E11" s="260"/>
      <c r="F11" s="261"/>
      <c r="G11" s="259"/>
      <c r="H11" s="260"/>
      <c r="I11" s="262"/>
      <c r="J11" s="259"/>
      <c r="K11" s="260"/>
      <c r="L11" s="262"/>
      <c r="M11" s="261"/>
      <c r="N11" s="261"/>
      <c r="O11" s="262"/>
    </row>
    <row r="12" spans="2:15" ht="12.75">
      <c r="B12" s="253" t="s">
        <v>257</v>
      </c>
      <c r="C12" s="259"/>
      <c r="D12" s="260"/>
      <c r="E12" s="260"/>
      <c r="F12" s="261"/>
      <c r="G12" s="259"/>
      <c r="H12" s="260"/>
      <c r="I12" s="262"/>
      <c r="J12" s="259"/>
      <c r="K12" s="260"/>
      <c r="L12" s="262"/>
      <c r="M12" s="261"/>
      <c r="N12" s="261"/>
      <c r="O12" s="262"/>
    </row>
    <row r="13" spans="2:15" ht="12.75">
      <c r="B13" s="264" t="s">
        <v>258</v>
      </c>
      <c r="C13" s="259"/>
      <c r="D13" s="260"/>
      <c r="E13" s="260"/>
      <c r="F13" s="261"/>
      <c r="G13" s="259"/>
      <c r="H13" s="260"/>
      <c r="I13" s="262"/>
      <c r="J13" s="259"/>
      <c r="K13" s="260"/>
      <c r="L13" s="262"/>
      <c r="M13" s="261"/>
      <c r="N13" s="261"/>
      <c r="O13" s="262"/>
    </row>
    <row r="14" spans="2:15" ht="12.75">
      <c r="B14" s="264" t="s">
        <v>259</v>
      </c>
      <c r="C14" s="259"/>
      <c r="D14" s="260"/>
      <c r="E14" s="260"/>
      <c r="F14" s="261"/>
      <c r="G14" s="259"/>
      <c r="H14" s="260"/>
      <c r="I14" s="262"/>
      <c r="J14" s="259"/>
      <c r="K14" s="260"/>
      <c r="L14" s="262"/>
      <c r="M14" s="261"/>
      <c r="N14" s="261"/>
      <c r="O14" s="262"/>
    </row>
    <row r="15" spans="2:15" ht="12.75">
      <c r="B15" s="264" t="s">
        <v>260</v>
      </c>
      <c r="C15" s="259"/>
      <c r="D15" s="260"/>
      <c r="E15" s="260"/>
      <c r="F15" s="261"/>
      <c r="G15" s="259"/>
      <c r="H15" s="260"/>
      <c r="I15" s="262"/>
      <c r="J15" s="259"/>
      <c r="K15" s="260"/>
      <c r="L15" s="262"/>
      <c r="M15" s="261"/>
      <c r="N15" s="261"/>
      <c r="O15" s="262"/>
    </row>
    <row r="16" spans="2:15" ht="12.75">
      <c r="B16" s="264" t="s">
        <v>261</v>
      </c>
      <c r="C16" s="259"/>
      <c r="D16" s="260"/>
      <c r="E16" s="260"/>
      <c r="F16" s="261"/>
      <c r="G16" s="259"/>
      <c r="H16" s="260"/>
      <c r="I16" s="262"/>
      <c r="J16" s="259"/>
      <c r="K16" s="260"/>
      <c r="L16" s="262"/>
      <c r="M16" s="261"/>
      <c r="N16" s="261"/>
      <c r="O16" s="262"/>
    </row>
    <row r="17" spans="2:15" ht="12.75">
      <c r="B17" s="264"/>
      <c r="C17" s="254"/>
      <c r="D17" s="255"/>
      <c r="E17" s="255"/>
      <c r="F17" s="256"/>
      <c r="G17" s="254"/>
      <c r="H17" s="255"/>
      <c r="I17" s="257"/>
      <c r="J17" s="254"/>
      <c r="K17" s="255"/>
      <c r="L17" s="257"/>
      <c r="M17" s="256"/>
      <c r="N17" s="256"/>
      <c r="O17" s="257"/>
    </row>
    <row r="18" spans="2:15" ht="12.75">
      <c r="B18" s="253" t="s">
        <v>262</v>
      </c>
      <c r="C18" s="259"/>
      <c r="D18" s="260"/>
      <c r="E18" s="260"/>
      <c r="F18" s="261"/>
      <c r="G18" s="259"/>
      <c r="H18" s="260"/>
      <c r="I18" s="262"/>
      <c r="J18" s="259"/>
      <c r="K18" s="260"/>
      <c r="L18" s="262"/>
      <c r="M18" s="261"/>
      <c r="N18" s="261"/>
      <c r="O18" s="262"/>
    </row>
    <row r="19" spans="2:15" ht="12.75">
      <c r="B19" s="264" t="s">
        <v>263</v>
      </c>
      <c r="C19" s="259"/>
      <c r="D19" s="260"/>
      <c r="E19" s="260"/>
      <c r="F19" s="261"/>
      <c r="G19" s="259"/>
      <c r="H19" s="260"/>
      <c r="I19" s="262"/>
      <c r="J19" s="259"/>
      <c r="K19" s="260"/>
      <c r="L19" s="262"/>
      <c r="M19" s="261"/>
      <c r="N19" s="261"/>
      <c r="O19" s="262"/>
    </row>
    <row r="20" spans="2:15" ht="12.75">
      <c r="B20" s="264" t="s">
        <v>264</v>
      </c>
      <c r="C20" s="259"/>
      <c r="D20" s="260"/>
      <c r="E20" s="260"/>
      <c r="F20" s="261"/>
      <c r="G20" s="259"/>
      <c r="H20" s="260"/>
      <c r="I20" s="262"/>
      <c r="J20" s="259"/>
      <c r="K20" s="260"/>
      <c r="L20" s="262"/>
      <c r="M20" s="261"/>
      <c r="N20" s="261"/>
      <c r="O20" s="262"/>
    </row>
    <row r="21" spans="2:15" ht="12.75">
      <c r="B21" s="264" t="s">
        <v>265</v>
      </c>
      <c r="C21" s="259"/>
      <c r="D21" s="260"/>
      <c r="E21" s="260"/>
      <c r="F21" s="261"/>
      <c r="G21" s="259"/>
      <c r="H21" s="260"/>
      <c r="I21" s="262"/>
      <c r="J21" s="259"/>
      <c r="K21" s="260"/>
      <c r="L21" s="262"/>
      <c r="M21" s="261"/>
      <c r="N21" s="261"/>
      <c r="O21" s="262"/>
    </row>
    <row r="22" spans="2:15" ht="12.75">
      <c r="B22" s="264" t="s">
        <v>266</v>
      </c>
      <c r="C22" s="259"/>
      <c r="D22" s="260"/>
      <c r="E22" s="260"/>
      <c r="F22" s="261"/>
      <c r="G22" s="259"/>
      <c r="H22" s="260"/>
      <c r="I22" s="262"/>
      <c r="J22" s="259"/>
      <c r="K22" s="260"/>
      <c r="L22" s="262"/>
      <c r="M22" s="261"/>
      <c r="N22" s="261"/>
      <c r="O22" s="262"/>
    </row>
    <row r="23" spans="2:15" ht="23.25">
      <c r="B23" s="264" t="s">
        <v>267</v>
      </c>
      <c r="C23" s="611" t="s">
        <v>601</v>
      </c>
      <c r="D23" s="612"/>
      <c r="E23" s="612"/>
      <c r="F23" s="612"/>
      <c r="G23" s="612"/>
      <c r="H23" s="612"/>
      <c r="I23" s="612"/>
      <c r="J23" s="612"/>
      <c r="K23" s="612"/>
      <c r="L23" s="612"/>
      <c r="M23" s="612"/>
      <c r="N23" s="612"/>
      <c r="O23" s="613"/>
    </row>
    <row r="24" spans="2:15" ht="12.75">
      <c r="B24" s="265"/>
      <c r="C24" s="259"/>
      <c r="D24" s="260"/>
      <c r="E24" s="260"/>
      <c r="F24" s="261"/>
      <c r="G24" s="259"/>
      <c r="H24" s="260"/>
      <c r="I24" s="262"/>
      <c r="J24" s="259"/>
      <c r="K24" s="260"/>
      <c r="L24" s="262"/>
      <c r="M24" s="261"/>
      <c r="N24" s="261"/>
      <c r="O24" s="262"/>
    </row>
    <row r="25" spans="2:15" ht="12.75">
      <c r="B25" s="266" t="s">
        <v>268</v>
      </c>
      <c r="C25" s="259"/>
      <c r="D25" s="260"/>
      <c r="E25" s="260"/>
      <c r="F25" s="261"/>
      <c r="G25" s="259"/>
      <c r="H25" s="260"/>
      <c r="I25" s="262"/>
      <c r="J25" s="259"/>
      <c r="K25" s="260"/>
      <c r="L25" s="262"/>
      <c r="M25" s="261"/>
      <c r="N25" s="261"/>
      <c r="O25" s="262"/>
    </row>
    <row r="26" spans="2:15" ht="12.75">
      <c r="B26" s="264" t="s">
        <v>269</v>
      </c>
      <c r="C26" s="259"/>
      <c r="D26" s="260"/>
      <c r="E26" s="260"/>
      <c r="F26" s="261"/>
      <c r="G26" s="259"/>
      <c r="H26" s="260"/>
      <c r="I26" s="262"/>
      <c r="J26" s="259"/>
      <c r="K26" s="260"/>
      <c r="L26" s="262"/>
      <c r="M26" s="261"/>
      <c r="N26" s="261"/>
      <c r="O26" s="262"/>
    </row>
    <row r="27" spans="2:15" ht="12.75">
      <c r="B27" s="264" t="s">
        <v>270</v>
      </c>
      <c r="C27" s="259"/>
      <c r="D27" s="260"/>
      <c r="E27" s="260"/>
      <c r="F27" s="261"/>
      <c r="G27" s="259"/>
      <c r="H27" s="260"/>
      <c r="I27" s="262"/>
      <c r="J27" s="259"/>
      <c r="K27" s="260"/>
      <c r="L27" s="262"/>
      <c r="M27" s="261"/>
      <c r="N27" s="261"/>
      <c r="O27" s="262"/>
    </row>
    <row r="28" spans="2:15" ht="12.75">
      <c r="B28" s="264" t="s">
        <v>271</v>
      </c>
      <c r="C28" s="259"/>
      <c r="D28" s="260"/>
      <c r="E28" s="260"/>
      <c r="F28" s="261"/>
      <c r="G28" s="259"/>
      <c r="H28" s="260"/>
      <c r="I28" s="262"/>
      <c r="J28" s="259"/>
      <c r="K28" s="260"/>
      <c r="L28" s="262"/>
      <c r="M28" s="261"/>
      <c r="N28" s="261"/>
      <c r="O28" s="262"/>
    </row>
    <row r="29" spans="2:15" ht="12.75">
      <c r="B29" s="264"/>
      <c r="C29" s="259"/>
      <c r="D29" s="260"/>
      <c r="E29" s="260"/>
      <c r="F29" s="261"/>
      <c r="G29" s="259"/>
      <c r="H29" s="260"/>
      <c r="I29" s="262"/>
      <c r="J29" s="259"/>
      <c r="K29" s="260"/>
      <c r="L29" s="262"/>
      <c r="M29" s="261"/>
      <c r="N29" s="261"/>
      <c r="O29" s="262"/>
    </row>
    <row r="30" spans="2:15" ht="12.75">
      <c r="B30" s="266" t="s">
        <v>272</v>
      </c>
      <c r="C30" s="259"/>
      <c r="D30" s="260"/>
      <c r="E30" s="260"/>
      <c r="F30" s="261"/>
      <c r="G30" s="259"/>
      <c r="H30" s="260"/>
      <c r="I30" s="262"/>
      <c r="J30" s="259"/>
      <c r="K30" s="260"/>
      <c r="L30" s="262"/>
      <c r="M30" s="261"/>
      <c r="N30" s="261"/>
      <c r="O30" s="262"/>
    </row>
    <row r="31" spans="2:15" ht="12.75">
      <c r="B31" s="264" t="s">
        <v>273</v>
      </c>
      <c r="C31" s="259"/>
      <c r="D31" s="260"/>
      <c r="E31" s="260"/>
      <c r="F31" s="261"/>
      <c r="G31" s="259"/>
      <c r="H31" s="260"/>
      <c r="I31" s="262"/>
      <c r="J31" s="259"/>
      <c r="K31" s="260"/>
      <c r="L31" s="262"/>
      <c r="M31" s="261"/>
      <c r="N31" s="261"/>
      <c r="O31" s="262"/>
    </row>
    <row r="32" spans="2:15" ht="12.75">
      <c r="B32" s="264" t="s">
        <v>270</v>
      </c>
      <c r="C32" s="259"/>
      <c r="D32" s="260"/>
      <c r="E32" s="260"/>
      <c r="F32" s="261"/>
      <c r="G32" s="259"/>
      <c r="H32" s="260"/>
      <c r="I32" s="262"/>
      <c r="J32" s="259"/>
      <c r="K32" s="260"/>
      <c r="L32" s="262"/>
      <c r="M32" s="261"/>
      <c r="N32" s="261"/>
      <c r="O32" s="262"/>
    </row>
    <row r="33" spans="2:15" ht="12.75">
      <c r="B33" s="264"/>
      <c r="C33" s="259"/>
      <c r="D33" s="260"/>
      <c r="E33" s="260"/>
      <c r="F33" s="261"/>
      <c r="G33" s="259"/>
      <c r="H33" s="260"/>
      <c r="I33" s="262"/>
      <c r="J33" s="259"/>
      <c r="K33" s="260"/>
      <c r="L33" s="262"/>
      <c r="M33" s="261"/>
      <c r="N33" s="261"/>
      <c r="O33" s="262"/>
    </row>
    <row r="34" spans="2:15" ht="12.75">
      <c r="B34" s="266" t="s">
        <v>274</v>
      </c>
      <c r="C34" s="259"/>
      <c r="D34" s="260"/>
      <c r="E34" s="260"/>
      <c r="F34" s="261"/>
      <c r="G34" s="259"/>
      <c r="H34" s="260"/>
      <c r="I34" s="262"/>
      <c r="J34" s="259"/>
      <c r="K34" s="260"/>
      <c r="L34" s="262"/>
      <c r="M34" s="261"/>
      <c r="N34" s="261"/>
      <c r="O34" s="262"/>
    </row>
    <row r="35" spans="2:15" ht="12.75">
      <c r="B35" s="264" t="s">
        <v>275</v>
      </c>
      <c r="C35" s="259"/>
      <c r="D35" s="260"/>
      <c r="E35" s="260"/>
      <c r="F35" s="261"/>
      <c r="G35" s="259"/>
      <c r="H35" s="260"/>
      <c r="I35" s="262"/>
      <c r="J35" s="259"/>
      <c r="K35" s="260"/>
      <c r="L35" s="262"/>
      <c r="M35" s="261"/>
      <c r="N35" s="261"/>
      <c r="O35" s="262"/>
    </row>
    <row r="36" spans="2:15" ht="12.75">
      <c r="B36" s="264" t="s">
        <v>271</v>
      </c>
      <c r="C36" s="259"/>
      <c r="D36" s="260"/>
      <c r="E36" s="260"/>
      <c r="F36" s="261"/>
      <c r="G36" s="259"/>
      <c r="H36" s="260"/>
      <c r="I36" s="262"/>
      <c r="J36" s="259"/>
      <c r="K36" s="260"/>
      <c r="L36" s="262"/>
      <c r="M36" s="261"/>
      <c r="N36" s="261"/>
      <c r="O36" s="262"/>
    </row>
    <row r="37" spans="2:15" ht="12.75">
      <c r="B37" s="264" t="s">
        <v>276</v>
      </c>
      <c r="C37" s="259"/>
      <c r="D37" s="260"/>
      <c r="E37" s="260"/>
      <c r="F37" s="261"/>
      <c r="G37" s="259"/>
      <c r="H37" s="260"/>
      <c r="I37" s="262"/>
      <c r="J37" s="259"/>
      <c r="K37" s="260"/>
      <c r="L37" s="262"/>
      <c r="M37" s="261"/>
      <c r="N37" s="261"/>
      <c r="O37" s="262"/>
    </row>
    <row r="38" spans="2:15" ht="12.75">
      <c r="B38" s="264" t="s">
        <v>277</v>
      </c>
      <c r="C38" s="259"/>
      <c r="D38" s="260"/>
      <c r="E38" s="260"/>
      <c r="F38" s="261"/>
      <c r="G38" s="259"/>
      <c r="H38" s="260"/>
      <c r="I38" s="262"/>
      <c r="J38" s="259"/>
      <c r="K38" s="260"/>
      <c r="L38" s="262"/>
      <c r="M38" s="261"/>
      <c r="N38" s="261"/>
      <c r="O38" s="262"/>
    </row>
    <row r="39" spans="2:15" ht="12.75">
      <c r="B39" s="264"/>
      <c r="C39" s="259"/>
      <c r="D39" s="260"/>
      <c r="E39" s="260"/>
      <c r="F39" s="261"/>
      <c r="G39" s="259"/>
      <c r="H39" s="260"/>
      <c r="I39" s="262"/>
      <c r="J39" s="259"/>
      <c r="K39" s="260"/>
      <c r="L39" s="262"/>
      <c r="M39" s="261"/>
      <c r="N39" s="261"/>
      <c r="O39" s="262"/>
    </row>
    <row r="40" spans="2:15" ht="12.75">
      <c r="B40" s="266" t="s">
        <v>278</v>
      </c>
      <c r="C40" s="259"/>
      <c r="D40" s="260"/>
      <c r="E40" s="260"/>
      <c r="F40" s="261"/>
      <c r="G40" s="259"/>
      <c r="H40" s="260"/>
      <c r="I40" s="262"/>
      <c r="J40" s="259"/>
      <c r="K40" s="260"/>
      <c r="L40" s="262"/>
      <c r="M40" s="261"/>
      <c r="N40" s="261"/>
      <c r="O40" s="262"/>
    </row>
    <row r="41" spans="2:15" ht="12.75">
      <c r="B41" s="264" t="s">
        <v>279</v>
      </c>
      <c r="C41" s="259"/>
      <c r="D41" s="260"/>
      <c r="E41" s="260"/>
      <c r="F41" s="261"/>
      <c r="G41" s="259"/>
      <c r="H41" s="260"/>
      <c r="I41" s="262"/>
      <c r="J41" s="259"/>
      <c r="K41" s="260"/>
      <c r="L41" s="262"/>
      <c r="M41" s="261"/>
      <c r="N41" s="261"/>
      <c r="O41" s="262"/>
    </row>
    <row r="42" spans="2:15" ht="12.75">
      <c r="B42" s="264" t="s">
        <v>280</v>
      </c>
      <c r="C42" s="259"/>
      <c r="D42" s="260"/>
      <c r="E42" s="260"/>
      <c r="F42" s="261"/>
      <c r="G42" s="259"/>
      <c r="H42" s="260"/>
      <c r="I42" s="262"/>
      <c r="J42" s="259"/>
      <c r="K42" s="260"/>
      <c r="L42" s="262"/>
      <c r="M42" s="261"/>
      <c r="N42" s="261"/>
      <c r="O42" s="262"/>
    </row>
    <row r="43" spans="2:15" ht="22.5">
      <c r="B43" s="264" t="s">
        <v>281</v>
      </c>
      <c r="C43" s="259"/>
      <c r="D43" s="260"/>
      <c r="E43" s="260"/>
      <c r="F43" s="261"/>
      <c r="G43" s="259"/>
      <c r="H43" s="260"/>
      <c r="I43" s="262"/>
      <c r="J43" s="259"/>
      <c r="K43" s="260"/>
      <c r="L43" s="262"/>
      <c r="M43" s="261"/>
      <c r="N43" s="261"/>
      <c r="O43" s="262"/>
    </row>
    <row r="44" spans="2:15" ht="22.5">
      <c r="B44" s="264" t="s">
        <v>282</v>
      </c>
      <c r="C44" s="259"/>
      <c r="D44" s="260"/>
      <c r="E44" s="260"/>
      <c r="F44" s="261"/>
      <c r="G44" s="259"/>
      <c r="H44" s="260"/>
      <c r="I44" s="262"/>
      <c r="J44" s="259"/>
      <c r="K44" s="260"/>
      <c r="L44" s="262"/>
      <c r="M44" s="261"/>
      <c r="N44" s="261"/>
      <c r="O44" s="262"/>
    </row>
    <row r="45" spans="2:15" ht="12.75">
      <c r="B45" s="264"/>
      <c r="C45" s="259"/>
      <c r="D45" s="260"/>
      <c r="E45" s="260"/>
      <c r="F45" s="261"/>
      <c r="G45" s="259"/>
      <c r="H45" s="260"/>
      <c r="I45" s="262"/>
      <c r="J45" s="259"/>
      <c r="K45" s="260"/>
      <c r="L45" s="262"/>
      <c r="M45" s="261"/>
      <c r="N45" s="261"/>
      <c r="O45" s="262"/>
    </row>
    <row r="46" spans="2:15" ht="12.75">
      <c r="B46" s="266" t="s">
        <v>283</v>
      </c>
      <c r="C46" s="259"/>
      <c r="D46" s="260"/>
      <c r="E46" s="260"/>
      <c r="F46" s="261"/>
      <c r="G46" s="259"/>
      <c r="H46" s="260"/>
      <c r="I46" s="262"/>
      <c r="J46" s="259"/>
      <c r="K46" s="260"/>
      <c r="L46" s="262"/>
      <c r="M46" s="261"/>
      <c r="N46" s="261"/>
      <c r="O46" s="262"/>
    </row>
    <row r="47" spans="2:15" ht="12.75">
      <c r="B47" s="264" t="s">
        <v>284</v>
      </c>
      <c r="C47" s="259"/>
      <c r="D47" s="260"/>
      <c r="E47" s="260"/>
      <c r="F47" s="261"/>
      <c r="G47" s="259"/>
      <c r="H47" s="260"/>
      <c r="I47" s="262"/>
      <c r="J47" s="259"/>
      <c r="K47" s="260"/>
      <c r="L47" s="262"/>
      <c r="M47" s="261"/>
      <c r="N47" s="261"/>
      <c r="O47" s="262"/>
    </row>
    <row r="48" spans="2:15" ht="22.5">
      <c r="B48" s="264" t="s">
        <v>285</v>
      </c>
      <c r="C48" s="259"/>
      <c r="D48" s="260"/>
      <c r="E48" s="260"/>
      <c r="F48" s="261"/>
      <c r="G48" s="259"/>
      <c r="H48" s="260"/>
      <c r="I48" s="262"/>
      <c r="J48" s="259"/>
      <c r="K48" s="260"/>
      <c r="L48" s="262"/>
      <c r="M48" s="261"/>
      <c r="N48" s="261"/>
      <c r="O48" s="262"/>
    </row>
    <row r="49" spans="2:15" ht="13.5" thickBot="1">
      <c r="B49" s="267"/>
      <c r="C49" s="259"/>
      <c r="D49" s="260"/>
      <c r="E49" s="260"/>
      <c r="F49" s="261"/>
      <c r="G49" s="259"/>
      <c r="H49" s="260"/>
      <c r="I49" s="262"/>
      <c r="J49" s="259"/>
      <c r="K49" s="260"/>
      <c r="L49" s="262"/>
      <c r="M49" s="261"/>
      <c r="N49" s="261"/>
      <c r="O49" s="262"/>
    </row>
    <row r="50" spans="2:15" ht="12.75">
      <c r="B50" s="268"/>
      <c r="C50" s="269"/>
      <c r="D50" s="270"/>
      <c r="E50" s="271"/>
      <c r="F50" s="272"/>
      <c r="G50" s="269"/>
      <c r="H50" s="273"/>
      <c r="I50" s="272"/>
      <c r="J50" s="269"/>
      <c r="K50" s="270"/>
      <c r="L50" s="274"/>
      <c r="M50" s="273"/>
      <c r="N50" s="273"/>
      <c r="O50" s="272"/>
    </row>
    <row r="51" spans="2:15" ht="13.5" thickBot="1">
      <c r="B51" s="275" t="s">
        <v>2</v>
      </c>
      <c r="C51" s="276"/>
      <c r="D51" s="277"/>
      <c r="E51" s="278"/>
      <c r="F51" s="279"/>
      <c r="G51" s="276"/>
      <c r="H51" s="280"/>
      <c r="I51" s="279"/>
      <c r="J51" s="276"/>
      <c r="K51" s="277"/>
      <c r="L51" s="281"/>
      <c r="M51" s="280"/>
      <c r="N51" s="280"/>
      <c r="O51" s="279"/>
    </row>
    <row r="52" spans="2:15" ht="14.25" thickBot="1" thickTop="1">
      <c r="B52" s="282" t="s">
        <v>286</v>
      </c>
      <c r="C52" s="283"/>
      <c r="D52" s="284"/>
      <c r="E52" s="285"/>
      <c r="F52" s="286"/>
      <c r="G52" s="283"/>
      <c r="H52" s="287"/>
      <c r="I52" s="286"/>
      <c r="J52" s="283"/>
      <c r="K52" s="284"/>
      <c r="L52" s="288"/>
      <c r="M52" s="287"/>
      <c r="N52" s="287"/>
      <c r="O52" s="286"/>
    </row>
    <row r="53" spans="2:15" ht="12.75">
      <c r="B53" s="19" t="s">
        <v>287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2:15" ht="12.75">
      <c r="B54" s="19" t="s">
        <v>288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</sheetData>
  <sheetProtection/>
  <mergeCells count="6">
    <mergeCell ref="B6:B7"/>
    <mergeCell ref="C6:F6"/>
    <mergeCell ref="G6:I6"/>
    <mergeCell ref="J6:O6"/>
    <mergeCell ref="B2:O2"/>
    <mergeCell ref="C23:O23"/>
  </mergeCells>
  <printOptions/>
  <pageMargins left="0.31496062992125984" right="0.7086614173228347" top="0.7480314960629921" bottom="0.7480314960629921" header="0.31496062992125984" footer="0.31496062992125984"/>
  <pageSetup horizontalDpi="200" verticalDpi="2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V25"/>
  <sheetViews>
    <sheetView zoomScaleSheetLayoutView="90" workbookViewId="0" topLeftCell="A1">
      <selection activeCell="A1" sqref="A1:A2"/>
    </sheetView>
  </sheetViews>
  <sheetFormatPr defaultColWidth="11.28125" defaultRowHeight="12.75"/>
  <cols>
    <col min="1" max="1" width="22.140625" style="58" customWidth="1"/>
    <col min="2" max="2" width="5.00390625" style="58" customWidth="1"/>
    <col min="3" max="3" width="9.00390625" style="58" customWidth="1"/>
    <col min="4" max="4" width="8.421875" style="58" customWidth="1"/>
    <col min="5" max="5" width="9.28125" style="58" customWidth="1"/>
    <col min="6" max="7" width="7.00390625" style="58" customWidth="1"/>
    <col min="8" max="8" width="9.7109375" style="58" customWidth="1"/>
    <col min="9" max="9" width="5.28125" style="58" customWidth="1"/>
    <col min="10" max="10" width="4.8515625" style="58" customWidth="1"/>
    <col min="11" max="11" width="8.57421875" style="58" customWidth="1"/>
    <col min="12" max="12" width="7.00390625" style="58" customWidth="1"/>
    <col min="13" max="13" width="8.57421875" style="58" customWidth="1"/>
    <col min="14" max="14" width="7.00390625" style="58" customWidth="1"/>
    <col min="15" max="15" width="8.28125" style="58" customWidth="1"/>
    <col min="16" max="16" width="8.421875" style="58" customWidth="1"/>
    <col min="17" max="17" width="7.00390625" style="58" customWidth="1"/>
    <col min="18" max="16384" width="11.28125" style="58" customWidth="1"/>
  </cols>
  <sheetData>
    <row r="1" spans="1:5" s="57" customFormat="1" ht="11.25">
      <c r="A1" s="554" t="s">
        <v>184</v>
      </c>
      <c r="B1" s="60"/>
      <c r="C1" s="60"/>
      <c r="D1" s="60"/>
      <c r="E1" s="60"/>
    </row>
    <row r="2" spans="1:22" s="57" customFormat="1" ht="12" thickBot="1">
      <c r="A2" s="55" t="s">
        <v>599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17" ht="12" thickBot="1">
      <c r="A3" s="618" t="s">
        <v>3</v>
      </c>
      <c r="B3" s="616" t="s">
        <v>185</v>
      </c>
      <c r="C3" s="617"/>
      <c r="D3" s="617"/>
      <c r="E3" s="617"/>
      <c r="F3" s="617"/>
      <c r="G3" s="617"/>
      <c r="H3" s="615"/>
      <c r="I3" s="614" t="s">
        <v>186</v>
      </c>
      <c r="J3" s="617"/>
      <c r="K3" s="617"/>
      <c r="L3" s="617"/>
      <c r="M3" s="615"/>
      <c r="N3" s="614" t="s">
        <v>187</v>
      </c>
      <c r="O3" s="615"/>
      <c r="P3" s="614" t="s">
        <v>2</v>
      </c>
      <c r="Q3" s="615"/>
    </row>
    <row r="4" spans="1:17" s="74" customFormat="1" ht="80.25" customHeight="1" thickBot="1">
      <c r="A4" s="619"/>
      <c r="B4" s="87" t="s">
        <v>117</v>
      </c>
      <c r="C4" s="88" t="s">
        <v>118</v>
      </c>
      <c r="D4" s="87" t="s">
        <v>119</v>
      </c>
      <c r="E4" s="87" t="s">
        <v>120</v>
      </c>
      <c r="F4" s="87" t="s">
        <v>121</v>
      </c>
      <c r="G4" s="86" t="s">
        <v>122</v>
      </c>
      <c r="H4" s="86" t="s">
        <v>123</v>
      </c>
      <c r="I4" s="87" t="s">
        <v>124</v>
      </c>
      <c r="J4" s="86" t="s">
        <v>122</v>
      </c>
      <c r="K4" s="86" t="s">
        <v>125</v>
      </c>
      <c r="L4" s="86" t="s">
        <v>126</v>
      </c>
      <c r="M4" s="86" t="s">
        <v>127</v>
      </c>
      <c r="N4" s="86" t="s">
        <v>128</v>
      </c>
      <c r="O4" s="88" t="s">
        <v>129</v>
      </c>
      <c r="P4" s="87" t="s">
        <v>4</v>
      </c>
      <c r="Q4" s="86" t="s">
        <v>5</v>
      </c>
    </row>
    <row r="5" spans="1:17" ht="11.25">
      <c r="A5" s="75"/>
      <c r="B5" s="67"/>
      <c r="C5" s="68"/>
      <c r="D5" s="67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8"/>
      <c r="Q5" s="75"/>
    </row>
    <row r="6" spans="1:17" ht="11.25">
      <c r="A6" s="75" t="s">
        <v>26</v>
      </c>
      <c r="B6" s="67"/>
      <c r="C6" s="68">
        <f>' F-04 Presupuesto'!D5</f>
        <v>29149045</v>
      </c>
      <c r="D6" s="67">
        <f>' F-04 Presupuesto'!E5</f>
        <v>2798753</v>
      </c>
      <c r="E6" s="69">
        <v>12270178</v>
      </c>
      <c r="F6" s="69">
        <f>' F-04 Presupuesto'!G5</f>
        <v>140300</v>
      </c>
      <c r="G6" s="69">
        <f>' F-04 Presupuesto'!H5</f>
        <v>514838</v>
      </c>
      <c r="H6" s="69">
        <f>SUM(C6:G6)</f>
        <v>44873114</v>
      </c>
      <c r="I6" s="69"/>
      <c r="J6" s="69"/>
      <c r="K6" s="69">
        <f>' F-04 Presupuesto'!L5</f>
        <v>1086500</v>
      </c>
      <c r="L6" s="69"/>
      <c r="M6" s="69">
        <f>SUM(K6:L6)</f>
        <v>1086500</v>
      </c>
      <c r="N6" s="69"/>
      <c r="O6" s="69"/>
      <c r="P6" s="68">
        <f>M6+H6</f>
        <v>45959614</v>
      </c>
      <c r="Q6" s="146">
        <f>P6/P24</f>
        <v>0.9997302706816369</v>
      </c>
    </row>
    <row r="7" spans="1:17" ht="11.25">
      <c r="A7" s="75"/>
      <c r="B7" s="67"/>
      <c r="C7" s="68"/>
      <c r="D7" s="67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8"/>
      <c r="Q7" s="146"/>
    </row>
    <row r="8" spans="1:17" ht="11.25">
      <c r="A8" s="75" t="s">
        <v>27</v>
      </c>
      <c r="B8" s="67"/>
      <c r="C8" s="68"/>
      <c r="D8" s="67"/>
      <c r="E8" s="69">
        <v>12400</v>
      </c>
      <c r="F8" s="69"/>
      <c r="G8" s="69"/>
      <c r="H8" s="69">
        <f>SUM(C8:G8)</f>
        <v>12400</v>
      </c>
      <c r="I8" s="69"/>
      <c r="J8" s="69"/>
      <c r="K8" s="69"/>
      <c r="L8" s="69"/>
      <c r="M8" s="69"/>
      <c r="N8" s="69"/>
      <c r="O8" s="69"/>
      <c r="P8" s="68">
        <f>M8+H8</f>
        <v>12400</v>
      </c>
      <c r="Q8" s="146">
        <f>P8/P24</f>
        <v>0.00026972931836312413</v>
      </c>
    </row>
    <row r="9" spans="1:17" ht="11.25" hidden="1">
      <c r="A9" s="75"/>
      <c r="B9" s="67"/>
      <c r="C9" s="68"/>
      <c r="D9" s="67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8"/>
      <c r="Q9" s="75"/>
    </row>
    <row r="10" spans="1:17" ht="11.25" hidden="1">
      <c r="A10" s="75" t="s">
        <v>28</v>
      </c>
      <c r="B10" s="67"/>
      <c r="C10" s="68"/>
      <c r="D10" s="67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8"/>
      <c r="Q10" s="75"/>
    </row>
    <row r="11" spans="1:17" ht="11.25" hidden="1">
      <c r="A11" s="75" t="s">
        <v>41</v>
      </c>
      <c r="B11" s="67"/>
      <c r="C11" s="68"/>
      <c r="D11" s="67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8"/>
      <c r="Q11" s="75"/>
    </row>
    <row r="12" spans="1:17" ht="11.25" hidden="1">
      <c r="A12" s="73"/>
      <c r="B12" s="67"/>
      <c r="C12" s="70"/>
      <c r="D12" s="71"/>
      <c r="E12" s="76"/>
      <c r="F12" s="76"/>
      <c r="G12" s="69"/>
      <c r="H12" s="69"/>
      <c r="I12" s="69"/>
      <c r="J12" s="69"/>
      <c r="K12" s="69"/>
      <c r="L12" s="69"/>
      <c r="M12" s="69"/>
      <c r="N12" s="69"/>
      <c r="O12" s="69"/>
      <c r="P12" s="68"/>
      <c r="Q12" s="75"/>
    </row>
    <row r="13" spans="1:17" ht="11.25" hidden="1">
      <c r="A13" s="75" t="s">
        <v>29</v>
      </c>
      <c r="B13" s="67"/>
      <c r="C13" s="68"/>
      <c r="D13" s="67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8"/>
      <c r="Q13" s="75"/>
    </row>
    <row r="14" spans="1:17" ht="11.25" hidden="1">
      <c r="A14" s="75"/>
      <c r="B14" s="67"/>
      <c r="C14" s="68"/>
      <c r="D14" s="67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8"/>
      <c r="Q14" s="75"/>
    </row>
    <row r="15" spans="1:17" ht="11.25" hidden="1">
      <c r="A15" s="75" t="s">
        <v>30</v>
      </c>
      <c r="B15" s="67"/>
      <c r="C15" s="68"/>
      <c r="D15" s="67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8"/>
      <c r="Q15" s="75"/>
    </row>
    <row r="16" spans="1:17" ht="11.25" hidden="1">
      <c r="A16" s="75"/>
      <c r="B16" s="67"/>
      <c r="C16" s="68"/>
      <c r="D16" s="67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8"/>
      <c r="Q16" s="75"/>
    </row>
    <row r="17" spans="1:17" ht="11.25" hidden="1">
      <c r="A17" s="75" t="s">
        <v>34</v>
      </c>
      <c r="B17" s="67"/>
      <c r="C17" s="68"/>
      <c r="D17" s="67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8"/>
      <c r="Q17" s="75"/>
    </row>
    <row r="18" spans="1:17" ht="11.25" hidden="1">
      <c r="A18" s="75" t="s">
        <v>35</v>
      </c>
      <c r="B18" s="67"/>
      <c r="C18" s="68"/>
      <c r="D18" s="67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8"/>
      <c r="Q18" s="75"/>
    </row>
    <row r="19" spans="1:17" ht="11.25" hidden="1">
      <c r="A19" s="75" t="s">
        <v>31</v>
      </c>
      <c r="B19" s="67"/>
      <c r="C19" s="68"/>
      <c r="D19" s="67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8"/>
      <c r="Q19" s="75"/>
    </row>
    <row r="20" spans="1:17" ht="11.25" hidden="1">
      <c r="A20" s="75" t="s">
        <v>32</v>
      </c>
      <c r="B20" s="67"/>
      <c r="C20" s="68"/>
      <c r="D20" s="67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8"/>
      <c r="Q20" s="75"/>
    </row>
    <row r="21" spans="1:17" ht="11.25" hidden="1">
      <c r="A21" s="75" t="s">
        <v>33</v>
      </c>
      <c r="B21" s="67"/>
      <c r="C21" s="68"/>
      <c r="D21" s="67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8"/>
      <c r="Q21" s="75"/>
    </row>
    <row r="22" spans="1:17" ht="11.25" hidden="1">
      <c r="A22" s="75" t="s">
        <v>38</v>
      </c>
      <c r="B22" s="67"/>
      <c r="C22" s="68"/>
      <c r="D22" s="67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8"/>
      <c r="Q22" s="75"/>
    </row>
    <row r="23" spans="1:17" ht="12" thickBot="1">
      <c r="A23" s="72"/>
      <c r="B23" s="72"/>
      <c r="C23" s="77"/>
      <c r="D23" s="75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7"/>
      <c r="Q23" s="75"/>
    </row>
    <row r="24" spans="1:17" ht="12" thickBot="1">
      <c r="A24" s="79" t="s">
        <v>2</v>
      </c>
      <c r="B24" s="59"/>
      <c r="C24" s="147">
        <f aca="true" t="shared" si="0" ref="C24:H24">SUM(C6:C23)</f>
        <v>29149045</v>
      </c>
      <c r="D24" s="147">
        <f t="shared" si="0"/>
        <v>2798753</v>
      </c>
      <c r="E24" s="147">
        <f t="shared" si="0"/>
        <v>12282578</v>
      </c>
      <c r="F24" s="147">
        <f t="shared" si="0"/>
        <v>140300</v>
      </c>
      <c r="G24" s="147">
        <f t="shared" si="0"/>
        <v>514838</v>
      </c>
      <c r="H24" s="147">
        <f t="shared" si="0"/>
        <v>44885514</v>
      </c>
      <c r="I24" s="148"/>
      <c r="J24" s="148"/>
      <c r="K24" s="147">
        <f>SUM(K6:K23)</f>
        <v>1086500</v>
      </c>
      <c r="L24" s="148"/>
      <c r="M24" s="147">
        <f>SUM(M6:M23)</f>
        <v>1086500</v>
      </c>
      <c r="N24" s="148"/>
      <c r="O24" s="148"/>
      <c r="P24" s="147">
        <f>SUM(P6:P23)</f>
        <v>45972014</v>
      </c>
      <c r="Q24" s="149">
        <f>SUM(Q6:Q23)</f>
        <v>1</v>
      </c>
    </row>
    <row r="25" spans="1:17" ht="11.25">
      <c r="A25" s="63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</sheetData>
  <sheetProtection/>
  <mergeCells count="5">
    <mergeCell ref="P3:Q3"/>
    <mergeCell ref="B3:H3"/>
    <mergeCell ref="I3:M3"/>
    <mergeCell ref="A3:A4"/>
    <mergeCell ref="N3:O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&amp;C&amp;"Arial,Negrita"&amp;18PROYECTO DEL PRESUPUESTO 2021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108"/>
  <sheetViews>
    <sheetView zoomScaleSheetLayoutView="70" zoomScalePageLayoutView="90" workbookViewId="0" topLeftCell="A1">
      <selection activeCell="A1" sqref="A1:A2"/>
    </sheetView>
  </sheetViews>
  <sheetFormatPr defaultColWidth="11.421875" defaultRowHeight="12.75"/>
  <cols>
    <col min="1" max="1" width="11.57421875" style="3" customWidth="1"/>
    <col min="2" max="2" width="16.28125" style="3" bestFit="1" customWidth="1"/>
    <col min="3" max="3" width="6.57421875" style="3" customWidth="1"/>
    <col min="4" max="4" width="10.421875" style="3" customWidth="1"/>
    <col min="5" max="5" width="8.7109375" style="3" customWidth="1"/>
    <col min="6" max="6" width="9.7109375" style="3" customWidth="1"/>
    <col min="7" max="8" width="8.7109375" style="3" customWidth="1"/>
    <col min="9" max="9" width="12.7109375" style="3" customWidth="1"/>
    <col min="10" max="10" width="6.140625" style="3" customWidth="1"/>
    <col min="11" max="11" width="4.7109375" style="3" customWidth="1"/>
    <col min="12" max="12" width="10.8515625" style="3" customWidth="1"/>
    <col min="13" max="13" width="6.421875" style="3" customWidth="1"/>
    <col min="14" max="14" width="11.57421875" style="3" customWidth="1"/>
    <col min="15" max="15" width="5.28125" style="3" customWidth="1"/>
    <col min="16" max="16" width="5.57421875" style="3" customWidth="1"/>
    <col min="17" max="17" width="12.421875" style="3" customWidth="1"/>
    <col min="18" max="18" width="7.421875" style="3" customWidth="1"/>
    <col min="19" max="16384" width="11.421875" style="3" customWidth="1"/>
  </cols>
  <sheetData>
    <row r="1" spans="1:18" s="5" customFormat="1" ht="12">
      <c r="A1" s="54" t="s">
        <v>188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2" s="5" customFormat="1" ht="12.75" thickBot="1">
      <c r="A2" s="55" t="s">
        <v>599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18" ht="27" customHeight="1">
      <c r="A3" s="622" t="s">
        <v>60</v>
      </c>
      <c r="B3" s="629" t="s">
        <v>61</v>
      </c>
      <c r="C3" s="624" t="s">
        <v>6</v>
      </c>
      <c r="D3" s="625"/>
      <c r="E3" s="625"/>
      <c r="F3" s="625"/>
      <c r="G3" s="625"/>
      <c r="H3" s="625"/>
      <c r="I3" s="626"/>
      <c r="J3" s="627" t="s">
        <v>47</v>
      </c>
      <c r="K3" s="620"/>
      <c r="L3" s="620"/>
      <c r="M3" s="620"/>
      <c r="N3" s="621"/>
      <c r="O3" s="628" t="s">
        <v>42</v>
      </c>
      <c r="P3" s="620"/>
      <c r="Q3" s="620" t="s">
        <v>2</v>
      </c>
      <c r="R3" s="621"/>
    </row>
    <row r="4" spans="1:18" ht="112.5" customHeight="1" thickBot="1">
      <c r="A4" s="623"/>
      <c r="B4" s="630"/>
      <c r="C4" s="89" t="s">
        <v>71</v>
      </c>
      <c r="D4" s="90" t="s">
        <v>72</v>
      </c>
      <c r="E4" s="90" t="s">
        <v>73</v>
      </c>
      <c r="F4" s="90" t="s">
        <v>74</v>
      </c>
      <c r="G4" s="90" t="s">
        <v>75</v>
      </c>
      <c r="H4" s="90" t="s">
        <v>76</v>
      </c>
      <c r="I4" s="91" t="s">
        <v>44</v>
      </c>
      <c r="J4" s="89" t="s">
        <v>75</v>
      </c>
      <c r="K4" s="90" t="s">
        <v>76</v>
      </c>
      <c r="L4" s="90" t="s">
        <v>77</v>
      </c>
      <c r="M4" s="90" t="s">
        <v>78</v>
      </c>
      <c r="N4" s="91" t="s">
        <v>45</v>
      </c>
      <c r="O4" s="92" t="s">
        <v>79</v>
      </c>
      <c r="P4" s="90" t="s">
        <v>46</v>
      </c>
      <c r="Q4" s="93" t="s">
        <v>25</v>
      </c>
      <c r="R4" s="94" t="s">
        <v>40</v>
      </c>
    </row>
    <row r="5" spans="1:18" ht="12" hidden="1">
      <c r="A5" s="10" t="s">
        <v>62</v>
      </c>
      <c r="B5" s="15">
        <v>2019</v>
      </c>
      <c r="C5" s="24"/>
      <c r="D5" s="22"/>
      <c r="E5" s="22"/>
      <c r="F5" s="22"/>
      <c r="G5" s="22"/>
      <c r="H5" s="22"/>
      <c r="I5" s="23"/>
      <c r="J5" s="24"/>
      <c r="K5" s="22"/>
      <c r="L5" s="22"/>
      <c r="M5" s="22"/>
      <c r="N5" s="23"/>
      <c r="O5" s="21"/>
      <c r="P5" s="22"/>
      <c r="Q5" s="22"/>
      <c r="R5" s="23"/>
    </row>
    <row r="6" spans="1:18" ht="12" hidden="1">
      <c r="A6" s="11"/>
      <c r="B6" s="9">
        <v>2020</v>
      </c>
      <c r="C6" s="25"/>
      <c r="D6" s="26"/>
      <c r="E6" s="26"/>
      <c r="F6" s="26"/>
      <c r="G6" s="26"/>
      <c r="H6" s="26"/>
      <c r="I6" s="27"/>
      <c r="J6" s="25"/>
      <c r="K6" s="26"/>
      <c r="L6" s="26"/>
      <c r="M6" s="26"/>
      <c r="N6" s="27"/>
      <c r="O6" s="28"/>
      <c r="P6" s="26"/>
      <c r="Q6" s="26"/>
      <c r="R6" s="27"/>
    </row>
    <row r="7" spans="1:18" ht="12" hidden="1">
      <c r="A7" s="11"/>
      <c r="B7" s="9">
        <v>2021</v>
      </c>
      <c r="C7" s="29"/>
      <c r="D7" s="30"/>
      <c r="E7" s="30"/>
      <c r="F7" s="30"/>
      <c r="G7" s="30"/>
      <c r="H7" s="30"/>
      <c r="I7" s="31"/>
      <c r="J7" s="29"/>
      <c r="K7" s="30"/>
      <c r="L7" s="30"/>
      <c r="M7" s="30"/>
      <c r="N7" s="31"/>
      <c r="O7" s="32"/>
      <c r="P7" s="30"/>
      <c r="Q7" s="30"/>
      <c r="R7" s="31"/>
    </row>
    <row r="8" spans="1:18" ht="12.75" hidden="1" thickBot="1">
      <c r="A8" s="16"/>
      <c r="B8" s="20" t="s">
        <v>189</v>
      </c>
      <c r="C8" s="33"/>
      <c r="D8" s="34"/>
      <c r="E8" s="34"/>
      <c r="F8" s="34"/>
      <c r="G8" s="34"/>
      <c r="H8" s="34"/>
      <c r="I8" s="35"/>
      <c r="J8" s="33"/>
      <c r="K8" s="34"/>
      <c r="L8" s="34"/>
      <c r="M8" s="34"/>
      <c r="N8" s="35"/>
      <c r="O8" s="36"/>
      <c r="P8" s="34"/>
      <c r="Q8" s="34"/>
      <c r="R8" s="35"/>
    </row>
    <row r="9" spans="1:18" ht="12" hidden="1">
      <c r="A9" s="4" t="s">
        <v>63</v>
      </c>
      <c r="B9" s="15">
        <v>2019</v>
      </c>
      <c r="C9" s="37"/>
      <c r="D9" s="38"/>
      <c r="E9" s="38"/>
      <c r="F9" s="38"/>
      <c r="G9" s="38"/>
      <c r="H9" s="38"/>
      <c r="I9" s="39"/>
      <c r="J9" s="37"/>
      <c r="K9" s="38"/>
      <c r="L9" s="38"/>
      <c r="M9" s="38"/>
      <c r="N9" s="39"/>
      <c r="O9" s="40"/>
      <c r="P9" s="38"/>
      <c r="Q9" s="38"/>
      <c r="R9" s="39"/>
    </row>
    <row r="10" spans="1:18" ht="12" hidden="1">
      <c r="A10" s="11"/>
      <c r="B10" s="9">
        <v>2020</v>
      </c>
      <c r="C10" s="25"/>
      <c r="D10" s="26"/>
      <c r="E10" s="26"/>
      <c r="F10" s="26"/>
      <c r="G10" s="26"/>
      <c r="H10" s="26"/>
      <c r="I10" s="27"/>
      <c r="J10" s="25"/>
      <c r="K10" s="26"/>
      <c r="L10" s="26"/>
      <c r="M10" s="26"/>
      <c r="N10" s="27"/>
      <c r="O10" s="28"/>
      <c r="P10" s="26"/>
      <c r="Q10" s="26"/>
      <c r="R10" s="27"/>
    </row>
    <row r="11" spans="1:18" ht="12" hidden="1">
      <c r="A11" s="11"/>
      <c r="B11" s="9">
        <v>2021</v>
      </c>
      <c r="C11" s="25"/>
      <c r="D11" s="26"/>
      <c r="E11" s="26"/>
      <c r="F11" s="26"/>
      <c r="G11" s="26"/>
      <c r="H11" s="26"/>
      <c r="I11" s="27"/>
      <c r="J11" s="25"/>
      <c r="K11" s="26"/>
      <c r="L11" s="26"/>
      <c r="M11" s="26"/>
      <c r="N11" s="27"/>
      <c r="O11" s="28"/>
      <c r="P11" s="26"/>
      <c r="Q11" s="26"/>
      <c r="R11" s="27"/>
    </row>
    <row r="12" spans="1:18" ht="12.75" hidden="1" thickBot="1">
      <c r="A12" s="12"/>
      <c r="B12" s="20" t="s">
        <v>189</v>
      </c>
      <c r="C12" s="33"/>
      <c r="D12" s="41"/>
      <c r="E12" s="41"/>
      <c r="F12" s="41" t="s">
        <v>43</v>
      </c>
      <c r="G12" s="41"/>
      <c r="H12" s="34"/>
      <c r="I12" s="35"/>
      <c r="J12" s="33"/>
      <c r="K12" s="34"/>
      <c r="L12" s="34"/>
      <c r="M12" s="34"/>
      <c r="N12" s="35"/>
      <c r="O12" s="36"/>
      <c r="P12" s="34"/>
      <c r="Q12" s="34"/>
      <c r="R12" s="35"/>
    </row>
    <row r="13" spans="1:18" ht="12" hidden="1">
      <c r="A13" s="10" t="s">
        <v>64</v>
      </c>
      <c r="B13" s="15">
        <v>2019</v>
      </c>
      <c r="C13" s="24"/>
      <c r="D13" s="22"/>
      <c r="E13" s="22"/>
      <c r="F13" s="22"/>
      <c r="G13" s="22"/>
      <c r="H13" s="22"/>
      <c r="I13" s="23"/>
      <c r="J13" s="24"/>
      <c r="K13" s="22"/>
      <c r="L13" s="22"/>
      <c r="M13" s="22"/>
      <c r="N13" s="23"/>
      <c r="O13" s="21"/>
      <c r="P13" s="22"/>
      <c r="Q13" s="22"/>
      <c r="R13" s="23"/>
    </row>
    <row r="14" spans="1:18" ht="12" hidden="1">
      <c r="A14" s="11"/>
      <c r="B14" s="9">
        <v>2020</v>
      </c>
      <c r="C14" s="25"/>
      <c r="D14" s="26"/>
      <c r="E14" s="26"/>
      <c r="F14" s="26"/>
      <c r="G14" s="26"/>
      <c r="H14" s="26"/>
      <c r="I14" s="27"/>
      <c r="J14" s="25"/>
      <c r="K14" s="26"/>
      <c r="L14" s="26"/>
      <c r="M14" s="26"/>
      <c r="N14" s="27"/>
      <c r="O14" s="28"/>
      <c r="P14" s="26"/>
      <c r="Q14" s="26"/>
      <c r="R14" s="27"/>
    </row>
    <row r="15" spans="1:18" ht="12" hidden="1">
      <c r="A15" s="11"/>
      <c r="B15" s="9">
        <v>2021</v>
      </c>
      <c r="C15" s="25"/>
      <c r="D15" s="26"/>
      <c r="E15" s="26"/>
      <c r="F15" s="26"/>
      <c r="G15" s="26"/>
      <c r="H15" s="26"/>
      <c r="I15" s="27"/>
      <c r="J15" s="25"/>
      <c r="K15" s="26"/>
      <c r="L15" s="26"/>
      <c r="M15" s="26"/>
      <c r="N15" s="27"/>
      <c r="O15" s="28"/>
      <c r="P15" s="26"/>
      <c r="Q15" s="26"/>
      <c r="R15" s="27"/>
    </row>
    <row r="16" spans="1:18" ht="12.75" hidden="1" thickBot="1">
      <c r="A16" s="12"/>
      <c r="B16" s="20" t="s">
        <v>189</v>
      </c>
      <c r="C16" s="33"/>
      <c r="D16" s="34"/>
      <c r="E16" s="34"/>
      <c r="F16" s="34"/>
      <c r="G16" s="34"/>
      <c r="H16" s="34"/>
      <c r="I16" s="35"/>
      <c r="J16" s="33"/>
      <c r="K16" s="34"/>
      <c r="L16" s="34"/>
      <c r="M16" s="34"/>
      <c r="N16" s="35"/>
      <c r="O16" s="36"/>
      <c r="P16" s="34"/>
      <c r="Q16" s="34"/>
      <c r="R16" s="35"/>
    </row>
    <row r="17" spans="1:18" ht="12" hidden="1">
      <c r="A17" s="10" t="s">
        <v>80</v>
      </c>
      <c r="B17" s="15">
        <v>2019</v>
      </c>
      <c r="C17" s="24"/>
      <c r="D17" s="22"/>
      <c r="E17" s="22"/>
      <c r="F17" s="22"/>
      <c r="G17" s="22"/>
      <c r="H17" s="22"/>
      <c r="I17" s="23"/>
      <c r="J17" s="24"/>
      <c r="K17" s="22"/>
      <c r="L17" s="22"/>
      <c r="M17" s="22"/>
      <c r="N17" s="23"/>
      <c r="O17" s="21"/>
      <c r="P17" s="22"/>
      <c r="Q17" s="22"/>
      <c r="R17" s="23"/>
    </row>
    <row r="18" spans="1:18" ht="12" hidden="1">
      <c r="A18" s="11"/>
      <c r="B18" s="9">
        <v>2020</v>
      </c>
      <c r="C18" s="25"/>
      <c r="D18" s="26"/>
      <c r="E18" s="26"/>
      <c r="F18" s="26"/>
      <c r="G18" s="26"/>
      <c r="H18" s="26"/>
      <c r="I18" s="27"/>
      <c r="J18" s="25"/>
      <c r="K18" s="26"/>
      <c r="L18" s="26"/>
      <c r="M18" s="26"/>
      <c r="N18" s="27"/>
      <c r="O18" s="28"/>
      <c r="P18" s="26"/>
      <c r="Q18" s="26"/>
      <c r="R18" s="27"/>
    </row>
    <row r="19" spans="1:18" ht="12" hidden="1">
      <c r="A19" s="11"/>
      <c r="B19" s="9">
        <v>2021</v>
      </c>
      <c r="C19" s="25"/>
      <c r="D19" s="26"/>
      <c r="E19" s="26"/>
      <c r="F19" s="26"/>
      <c r="G19" s="26"/>
      <c r="H19" s="26"/>
      <c r="I19" s="27"/>
      <c r="J19" s="25"/>
      <c r="K19" s="26"/>
      <c r="L19" s="26"/>
      <c r="M19" s="26"/>
      <c r="N19" s="27"/>
      <c r="O19" s="28"/>
      <c r="P19" s="26"/>
      <c r="Q19" s="26"/>
      <c r="R19" s="27"/>
    </row>
    <row r="20" spans="1:18" ht="12.75" hidden="1" thickBot="1">
      <c r="A20" s="12"/>
      <c r="B20" s="20" t="s">
        <v>189</v>
      </c>
      <c r="C20" s="33"/>
      <c r="D20" s="34"/>
      <c r="E20" s="34"/>
      <c r="F20" s="34"/>
      <c r="G20" s="34"/>
      <c r="H20" s="34"/>
      <c r="I20" s="35"/>
      <c r="J20" s="33"/>
      <c r="K20" s="34"/>
      <c r="L20" s="34"/>
      <c r="M20" s="34"/>
      <c r="N20" s="35"/>
      <c r="O20" s="36"/>
      <c r="P20" s="34"/>
      <c r="Q20" s="34"/>
      <c r="R20" s="35"/>
    </row>
    <row r="21" spans="1:18" ht="12" hidden="1">
      <c r="A21" s="10" t="s">
        <v>81</v>
      </c>
      <c r="B21" s="15">
        <v>2019</v>
      </c>
      <c r="C21" s="24"/>
      <c r="D21" s="22"/>
      <c r="E21" s="22"/>
      <c r="F21" s="22"/>
      <c r="G21" s="22"/>
      <c r="H21" s="22"/>
      <c r="I21" s="23"/>
      <c r="J21" s="24"/>
      <c r="K21" s="22"/>
      <c r="L21" s="22"/>
      <c r="M21" s="22"/>
      <c r="N21" s="23"/>
      <c r="O21" s="21"/>
      <c r="P21" s="22"/>
      <c r="Q21" s="22"/>
      <c r="R21" s="23"/>
    </row>
    <row r="22" spans="1:18" ht="12" hidden="1">
      <c r="A22" s="11"/>
      <c r="B22" s="9">
        <v>2020</v>
      </c>
      <c r="C22" s="25"/>
      <c r="D22" s="26"/>
      <c r="E22" s="26"/>
      <c r="F22" s="26"/>
      <c r="G22" s="26"/>
      <c r="H22" s="26"/>
      <c r="I22" s="27"/>
      <c r="J22" s="25"/>
      <c r="K22" s="26"/>
      <c r="L22" s="26"/>
      <c r="M22" s="26"/>
      <c r="N22" s="27"/>
      <c r="O22" s="28"/>
      <c r="P22" s="26"/>
      <c r="Q22" s="26"/>
      <c r="R22" s="27"/>
    </row>
    <row r="23" spans="1:18" ht="12" hidden="1">
      <c r="A23" s="11"/>
      <c r="B23" s="9">
        <v>2021</v>
      </c>
      <c r="C23" s="25"/>
      <c r="D23" s="26"/>
      <c r="E23" s="26"/>
      <c r="F23" s="26"/>
      <c r="G23" s="26"/>
      <c r="H23" s="26"/>
      <c r="I23" s="27"/>
      <c r="J23" s="25"/>
      <c r="K23" s="26"/>
      <c r="L23" s="26"/>
      <c r="M23" s="26"/>
      <c r="N23" s="27"/>
      <c r="O23" s="28"/>
      <c r="P23" s="26"/>
      <c r="Q23" s="26"/>
      <c r="R23" s="27"/>
    </row>
    <row r="24" spans="1:18" ht="12.75" hidden="1" thickBot="1">
      <c r="A24" s="12"/>
      <c r="B24" s="20" t="s">
        <v>189</v>
      </c>
      <c r="C24" s="33"/>
      <c r="D24" s="34"/>
      <c r="E24" s="34"/>
      <c r="F24" s="34"/>
      <c r="G24" s="34"/>
      <c r="H24" s="34"/>
      <c r="I24" s="35"/>
      <c r="J24" s="33"/>
      <c r="K24" s="34"/>
      <c r="L24" s="34"/>
      <c r="M24" s="34"/>
      <c r="N24" s="35"/>
      <c r="O24" s="36"/>
      <c r="P24" s="34"/>
      <c r="Q24" s="34"/>
      <c r="R24" s="35"/>
    </row>
    <row r="25" spans="1:18" ht="12">
      <c r="A25" s="10" t="s">
        <v>82</v>
      </c>
      <c r="B25" s="15">
        <v>2019</v>
      </c>
      <c r="C25" s="24"/>
      <c r="D25" s="166">
        <f>'F-03 Presupuesto'!B6</f>
        <v>28794180</v>
      </c>
      <c r="E25" s="166">
        <f>'F-03 Presupuesto'!B7</f>
        <v>2932148</v>
      </c>
      <c r="F25" s="166">
        <f>'F-03 Presupuesto'!B8</f>
        <v>10676499</v>
      </c>
      <c r="G25" s="166">
        <f>'F-03 Presupuesto'!B9</f>
        <v>42000</v>
      </c>
      <c r="H25" s="166">
        <f>'F-03 Presupuesto'!B10</f>
        <v>514838</v>
      </c>
      <c r="I25" s="180">
        <f>SUM(D25:H25)</f>
        <v>42959665</v>
      </c>
      <c r="J25" s="168"/>
      <c r="K25" s="166"/>
      <c r="L25" s="166">
        <f>'F-03 Presupuesto'!B14</f>
        <v>10072152</v>
      </c>
      <c r="M25" s="166"/>
      <c r="N25" s="171">
        <f>L25</f>
        <v>10072152</v>
      </c>
      <c r="O25" s="168"/>
      <c r="P25" s="166"/>
      <c r="Q25" s="178">
        <f>I25+N25</f>
        <v>53031817</v>
      </c>
      <c r="R25" s="155"/>
    </row>
    <row r="26" spans="1:18" ht="12">
      <c r="A26" s="11"/>
      <c r="B26" s="9">
        <v>2020</v>
      </c>
      <c r="C26" s="25"/>
      <c r="D26" s="169">
        <f>'F-03 Presupuesto'!C6</f>
        <v>29409239</v>
      </c>
      <c r="E26" s="169">
        <f>'F-03 Presupuesto'!C7</f>
        <v>2727485</v>
      </c>
      <c r="F26" s="169">
        <f>'F-03 Presupuesto'!C8</f>
        <v>10219192</v>
      </c>
      <c r="G26" s="169">
        <f>'F-03 Presupuesto'!C9</f>
        <v>118000</v>
      </c>
      <c r="H26" s="169">
        <f>'F-03 Presupuesto'!C10</f>
        <v>514838</v>
      </c>
      <c r="I26" s="181">
        <f>SUM(D26:H26)</f>
        <v>42988754</v>
      </c>
      <c r="J26" s="159"/>
      <c r="K26" s="157"/>
      <c r="L26" s="157">
        <f>'F-03 Presupuesto'!C14</f>
        <v>767868</v>
      </c>
      <c r="M26" s="157"/>
      <c r="N26" s="177">
        <f>L26</f>
        <v>767868</v>
      </c>
      <c r="O26" s="165"/>
      <c r="P26" s="164"/>
      <c r="Q26" s="179">
        <f>I26+N26</f>
        <v>43756622</v>
      </c>
      <c r="R26" s="158"/>
    </row>
    <row r="27" spans="1:18" ht="12">
      <c r="A27" s="11"/>
      <c r="B27" s="9">
        <v>2021</v>
      </c>
      <c r="C27" s="25"/>
      <c r="D27" s="170">
        <f>' F-04 Presupuesto'!D5</f>
        <v>29149045</v>
      </c>
      <c r="E27" s="170">
        <f>' F-04 Presupuesto'!E5</f>
        <v>2798753</v>
      </c>
      <c r="F27" s="170">
        <f>' F-04 Presupuesto'!F5</f>
        <v>12282578</v>
      </c>
      <c r="G27" s="170">
        <f>' F-04 Presupuesto'!G5</f>
        <v>140300</v>
      </c>
      <c r="H27" s="170">
        <f>' F-04 Presupuesto'!H5</f>
        <v>514838</v>
      </c>
      <c r="I27" s="182">
        <f>SUM(D27:H27)</f>
        <v>44885514</v>
      </c>
      <c r="J27" s="159"/>
      <c r="K27" s="157"/>
      <c r="L27" s="170">
        <f>' F-04 Presupuesto'!L5</f>
        <v>1086500</v>
      </c>
      <c r="M27" s="157"/>
      <c r="N27" s="177">
        <f>L27</f>
        <v>1086500</v>
      </c>
      <c r="O27" s="159"/>
      <c r="P27" s="157"/>
      <c r="Q27" s="179">
        <f>I27+N27</f>
        <v>45972014</v>
      </c>
      <c r="R27" s="158"/>
    </row>
    <row r="28" spans="1:18" ht="12.75" thickBot="1">
      <c r="A28" s="12"/>
      <c r="B28" s="20" t="s">
        <v>189</v>
      </c>
      <c r="C28" s="33"/>
      <c r="D28" s="175">
        <f aca="true" t="shared" si="0" ref="D28:I28">(D27-D26)/D26</f>
        <v>-0.008847355757828348</v>
      </c>
      <c r="E28" s="175">
        <f t="shared" si="0"/>
        <v>0.026129566248760304</v>
      </c>
      <c r="F28" s="175">
        <f t="shared" si="0"/>
        <v>0.20191283224740272</v>
      </c>
      <c r="G28" s="175">
        <f t="shared" si="0"/>
        <v>0.18898305084745762</v>
      </c>
      <c r="H28" s="175">
        <f t="shared" si="0"/>
        <v>0</v>
      </c>
      <c r="I28" s="183">
        <f t="shared" si="0"/>
        <v>0.04412223717858861</v>
      </c>
      <c r="J28" s="174"/>
      <c r="K28" s="172"/>
      <c r="L28" s="175">
        <f>(L27-L26)/L26</f>
        <v>0.4149567373558997</v>
      </c>
      <c r="M28" s="172"/>
      <c r="N28" s="187">
        <f>(N27-N26)/N26</f>
        <v>0.4149567373558997</v>
      </c>
      <c r="O28" s="174"/>
      <c r="P28" s="172"/>
      <c r="Q28" s="176">
        <f>(Q27-Q26)/Q26</f>
        <v>0.050629868091737064</v>
      </c>
      <c r="R28" s="173"/>
    </row>
    <row r="29" spans="1:18" ht="12" hidden="1">
      <c r="A29" s="10" t="s">
        <v>83</v>
      </c>
      <c r="B29" s="15">
        <v>2019</v>
      </c>
      <c r="C29" s="24"/>
      <c r="D29" s="154"/>
      <c r="E29" s="154"/>
      <c r="F29" s="154"/>
      <c r="G29" s="154"/>
      <c r="H29" s="154"/>
      <c r="I29" s="184"/>
      <c r="J29" s="156"/>
      <c r="K29" s="154"/>
      <c r="L29" s="154"/>
      <c r="M29" s="154"/>
      <c r="N29" s="155"/>
      <c r="O29" s="156"/>
      <c r="P29" s="154"/>
      <c r="Q29" s="154"/>
      <c r="R29" s="155"/>
    </row>
    <row r="30" spans="1:18" ht="12" hidden="1">
      <c r="A30" s="11"/>
      <c r="B30" s="9">
        <v>2020</v>
      </c>
      <c r="C30" s="25"/>
      <c r="D30" s="157"/>
      <c r="E30" s="157"/>
      <c r="F30" s="157"/>
      <c r="G30" s="157"/>
      <c r="H30" s="157"/>
      <c r="I30" s="185"/>
      <c r="J30" s="159"/>
      <c r="K30" s="157"/>
      <c r="L30" s="157"/>
      <c r="M30" s="157"/>
      <c r="N30" s="158"/>
      <c r="O30" s="159"/>
      <c r="P30" s="157"/>
      <c r="Q30" s="157"/>
      <c r="R30" s="158"/>
    </row>
    <row r="31" spans="1:18" ht="12" hidden="1">
      <c r="A31" s="11"/>
      <c r="B31" s="9">
        <v>2021</v>
      </c>
      <c r="C31" s="25"/>
      <c r="D31" s="157"/>
      <c r="E31" s="157"/>
      <c r="F31" s="157"/>
      <c r="G31" s="157"/>
      <c r="H31" s="157"/>
      <c r="I31" s="185"/>
      <c r="J31" s="159"/>
      <c r="K31" s="157"/>
      <c r="L31" s="157"/>
      <c r="M31" s="157"/>
      <c r="N31" s="158"/>
      <c r="O31" s="159"/>
      <c r="P31" s="157"/>
      <c r="Q31" s="157"/>
      <c r="R31" s="158"/>
    </row>
    <row r="32" spans="1:18" ht="12.75" hidden="1" thickBot="1">
      <c r="A32" s="12"/>
      <c r="B32" s="20" t="s">
        <v>189</v>
      </c>
      <c r="C32" s="33"/>
      <c r="D32" s="160"/>
      <c r="E32" s="160"/>
      <c r="F32" s="160"/>
      <c r="G32" s="160"/>
      <c r="H32" s="160"/>
      <c r="I32" s="186"/>
      <c r="J32" s="162"/>
      <c r="K32" s="160"/>
      <c r="L32" s="160"/>
      <c r="M32" s="160"/>
      <c r="N32" s="161"/>
      <c r="O32" s="162"/>
      <c r="P32" s="160"/>
      <c r="Q32" s="160"/>
      <c r="R32" s="161"/>
    </row>
    <row r="33" spans="1:18" ht="12" hidden="1">
      <c r="A33" s="10" t="s">
        <v>84</v>
      </c>
      <c r="B33" s="15">
        <v>2019</v>
      </c>
      <c r="C33" s="24"/>
      <c r="D33" s="154"/>
      <c r="E33" s="154"/>
      <c r="F33" s="154"/>
      <c r="G33" s="154"/>
      <c r="H33" s="154"/>
      <c r="I33" s="184"/>
      <c r="J33" s="156"/>
      <c r="K33" s="154"/>
      <c r="L33" s="154"/>
      <c r="M33" s="154"/>
      <c r="N33" s="155"/>
      <c r="O33" s="156"/>
      <c r="P33" s="154"/>
      <c r="Q33" s="154"/>
      <c r="R33" s="155"/>
    </row>
    <row r="34" spans="1:18" ht="12" hidden="1">
      <c r="A34" s="11"/>
      <c r="B34" s="9">
        <v>2020</v>
      </c>
      <c r="C34" s="25"/>
      <c r="D34" s="157"/>
      <c r="E34" s="157"/>
      <c r="F34" s="157"/>
      <c r="G34" s="157"/>
      <c r="H34" s="157"/>
      <c r="I34" s="185"/>
      <c r="J34" s="159"/>
      <c r="K34" s="157"/>
      <c r="L34" s="157"/>
      <c r="M34" s="157"/>
      <c r="N34" s="158"/>
      <c r="O34" s="159"/>
      <c r="P34" s="157"/>
      <c r="Q34" s="157"/>
      <c r="R34" s="158"/>
    </row>
    <row r="35" spans="1:18" ht="12" hidden="1">
      <c r="A35" s="11"/>
      <c r="B35" s="9">
        <v>2021</v>
      </c>
      <c r="C35" s="25"/>
      <c r="D35" s="157"/>
      <c r="E35" s="157"/>
      <c r="F35" s="157"/>
      <c r="G35" s="157"/>
      <c r="H35" s="157"/>
      <c r="I35" s="185"/>
      <c r="J35" s="159"/>
      <c r="K35" s="157"/>
      <c r="L35" s="157"/>
      <c r="M35" s="157"/>
      <c r="N35" s="158"/>
      <c r="O35" s="159"/>
      <c r="P35" s="157"/>
      <c r="Q35" s="157"/>
      <c r="R35" s="158"/>
    </row>
    <row r="36" spans="1:18" ht="12.75" hidden="1" thickBot="1">
      <c r="A36" s="12"/>
      <c r="B36" s="20" t="s">
        <v>189</v>
      </c>
      <c r="C36" s="33"/>
      <c r="D36" s="160"/>
      <c r="E36" s="160"/>
      <c r="F36" s="160"/>
      <c r="G36" s="160"/>
      <c r="H36" s="160"/>
      <c r="I36" s="186"/>
      <c r="J36" s="162"/>
      <c r="K36" s="160"/>
      <c r="L36" s="160"/>
      <c r="M36" s="160"/>
      <c r="N36" s="161"/>
      <c r="O36" s="162"/>
      <c r="P36" s="160"/>
      <c r="Q36" s="160"/>
      <c r="R36" s="161"/>
    </row>
    <row r="37" spans="1:18" ht="12" hidden="1">
      <c r="A37" s="10" t="s">
        <v>85</v>
      </c>
      <c r="B37" s="15">
        <v>2019</v>
      </c>
      <c r="C37" s="24"/>
      <c r="D37" s="154"/>
      <c r="E37" s="154"/>
      <c r="F37" s="154"/>
      <c r="G37" s="154"/>
      <c r="H37" s="154"/>
      <c r="I37" s="184"/>
      <c r="J37" s="156"/>
      <c r="K37" s="154"/>
      <c r="L37" s="154"/>
      <c r="M37" s="154"/>
      <c r="N37" s="155"/>
      <c r="O37" s="156"/>
      <c r="P37" s="154"/>
      <c r="Q37" s="154"/>
      <c r="R37" s="155"/>
    </row>
    <row r="38" spans="1:18" ht="12" hidden="1">
      <c r="A38" s="11"/>
      <c r="B38" s="9">
        <v>2020</v>
      </c>
      <c r="C38" s="25"/>
      <c r="D38" s="157"/>
      <c r="E38" s="157"/>
      <c r="F38" s="157"/>
      <c r="G38" s="157"/>
      <c r="H38" s="157"/>
      <c r="I38" s="185"/>
      <c r="J38" s="159"/>
      <c r="K38" s="157"/>
      <c r="L38" s="157"/>
      <c r="M38" s="157"/>
      <c r="N38" s="158"/>
      <c r="O38" s="159"/>
      <c r="P38" s="157"/>
      <c r="Q38" s="157"/>
      <c r="R38" s="158"/>
    </row>
    <row r="39" spans="1:18" ht="12" hidden="1">
      <c r="A39" s="11"/>
      <c r="B39" s="9">
        <v>2021</v>
      </c>
      <c r="C39" s="25"/>
      <c r="D39" s="157"/>
      <c r="E39" s="157"/>
      <c r="F39" s="157"/>
      <c r="G39" s="157"/>
      <c r="H39" s="157"/>
      <c r="I39" s="185"/>
      <c r="J39" s="159"/>
      <c r="K39" s="157"/>
      <c r="L39" s="157"/>
      <c r="M39" s="157"/>
      <c r="N39" s="158"/>
      <c r="O39" s="159"/>
      <c r="P39" s="157"/>
      <c r="Q39" s="157"/>
      <c r="R39" s="158"/>
    </row>
    <row r="40" spans="1:18" ht="12.75" hidden="1" thickBot="1">
      <c r="A40" s="12"/>
      <c r="B40" s="20" t="s">
        <v>189</v>
      </c>
      <c r="C40" s="33"/>
      <c r="D40" s="160"/>
      <c r="E40" s="160"/>
      <c r="F40" s="160"/>
      <c r="G40" s="160"/>
      <c r="H40" s="160"/>
      <c r="I40" s="186"/>
      <c r="J40" s="162"/>
      <c r="K40" s="160"/>
      <c r="L40" s="160"/>
      <c r="M40" s="160"/>
      <c r="N40" s="161"/>
      <c r="O40" s="162"/>
      <c r="P40" s="160"/>
      <c r="Q40" s="160"/>
      <c r="R40" s="161"/>
    </row>
    <row r="41" spans="1:18" ht="12" hidden="1">
      <c r="A41" s="10" t="s">
        <v>86</v>
      </c>
      <c r="B41" s="15">
        <v>2019</v>
      </c>
      <c r="C41" s="24"/>
      <c r="D41" s="154"/>
      <c r="E41" s="154"/>
      <c r="F41" s="154"/>
      <c r="G41" s="154"/>
      <c r="H41" s="154"/>
      <c r="I41" s="184"/>
      <c r="J41" s="156"/>
      <c r="K41" s="154"/>
      <c r="L41" s="154"/>
      <c r="M41" s="154"/>
      <c r="N41" s="155"/>
      <c r="O41" s="156"/>
      <c r="P41" s="154"/>
      <c r="Q41" s="154"/>
      <c r="R41" s="155"/>
    </row>
    <row r="42" spans="1:18" ht="12" hidden="1">
      <c r="A42" s="11"/>
      <c r="B42" s="9">
        <v>2020</v>
      </c>
      <c r="C42" s="25"/>
      <c r="D42" s="157"/>
      <c r="E42" s="157"/>
      <c r="F42" s="157"/>
      <c r="G42" s="157"/>
      <c r="H42" s="157"/>
      <c r="I42" s="185"/>
      <c r="J42" s="159"/>
      <c r="K42" s="157"/>
      <c r="L42" s="157"/>
      <c r="M42" s="157"/>
      <c r="N42" s="158"/>
      <c r="O42" s="159"/>
      <c r="P42" s="157"/>
      <c r="Q42" s="157"/>
      <c r="R42" s="158"/>
    </row>
    <row r="43" spans="1:18" ht="12" hidden="1">
      <c r="A43" s="11"/>
      <c r="B43" s="9">
        <v>2021</v>
      </c>
      <c r="C43" s="25"/>
      <c r="D43" s="157"/>
      <c r="E43" s="157"/>
      <c r="F43" s="157"/>
      <c r="G43" s="157"/>
      <c r="H43" s="157"/>
      <c r="I43" s="185"/>
      <c r="J43" s="159"/>
      <c r="K43" s="157"/>
      <c r="L43" s="157"/>
      <c r="M43" s="157"/>
      <c r="N43" s="158"/>
      <c r="O43" s="159"/>
      <c r="P43" s="157"/>
      <c r="Q43" s="157"/>
      <c r="R43" s="158"/>
    </row>
    <row r="44" spans="1:18" ht="12.75" hidden="1" thickBot="1">
      <c r="A44" s="12"/>
      <c r="B44" s="20" t="s">
        <v>189</v>
      </c>
      <c r="C44" s="33"/>
      <c r="D44" s="160"/>
      <c r="E44" s="160"/>
      <c r="F44" s="160"/>
      <c r="G44" s="160"/>
      <c r="H44" s="160"/>
      <c r="I44" s="186"/>
      <c r="J44" s="162"/>
      <c r="K44" s="160"/>
      <c r="L44" s="160"/>
      <c r="M44" s="160"/>
      <c r="N44" s="161"/>
      <c r="O44" s="162"/>
      <c r="P44" s="160"/>
      <c r="Q44" s="160"/>
      <c r="R44" s="161"/>
    </row>
    <row r="45" spans="1:18" ht="12" hidden="1">
      <c r="A45" s="10" t="s">
        <v>87</v>
      </c>
      <c r="B45" s="15">
        <v>2019</v>
      </c>
      <c r="C45" s="24"/>
      <c r="D45" s="154"/>
      <c r="E45" s="154"/>
      <c r="F45" s="154"/>
      <c r="G45" s="154"/>
      <c r="H45" s="154"/>
      <c r="I45" s="184"/>
      <c r="J45" s="156"/>
      <c r="K45" s="154"/>
      <c r="L45" s="154"/>
      <c r="M45" s="154"/>
      <c r="N45" s="155"/>
      <c r="O45" s="156"/>
      <c r="P45" s="154"/>
      <c r="Q45" s="154"/>
      <c r="R45" s="155"/>
    </row>
    <row r="46" spans="1:18" ht="12" hidden="1">
      <c r="A46" s="11"/>
      <c r="B46" s="9">
        <v>2020</v>
      </c>
      <c r="C46" s="25"/>
      <c r="D46" s="157"/>
      <c r="E46" s="157"/>
      <c r="F46" s="157"/>
      <c r="G46" s="157"/>
      <c r="H46" s="157"/>
      <c r="I46" s="185"/>
      <c r="J46" s="159"/>
      <c r="K46" s="157"/>
      <c r="L46" s="157"/>
      <c r="M46" s="157"/>
      <c r="N46" s="158"/>
      <c r="O46" s="159"/>
      <c r="P46" s="157"/>
      <c r="Q46" s="157"/>
      <c r="R46" s="158"/>
    </row>
    <row r="47" spans="1:18" ht="12" hidden="1">
      <c r="A47" s="11"/>
      <c r="B47" s="9">
        <v>2021</v>
      </c>
      <c r="C47" s="25"/>
      <c r="D47" s="157"/>
      <c r="E47" s="157"/>
      <c r="F47" s="157"/>
      <c r="G47" s="157"/>
      <c r="H47" s="157"/>
      <c r="I47" s="185"/>
      <c r="J47" s="159"/>
      <c r="K47" s="157"/>
      <c r="L47" s="157"/>
      <c r="M47" s="157"/>
      <c r="N47" s="158"/>
      <c r="O47" s="159"/>
      <c r="P47" s="157"/>
      <c r="Q47" s="157"/>
      <c r="R47" s="158"/>
    </row>
    <row r="48" spans="1:18" ht="12.75" hidden="1" thickBot="1">
      <c r="A48" s="12"/>
      <c r="B48" s="20" t="s">
        <v>189</v>
      </c>
      <c r="C48" s="33"/>
      <c r="D48" s="160"/>
      <c r="E48" s="160"/>
      <c r="F48" s="160"/>
      <c r="G48" s="160"/>
      <c r="H48" s="160"/>
      <c r="I48" s="186"/>
      <c r="J48" s="162"/>
      <c r="K48" s="160"/>
      <c r="L48" s="160"/>
      <c r="M48" s="160"/>
      <c r="N48" s="161"/>
      <c r="O48" s="162"/>
      <c r="P48" s="160"/>
      <c r="Q48" s="160"/>
      <c r="R48" s="163"/>
    </row>
    <row r="49" spans="1:18" ht="12" hidden="1">
      <c r="A49" s="10" t="s">
        <v>88</v>
      </c>
      <c r="B49" s="15">
        <v>2019</v>
      </c>
      <c r="C49" s="24"/>
      <c r="D49" s="154"/>
      <c r="E49" s="154"/>
      <c r="F49" s="154"/>
      <c r="G49" s="154"/>
      <c r="H49" s="154"/>
      <c r="I49" s="184"/>
      <c r="J49" s="156"/>
      <c r="K49" s="154"/>
      <c r="L49" s="154"/>
      <c r="M49" s="154"/>
      <c r="N49" s="155"/>
      <c r="O49" s="156"/>
      <c r="P49" s="154"/>
      <c r="Q49" s="154"/>
      <c r="R49" s="155"/>
    </row>
    <row r="50" spans="1:18" ht="12" hidden="1">
      <c r="A50" s="11"/>
      <c r="B50" s="9">
        <v>2020</v>
      </c>
      <c r="C50" s="25"/>
      <c r="D50" s="157"/>
      <c r="E50" s="157"/>
      <c r="F50" s="157"/>
      <c r="G50" s="157"/>
      <c r="H50" s="157"/>
      <c r="I50" s="185"/>
      <c r="J50" s="159"/>
      <c r="K50" s="157"/>
      <c r="L50" s="157"/>
      <c r="M50" s="157"/>
      <c r="N50" s="158"/>
      <c r="O50" s="159"/>
      <c r="P50" s="157"/>
      <c r="Q50" s="157"/>
      <c r="R50" s="158"/>
    </row>
    <row r="51" spans="1:18" ht="12" hidden="1">
      <c r="A51" s="11"/>
      <c r="B51" s="9">
        <v>2021</v>
      </c>
      <c r="C51" s="25"/>
      <c r="D51" s="157"/>
      <c r="E51" s="157"/>
      <c r="F51" s="157"/>
      <c r="G51" s="157"/>
      <c r="H51" s="157"/>
      <c r="I51" s="185"/>
      <c r="J51" s="159"/>
      <c r="K51" s="157"/>
      <c r="L51" s="157"/>
      <c r="M51" s="157"/>
      <c r="N51" s="158"/>
      <c r="O51" s="159"/>
      <c r="P51" s="157"/>
      <c r="Q51" s="157"/>
      <c r="R51" s="158"/>
    </row>
    <row r="52" spans="1:18" ht="12.75" hidden="1" thickBot="1">
      <c r="A52" s="12"/>
      <c r="B52" s="20" t="s">
        <v>189</v>
      </c>
      <c r="C52" s="33"/>
      <c r="D52" s="160"/>
      <c r="E52" s="160"/>
      <c r="F52" s="160"/>
      <c r="G52" s="160"/>
      <c r="H52" s="160"/>
      <c r="I52" s="186"/>
      <c r="J52" s="162"/>
      <c r="K52" s="160"/>
      <c r="L52" s="160"/>
      <c r="M52" s="160"/>
      <c r="N52" s="161"/>
      <c r="O52" s="162"/>
      <c r="P52" s="160"/>
      <c r="Q52" s="160"/>
      <c r="R52" s="161"/>
    </row>
    <row r="53" spans="1:18" ht="12" hidden="1">
      <c r="A53" s="10" t="s">
        <v>89</v>
      </c>
      <c r="B53" s="15">
        <v>2019</v>
      </c>
      <c r="C53" s="24"/>
      <c r="D53" s="154"/>
      <c r="E53" s="154"/>
      <c r="F53" s="154"/>
      <c r="G53" s="154"/>
      <c r="H53" s="154"/>
      <c r="I53" s="184"/>
      <c r="J53" s="156"/>
      <c r="K53" s="154"/>
      <c r="L53" s="154"/>
      <c r="M53" s="154"/>
      <c r="N53" s="155"/>
      <c r="O53" s="156"/>
      <c r="P53" s="154"/>
      <c r="Q53" s="154"/>
      <c r="R53" s="155"/>
    </row>
    <row r="54" spans="1:18" ht="12" hidden="1">
      <c r="A54" s="11"/>
      <c r="B54" s="9">
        <v>2020</v>
      </c>
      <c r="C54" s="25"/>
      <c r="D54" s="157"/>
      <c r="E54" s="157"/>
      <c r="F54" s="157"/>
      <c r="G54" s="157"/>
      <c r="H54" s="157"/>
      <c r="I54" s="185"/>
      <c r="J54" s="159"/>
      <c r="K54" s="157"/>
      <c r="L54" s="157"/>
      <c r="M54" s="157"/>
      <c r="N54" s="158"/>
      <c r="O54" s="159"/>
      <c r="P54" s="157"/>
      <c r="Q54" s="157"/>
      <c r="R54" s="158"/>
    </row>
    <row r="55" spans="1:18" ht="12" hidden="1">
      <c r="A55" s="11"/>
      <c r="B55" s="9">
        <v>2021</v>
      </c>
      <c r="C55" s="25"/>
      <c r="D55" s="157"/>
      <c r="E55" s="157"/>
      <c r="F55" s="157"/>
      <c r="G55" s="157"/>
      <c r="H55" s="157"/>
      <c r="I55" s="185"/>
      <c r="J55" s="159"/>
      <c r="K55" s="157"/>
      <c r="L55" s="157"/>
      <c r="M55" s="157"/>
      <c r="N55" s="158"/>
      <c r="O55" s="159"/>
      <c r="P55" s="157"/>
      <c r="Q55" s="157"/>
      <c r="R55" s="158"/>
    </row>
    <row r="56" spans="1:18" ht="12.75" hidden="1" thickBot="1">
      <c r="A56" s="12"/>
      <c r="B56" s="20" t="s">
        <v>189</v>
      </c>
      <c r="C56" s="33"/>
      <c r="D56" s="160"/>
      <c r="E56" s="160"/>
      <c r="F56" s="160"/>
      <c r="G56" s="160"/>
      <c r="H56" s="160"/>
      <c r="I56" s="186"/>
      <c r="J56" s="162"/>
      <c r="K56" s="160"/>
      <c r="L56" s="160"/>
      <c r="M56" s="160"/>
      <c r="N56" s="161"/>
      <c r="O56" s="162"/>
      <c r="P56" s="160"/>
      <c r="Q56" s="160"/>
      <c r="R56" s="161"/>
    </row>
    <row r="57" spans="1:18" ht="12" hidden="1">
      <c r="A57" s="10" t="s">
        <v>90</v>
      </c>
      <c r="B57" s="15">
        <v>2019</v>
      </c>
      <c r="C57" s="24"/>
      <c r="D57" s="154"/>
      <c r="E57" s="154"/>
      <c r="F57" s="154"/>
      <c r="G57" s="154"/>
      <c r="H57" s="154"/>
      <c r="I57" s="184"/>
      <c r="J57" s="156"/>
      <c r="K57" s="154"/>
      <c r="L57" s="154"/>
      <c r="M57" s="154"/>
      <c r="N57" s="155"/>
      <c r="O57" s="156"/>
      <c r="P57" s="154"/>
      <c r="Q57" s="154"/>
      <c r="R57" s="155"/>
    </row>
    <row r="58" spans="1:18" ht="12" hidden="1">
      <c r="A58" s="11"/>
      <c r="B58" s="9">
        <v>2020</v>
      </c>
      <c r="C58" s="25"/>
      <c r="D58" s="157"/>
      <c r="E58" s="157"/>
      <c r="F58" s="157"/>
      <c r="G58" s="157"/>
      <c r="H58" s="157"/>
      <c r="I58" s="185"/>
      <c r="J58" s="159"/>
      <c r="K58" s="157"/>
      <c r="L58" s="157"/>
      <c r="M58" s="157"/>
      <c r="N58" s="158"/>
      <c r="O58" s="159"/>
      <c r="P58" s="157"/>
      <c r="Q58" s="157"/>
      <c r="R58" s="158"/>
    </row>
    <row r="59" spans="1:18" ht="12" hidden="1">
      <c r="A59" s="11"/>
      <c r="B59" s="9">
        <v>2021</v>
      </c>
      <c r="C59" s="25"/>
      <c r="D59" s="157"/>
      <c r="E59" s="157"/>
      <c r="F59" s="157"/>
      <c r="G59" s="157"/>
      <c r="H59" s="157"/>
      <c r="I59" s="185"/>
      <c r="J59" s="159"/>
      <c r="K59" s="157"/>
      <c r="L59" s="157"/>
      <c r="M59" s="157"/>
      <c r="N59" s="158"/>
      <c r="O59" s="159"/>
      <c r="P59" s="157"/>
      <c r="Q59" s="157"/>
      <c r="R59" s="158"/>
    </row>
    <row r="60" spans="1:18" ht="12.75" hidden="1" thickBot="1">
      <c r="A60" s="12"/>
      <c r="B60" s="20" t="s">
        <v>189</v>
      </c>
      <c r="C60" s="33"/>
      <c r="D60" s="160"/>
      <c r="E60" s="160"/>
      <c r="F60" s="160"/>
      <c r="G60" s="160"/>
      <c r="H60" s="160"/>
      <c r="I60" s="186"/>
      <c r="J60" s="162"/>
      <c r="K60" s="160"/>
      <c r="L60" s="160"/>
      <c r="M60" s="160"/>
      <c r="N60" s="161"/>
      <c r="O60" s="162"/>
      <c r="P60" s="160"/>
      <c r="Q60" s="160"/>
      <c r="R60" s="161"/>
    </row>
    <row r="61" spans="1:18" ht="12" hidden="1">
      <c r="A61" s="10" t="s">
        <v>91</v>
      </c>
      <c r="B61" s="15">
        <v>2019</v>
      </c>
      <c r="C61" s="24"/>
      <c r="D61" s="154"/>
      <c r="E61" s="154"/>
      <c r="F61" s="154"/>
      <c r="G61" s="154"/>
      <c r="H61" s="154"/>
      <c r="I61" s="184"/>
      <c r="J61" s="156"/>
      <c r="K61" s="154"/>
      <c r="L61" s="154"/>
      <c r="M61" s="154"/>
      <c r="N61" s="155"/>
      <c r="O61" s="156"/>
      <c r="P61" s="154"/>
      <c r="Q61" s="154"/>
      <c r="R61" s="155"/>
    </row>
    <row r="62" spans="1:18" ht="12" hidden="1">
      <c r="A62" s="11"/>
      <c r="B62" s="9">
        <v>2020</v>
      </c>
      <c r="C62" s="25"/>
      <c r="D62" s="157"/>
      <c r="E62" s="157"/>
      <c r="F62" s="157"/>
      <c r="G62" s="157"/>
      <c r="H62" s="157"/>
      <c r="I62" s="185"/>
      <c r="J62" s="159"/>
      <c r="K62" s="157"/>
      <c r="L62" s="157"/>
      <c r="M62" s="157"/>
      <c r="N62" s="158"/>
      <c r="O62" s="159"/>
      <c r="P62" s="157"/>
      <c r="Q62" s="157"/>
      <c r="R62" s="158"/>
    </row>
    <row r="63" spans="1:18" ht="12" hidden="1">
      <c r="A63" s="11"/>
      <c r="B63" s="9">
        <v>2021</v>
      </c>
      <c r="C63" s="25"/>
      <c r="D63" s="157"/>
      <c r="E63" s="157"/>
      <c r="F63" s="157"/>
      <c r="G63" s="157"/>
      <c r="H63" s="157"/>
      <c r="I63" s="185"/>
      <c r="J63" s="159"/>
      <c r="K63" s="157"/>
      <c r="L63" s="157"/>
      <c r="M63" s="157"/>
      <c r="N63" s="158"/>
      <c r="O63" s="159"/>
      <c r="P63" s="157"/>
      <c r="Q63" s="157"/>
      <c r="R63" s="158"/>
    </row>
    <row r="64" spans="1:18" ht="12.75" hidden="1" thickBot="1">
      <c r="A64" s="12"/>
      <c r="B64" s="20" t="s">
        <v>189</v>
      </c>
      <c r="C64" s="33"/>
      <c r="D64" s="160"/>
      <c r="E64" s="160"/>
      <c r="F64" s="160"/>
      <c r="G64" s="160"/>
      <c r="H64" s="160"/>
      <c r="I64" s="186"/>
      <c r="J64" s="162"/>
      <c r="K64" s="160"/>
      <c r="L64" s="160"/>
      <c r="M64" s="160"/>
      <c r="N64" s="161"/>
      <c r="O64" s="162"/>
      <c r="P64" s="160"/>
      <c r="Q64" s="160"/>
      <c r="R64" s="161"/>
    </row>
    <row r="65" spans="1:18" ht="12" hidden="1">
      <c r="A65" s="10" t="s">
        <v>92</v>
      </c>
      <c r="B65" s="15">
        <v>2019</v>
      </c>
      <c r="C65" s="24"/>
      <c r="D65" s="154"/>
      <c r="E65" s="154"/>
      <c r="F65" s="154"/>
      <c r="G65" s="154"/>
      <c r="H65" s="154"/>
      <c r="I65" s="184"/>
      <c r="J65" s="156"/>
      <c r="K65" s="154"/>
      <c r="L65" s="154"/>
      <c r="M65" s="154"/>
      <c r="N65" s="155"/>
      <c r="O65" s="156"/>
      <c r="P65" s="154"/>
      <c r="Q65" s="154"/>
      <c r="R65" s="155"/>
    </row>
    <row r="66" spans="1:18" ht="12" hidden="1">
      <c r="A66" s="11"/>
      <c r="B66" s="9">
        <v>2020</v>
      </c>
      <c r="C66" s="25"/>
      <c r="D66" s="157"/>
      <c r="E66" s="157"/>
      <c r="F66" s="157"/>
      <c r="G66" s="157"/>
      <c r="H66" s="157"/>
      <c r="I66" s="185"/>
      <c r="J66" s="159"/>
      <c r="K66" s="157"/>
      <c r="L66" s="157"/>
      <c r="M66" s="157"/>
      <c r="N66" s="158"/>
      <c r="O66" s="159"/>
      <c r="P66" s="157"/>
      <c r="Q66" s="157"/>
      <c r="R66" s="158"/>
    </row>
    <row r="67" spans="1:18" ht="12" hidden="1">
      <c r="A67" s="11"/>
      <c r="B67" s="9">
        <v>2021</v>
      </c>
      <c r="C67" s="25"/>
      <c r="D67" s="157"/>
      <c r="E67" s="157"/>
      <c r="F67" s="157"/>
      <c r="G67" s="157"/>
      <c r="H67" s="157"/>
      <c r="I67" s="185"/>
      <c r="J67" s="159"/>
      <c r="K67" s="157"/>
      <c r="L67" s="157"/>
      <c r="M67" s="157"/>
      <c r="N67" s="158"/>
      <c r="O67" s="159"/>
      <c r="P67" s="157"/>
      <c r="Q67" s="157"/>
      <c r="R67" s="158"/>
    </row>
    <row r="68" spans="1:18" ht="12.75" hidden="1" thickBot="1">
      <c r="A68" s="12"/>
      <c r="B68" s="20" t="s">
        <v>189</v>
      </c>
      <c r="C68" s="33"/>
      <c r="D68" s="160"/>
      <c r="E68" s="160"/>
      <c r="F68" s="160"/>
      <c r="G68" s="160"/>
      <c r="H68" s="160"/>
      <c r="I68" s="186"/>
      <c r="J68" s="162"/>
      <c r="K68" s="160"/>
      <c r="L68" s="160"/>
      <c r="M68" s="160"/>
      <c r="N68" s="161"/>
      <c r="O68" s="162"/>
      <c r="P68" s="160"/>
      <c r="Q68" s="160"/>
      <c r="R68" s="161"/>
    </row>
    <row r="69" spans="1:18" ht="12" hidden="1">
      <c r="A69" s="10" t="s">
        <v>93</v>
      </c>
      <c r="B69" s="15">
        <v>2019</v>
      </c>
      <c r="C69" s="24"/>
      <c r="D69" s="154"/>
      <c r="E69" s="154"/>
      <c r="F69" s="154"/>
      <c r="G69" s="154"/>
      <c r="H69" s="154"/>
      <c r="I69" s="184"/>
      <c r="J69" s="156"/>
      <c r="K69" s="154"/>
      <c r="L69" s="154"/>
      <c r="M69" s="154"/>
      <c r="N69" s="155"/>
      <c r="O69" s="156"/>
      <c r="P69" s="154"/>
      <c r="Q69" s="154"/>
      <c r="R69" s="155"/>
    </row>
    <row r="70" spans="1:18" ht="12" hidden="1">
      <c r="A70" s="11"/>
      <c r="B70" s="9">
        <v>2020</v>
      </c>
      <c r="C70" s="25"/>
      <c r="D70" s="157"/>
      <c r="E70" s="157"/>
      <c r="F70" s="157"/>
      <c r="G70" s="157"/>
      <c r="H70" s="157"/>
      <c r="I70" s="185"/>
      <c r="J70" s="159"/>
      <c r="K70" s="157"/>
      <c r="L70" s="157"/>
      <c r="M70" s="157"/>
      <c r="N70" s="158"/>
      <c r="O70" s="159"/>
      <c r="P70" s="157"/>
      <c r="Q70" s="157"/>
      <c r="R70" s="158"/>
    </row>
    <row r="71" spans="1:18" ht="12" hidden="1">
      <c r="A71" s="11"/>
      <c r="B71" s="9">
        <v>2021</v>
      </c>
      <c r="C71" s="25"/>
      <c r="D71" s="157"/>
      <c r="E71" s="157"/>
      <c r="F71" s="157"/>
      <c r="G71" s="157"/>
      <c r="H71" s="157"/>
      <c r="I71" s="185"/>
      <c r="J71" s="159"/>
      <c r="K71" s="157"/>
      <c r="L71" s="157"/>
      <c r="M71" s="157"/>
      <c r="N71" s="158"/>
      <c r="O71" s="159"/>
      <c r="P71" s="157"/>
      <c r="Q71" s="157"/>
      <c r="R71" s="158"/>
    </row>
    <row r="72" spans="1:18" ht="12.75" hidden="1" thickBot="1">
      <c r="A72" s="12"/>
      <c r="B72" s="20" t="s">
        <v>189</v>
      </c>
      <c r="C72" s="33"/>
      <c r="D72" s="160"/>
      <c r="E72" s="160"/>
      <c r="F72" s="160"/>
      <c r="G72" s="160"/>
      <c r="H72" s="160"/>
      <c r="I72" s="186"/>
      <c r="J72" s="162"/>
      <c r="K72" s="160"/>
      <c r="L72" s="160"/>
      <c r="M72" s="160"/>
      <c r="N72" s="161"/>
      <c r="O72" s="162"/>
      <c r="P72" s="160"/>
      <c r="Q72" s="160"/>
      <c r="R72" s="161"/>
    </row>
    <row r="73" spans="1:18" ht="12" hidden="1">
      <c r="A73" s="10" t="s">
        <v>94</v>
      </c>
      <c r="B73" s="15">
        <v>2019</v>
      </c>
      <c r="C73" s="24"/>
      <c r="D73" s="154"/>
      <c r="E73" s="154"/>
      <c r="F73" s="154"/>
      <c r="G73" s="154"/>
      <c r="H73" s="154"/>
      <c r="I73" s="184"/>
      <c r="J73" s="156"/>
      <c r="K73" s="154"/>
      <c r="L73" s="154"/>
      <c r="M73" s="154"/>
      <c r="N73" s="155"/>
      <c r="O73" s="156"/>
      <c r="P73" s="154"/>
      <c r="Q73" s="154"/>
      <c r="R73" s="155"/>
    </row>
    <row r="74" spans="1:18" ht="12" hidden="1">
      <c r="A74" s="11"/>
      <c r="B74" s="9">
        <v>2020</v>
      </c>
      <c r="C74" s="25"/>
      <c r="D74" s="157"/>
      <c r="E74" s="157"/>
      <c r="F74" s="157"/>
      <c r="G74" s="157"/>
      <c r="H74" s="157"/>
      <c r="I74" s="185"/>
      <c r="J74" s="159"/>
      <c r="K74" s="157"/>
      <c r="L74" s="157"/>
      <c r="M74" s="157"/>
      <c r="N74" s="158"/>
      <c r="O74" s="159"/>
      <c r="P74" s="157"/>
      <c r="Q74" s="157"/>
      <c r="R74" s="158"/>
    </row>
    <row r="75" spans="1:18" ht="12" hidden="1">
      <c r="A75" s="11"/>
      <c r="B75" s="9">
        <v>2021</v>
      </c>
      <c r="C75" s="25"/>
      <c r="D75" s="157"/>
      <c r="E75" s="157"/>
      <c r="F75" s="157"/>
      <c r="G75" s="157"/>
      <c r="H75" s="157"/>
      <c r="I75" s="185"/>
      <c r="J75" s="159"/>
      <c r="K75" s="157"/>
      <c r="L75" s="157"/>
      <c r="M75" s="157"/>
      <c r="N75" s="158"/>
      <c r="O75" s="159"/>
      <c r="P75" s="157"/>
      <c r="Q75" s="157"/>
      <c r="R75" s="158"/>
    </row>
    <row r="76" spans="1:18" ht="12.75" hidden="1" thickBot="1">
      <c r="A76" s="12"/>
      <c r="B76" s="20" t="s">
        <v>189</v>
      </c>
      <c r="C76" s="33"/>
      <c r="D76" s="160"/>
      <c r="E76" s="160"/>
      <c r="F76" s="160"/>
      <c r="G76" s="160"/>
      <c r="H76" s="160"/>
      <c r="I76" s="186"/>
      <c r="J76" s="162"/>
      <c r="K76" s="160"/>
      <c r="L76" s="160"/>
      <c r="M76" s="160"/>
      <c r="N76" s="161"/>
      <c r="O76" s="162"/>
      <c r="P76" s="160"/>
      <c r="Q76" s="160"/>
      <c r="R76" s="161"/>
    </row>
    <row r="77" spans="1:18" ht="12" hidden="1">
      <c r="A77" s="10" t="s">
        <v>95</v>
      </c>
      <c r="B77" s="15">
        <v>2019</v>
      </c>
      <c r="C77" s="24"/>
      <c r="D77" s="154"/>
      <c r="E77" s="154"/>
      <c r="F77" s="154"/>
      <c r="G77" s="154"/>
      <c r="H77" s="154"/>
      <c r="I77" s="184"/>
      <c r="J77" s="156"/>
      <c r="K77" s="154"/>
      <c r="L77" s="154"/>
      <c r="M77" s="154"/>
      <c r="N77" s="155"/>
      <c r="O77" s="156"/>
      <c r="P77" s="154"/>
      <c r="Q77" s="154"/>
      <c r="R77" s="155"/>
    </row>
    <row r="78" spans="1:18" ht="12" hidden="1">
      <c r="A78" s="11"/>
      <c r="B78" s="9">
        <v>2020</v>
      </c>
      <c r="C78" s="25"/>
      <c r="D78" s="157"/>
      <c r="E78" s="157"/>
      <c r="F78" s="157"/>
      <c r="G78" s="157"/>
      <c r="H78" s="157"/>
      <c r="I78" s="185"/>
      <c r="J78" s="159"/>
      <c r="K78" s="157"/>
      <c r="L78" s="157"/>
      <c r="M78" s="157"/>
      <c r="N78" s="158"/>
      <c r="O78" s="159"/>
      <c r="P78" s="157"/>
      <c r="Q78" s="157"/>
      <c r="R78" s="158"/>
    </row>
    <row r="79" spans="1:18" ht="12" hidden="1">
      <c r="A79" s="11"/>
      <c r="B79" s="9">
        <v>2021</v>
      </c>
      <c r="C79" s="25"/>
      <c r="D79" s="157"/>
      <c r="E79" s="157"/>
      <c r="F79" s="157"/>
      <c r="G79" s="157"/>
      <c r="H79" s="157"/>
      <c r="I79" s="185"/>
      <c r="J79" s="159"/>
      <c r="K79" s="157"/>
      <c r="L79" s="157"/>
      <c r="M79" s="157"/>
      <c r="N79" s="158"/>
      <c r="O79" s="159"/>
      <c r="P79" s="157"/>
      <c r="Q79" s="157"/>
      <c r="R79" s="158"/>
    </row>
    <row r="80" spans="1:18" ht="12.75" hidden="1" thickBot="1">
      <c r="A80" s="12"/>
      <c r="B80" s="20" t="s">
        <v>189</v>
      </c>
      <c r="C80" s="33"/>
      <c r="D80" s="160"/>
      <c r="E80" s="160"/>
      <c r="F80" s="160"/>
      <c r="G80" s="160"/>
      <c r="H80" s="160"/>
      <c r="I80" s="186"/>
      <c r="J80" s="162"/>
      <c r="K80" s="160"/>
      <c r="L80" s="160"/>
      <c r="M80" s="160"/>
      <c r="N80" s="161"/>
      <c r="O80" s="162"/>
      <c r="P80" s="160"/>
      <c r="Q80" s="160"/>
      <c r="R80" s="161"/>
    </row>
    <row r="81" spans="1:18" ht="12" hidden="1">
      <c r="A81" s="10" t="s">
        <v>96</v>
      </c>
      <c r="B81" s="15">
        <v>2019</v>
      </c>
      <c r="C81" s="24"/>
      <c r="D81" s="154"/>
      <c r="E81" s="154"/>
      <c r="F81" s="154"/>
      <c r="G81" s="154"/>
      <c r="H81" s="154"/>
      <c r="I81" s="184"/>
      <c r="J81" s="156"/>
      <c r="K81" s="154"/>
      <c r="L81" s="154"/>
      <c r="M81" s="154"/>
      <c r="N81" s="155"/>
      <c r="O81" s="156"/>
      <c r="P81" s="154"/>
      <c r="Q81" s="154"/>
      <c r="R81" s="155"/>
    </row>
    <row r="82" spans="1:18" ht="12" hidden="1">
      <c r="A82" s="11"/>
      <c r="B82" s="9">
        <v>2020</v>
      </c>
      <c r="C82" s="25"/>
      <c r="D82" s="157"/>
      <c r="E82" s="157"/>
      <c r="F82" s="157"/>
      <c r="G82" s="157"/>
      <c r="H82" s="157"/>
      <c r="I82" s="185"/>
      <c r="J82" s="159"/>
      <c r="K82" s="157"/>
      <c r="L82" s="157"/>
      <c r="M82" s="157"/>
      <c r="N82" s="158"/>
      <c r="O82" s="159"/>
      <c r="P82" s="157"/>
      <c r="Q82" s="157"/>
      <c r="R82" s="158"/>
    </row>
    <row r="83" spans="1:18" ht="12" hidden="1">
      <c r="A83" s="11"/>
      <c r="B83" s="9">
        <v>2021</v>
      </c>
      <c r="C83" s="25"/>
      <c r="D83" s="157"/>
      <c r="E83" s="157"/>
      <c r="F83" s="157"/>
      <c r="G83" s="157"/>
      <c r="H83" s="157"/>
      <c r="I83" s="185"/>
      <c r="J83" s="159"/>
      <c r="K83" s="157"/>
      <c r="L83" s="157"/>
      <c r="M83" s="157"/>
      <c r="N83" s="158"/>
      <c r="O83" s="159"/>
      <c r="P83" s="157"/>
      <c r="Q83" s="157"/>
      <c r="R83" s="158"/>
    </row>
    <row r="84" spans="1:18" ht="12.75" hidden="1" thickBot="1">
      <c r="A84" s="12"/>
      <c r="B84" s="20" t="s">
        <v>189</v>
      </c>
      <c r="C84" s="33"/>
      <c r="D84" s="160"/>
      <c r="E84" s="160"/>
      <c r="F84" s="160"/>
      <c r="G84" s="160"/>
      <c r="H84" s="160"/>
      <c r="I84" s="186"/>
      <c r="J84" s="162"/>
      <c r="K84" s="160"/>
      <c r="L84" s="160"/>
      <c r="M84" s="160"/>
      <c r="N84" s="161"/>
      <c r="O84" s="162"/>
      <c r="P84" s="160"/>
      <c r="Q84" s="160"/>
      <c r="R84" s="161"/>
    </row>
    <row r="85" spans="1:18" ht="12" hidden="1">
      <c r="A85" s="10" t="s">
        <v>97</v>
      </c>
      <c r="B85" s="15">
        <v>2019</v>
      </c>
      <c r="C85" s="24"/>
      <c r="D85" s="154"/>
      <c r="E85" s="154"/>
      <c r="F85" s="154"/>
      <c r="G85" s="154"/>
      <c r="H85" s="154"/>
      <c r="I85" s="184"/>
      <c r="J85" s="156"/>
      <c r="K85" s="154"/>
      <c r="L85" s="154"/>
      <c r="M85" s="154"/>
      <c r="N85" s="155"/>
      <c r="O85" s="156"/>
      <c r="P85" s="154"/>
      <c r="Q85" s="154"/>
      <c r="R85" s="155"/>
    </row>
    <row r="86" spans="1:18" ht="12" hidden="1">
      <c r="A86" s="11"/>
      <c r="B86" s="9">
        <v>2020</v>
      </c>
      <c r="C86" s="25"/>
      <c r="D86" s="157"/>
      <c r="E86" s="157"/>
      <c r="F86" s="157"/>
      <c r="G86" s="157"/>
      <c r="H86" s="157"/>
      <c r="I86" s="185"/>
      <c r="J86" s="159"/>
      <c r="K86" s="157"/>
      <c r="L86" s="157"/>
      <c r="M86" s="157"/>
      <c r="N86" s="158"/>
      <c r="O86" s="159"/>
      <c r="P86" s="157"/>
      <c r="Q86" s="157"/>
      <c r="R86" s="158"/>
    </row>
    <row r="87" spans="1:18" ht="12" hidden="1">
      <c r="A87" s="11"/>
      <c r="B87" s="9">
        <v>2021</v>
      </c>
      <c r="C87" s="25"/>
      <c r="D87" s="157"/>
      <c r="E87" s="157"/>
      <c r="F87" s="157"/>
      <c r="G87" s="157"/>
      <c r="H87" s="157"/>
      <c r="I87" s="185"/>
      <c r="J87" s="159"/>
      <c r="K87" s="157"/>
      <c r="L87" s="157"/>
      <c r="M87" s="157"/>
      <c r="N87" s="158"/>
      <c r="O87" s="159"/>
      <c r="P87" s="157"/>
      <c r="Q87" s="157"/>
      <c r="R87" s="158"/>
    </row>
    <row r="88" spans="1:18" ht="12.75" hidden="1" thickBot="1">
      <c r="A88" s="12"/>
      <c r="B88" s="20" t="s">
        <v>189</v>
      </c>
      <c r="C88" s="33"/>
      <c r="D88" s="160"/>
      <c r="E88" s="160"/>
      <c r="F88" s="160"/>
      <c r="G88" s="160"/>
      <c r="H88" s="160"/>
      <c r="I88" s="186"/>
      <c r="J88" s="162"/>
      <c r="K88" s="160"/>
      <c r="L88" s="160"/>
      <c r="M88" s="160"/>
      <c r="N88" s="161"/>
      <c r="O88" s="162"/>
      <c r="P88" s="160"/>
      <c r="Q88" s="160"/>
      <c r="R88" s="161"/>
    </row>
    <row r="89" spans="1:18" ht="12" hidden="1">
      <c r="A89" s="10" t="s">
        <v>98</v>
      </c>
      <c r="B89" s="15">
        <v>2019</v>
      </c>
      <c r="C89" s="24"/>
      <c r="D89" s="154"/>
      <c r="E89" s="154"/>
      <c r="F89" s="154"/>
      <c r="G89" s="154"/>
      <c r="H89" s="154"/>
      <c r="I89" s="184"/>
      <c r="J89" s="156"/>
      <c r="K89" s="154"/>
      <c r="L89" s="154"/>
      <c r="M89" s="154"/>
      <c r="N89" s="155"/>
      <c r="O89" s="156"/>
      <c r="P89" s="154"/>
      <c r="Q89" s="154"/>
      <c r="R89" s="155"/>
    </row>
    <row r="90" spans="1:18" ht="12" hidden="1">
      <c r="A90" s="11"/>
      <c r="B90" s="9">
        <v>2020</v>
      </c>
      <c r="C90" s="25"/>
      <c r="D90" s="157"/>
      <c r="E90" s="157"/>
      <c r="F90" s="157"/>
      <c r="G90" s="157"/>
      <c r="H90" s="157"/>
      <c r="I90" s="185"/>
      <c r="J90" s="159"/>
      <c r="K90" s="157"/>
      <c r="L90" s="157"/>
      <c r="M90" s="157"/>
      <c r="N90" s="158"/>
      <c r="O90" s="159"/>
      <c r="P90" s="157"/>
      <c r="Q90" s="157"/>
      <c r="R90" s="158"/>
    </row>
    <row r="91" spans="1:18" ht="12" hidden="1">
      <c r="A91" s="11"/>
      <c r="B91" s="9">
        <v>2021</v>
      </c>
      <c r="C91" s="25"/>
      <c r="D91" s="157"/>
      <c r="E91" s="157"/>
      <c r="F91" s="157"/>
      <c r="G91" s="157"/>
      <c r="H91" s="157"/>
      <c r="I91" s="185"/>
      <c r="J91" s="159"/>
      <c r="K91" s="157"/>
      <c r="L91" s="157"/>
      <c r="M91" s="157"/>
      <c r="N91" s="158"/>
      <c r="O91" s="159"/>
      <c r="P91" s="157"/>
      <c r="Q91" s="157"/>
      <c r="R91" s="158"/>
    </row>
    <row r="92" spans="1:18" ht="12.75" hidden="1" thickBot="1">
      <c r="A92" s="12"/>
      <c r="B92" s="20" t="s">
        <v>189</v>
      </c>
      <c r="C92" s="33"/>
      <c r="D92" s="160"/>
      <c r="E92" s="160"/>
      <c r="F92" s="160"/>
      <c r="G92" s="160"/>
      <c r="H92" s="160"/>
      <c r="I92" s="186"/>
      <c r="J92" s="162"/>
      <c r="K92" s="160"/>
      <c r="L92" s="160"/>
      <c r="M92" s="160"/>
      <c r="N92" s="161"/>
      <c r="O92" s="162"/>
      <c r="P92" s="160"/>
      <c r="Q92" s="160"/>
      <c r="R92" s="161"/>
    </row>
    <row r="93" spans="1:18" ht="12" hidden="1">
      <c r="A93" s="10" t="s">
        <v>99</v>
      </c>
      <c r="B93" s="15">
        <v>2019</v>
      </c>
      <c r="C93" s="24"/>
      <c r="D93" s="154"/>
      <c r="E93" s="154"/>
      <c r="F93" s="154"/>
      <c r="G93" s="154"/>
      <c r="H93" s="154"/>
      <c r="I93" s="184"/>
      <c r="J93" s="156"/>
      <c r="K93" s="154"/>
      <c r="L93" s="154"/>
      <c r="M93" s="154"/>
      <c r="N93" s="155"/>
      <c r="O93" s="156"/>
      <c r="P93" s="154"/>
      <c r="Q93" s="154"/>
      <c r="R93" s="155"/>
    </row>
    <row r="94" spans="1:18" ht="12" hidden="1">
      <c r="A94" s="11"/>
      <c r="B94" s="9">
        <v>2020</v>
      </c>
      <c r="C94" s="25"/>
      <c r="D94" s="157"/>
      <c r="E94" s="157"/>
      <c r="F94" s="157"/>
      <c r="G94" s="157"/>
      <c r="H94" s="157"/>
      <c r="I94" s="185"/>
      <c r="J94" s="159"/>
      <c r="K94" s="157"/>
      <c r="L94" s="157"/>
      <c r="M94" s="157"/>
      <c r="N94" s="158"/>
      <c r="O94" s="159"/>
      <c r="P94" s="157"/>
      <c r="Q94" s="157"/>
      <c r="R94" s="158"/>
    </row>
    <row r="95" spans="1:18" ht="12" hidden="1">
      <c r="A95" s="11"/>
      <c r="B95" s="9">
        <v>2021</v>
      </c>
      <c r="C95" s="25"/>
      <c r="D95" s="157"/>
      <c r="E95" s="157"/>
      <c r="F95" s="157"/>
      <c r="G95" s="157"/>
      <c r="H95" s="157"/>
      <c r="I95" s="185"/>
      <c r="J95" s="159"/>
      <c r="K95" s="157"/>
      <c r="L95" s="157"/>
      <c r="M95" s="157"/>
      <c r="N95" s="158"/>
      <c r="O95" s="159"/>
      <c r="P95" s="157"/>
      <c r="Q95" s="157"/>
      <c r="R95" s="158"/>
    </row>
    <row r="96" spans="1:18" ht="12.75" hidden="1" thickBot="1">
      <c r="A96" s="12"/>
      <c r="B96" s="20" t="s">
        <v>189</v>
      </c>
      <c r="C96" s="33"/>
      <c r="D96" s="160"/>
      <c r="E96" s="160"/>
      <c r="F96" s="160"/>
      <c r="G96" s="160"/>
      <c r="H96" s="160"/>
      <c r="I96" s="186"/>
      <c r="J96" s="162"/>
      <c r="K96" s="160"/>
      <c r="L96" s="160"/>
      <c r="M96" s="160"/>
      <c r="N96" s="161"/>
      <c r="O96" s="162"/>
      <c r="P96" s="160"/>
      <c r="Q96" s="160"/>
      <c r="R96" s="163"/>
    </row>
    <row r="97" spans="1:18" ht="12" hidden="1">
      <c r="A97" s="10" t="s">
        <v>100</v>
      </c>
      <c r="B97" s="15">
        <v>2019</v>
      </c>
      <c r="C97" s="24"/>
      <c r="D97" s="154"/>
      <c r="E97" s="154"/>
      <c r="F97" s="154"/>
      <c r="G97" s="154"/>
      <c r="H97" s="154"/>
      <c r="I97" s="184"/>
      <c r="J97" s="156"/>
      <c r="K97" s="154"/>
      <c r="L97" s="154"/>
      <c r="M97" s="154"/>
      <c r="N97" s="155"/>
      <c r="O97" s="156"/>
      <c r="P97" s="154"/>
      <c r="Q97" s="154"/>
      <c r="R97" s="155"/>
    </row>
    <row r="98" spans="1:18" ht="12" hidden="1">
      <c r="A98" s="11"/>
      <c r="B98" s="9">
        <v>2020</v>
      </c>
      <c r="C98" s="25"/>
      <c r="D98" s="157"/>
      <c r="E98" s="157"/>
      <c r="F98" s="157"/>
      <c r="G98" s="157"/>
      <c r="H98" s="157"/>
      <c r="I98" s="185"/>
      <c r="J98" s="159"/>
      <c r="K98" s="157"/>
      <c r="L98" s="157"/>
      <c r="M98" s="157"/>
      <c r="N98" s="158"/>
      <c r="O98" s="159"/>
      <c r="P98" s="157"/>
      <c r="Q98" s="157"/>
      <c r="R98" s="158"/>
    </row>
    <row r="99" spans="1:18" ht="12" hidden="1">
      <c r="A99" s="11"/>
      <c r="B99" s="9">
        <v>2021</v>
      </c>
      <c r="C99" s="25"/>
      <c r="D99" s="157"/>
      <c r="E99" s="157"/>
      <c r="F99" s="157"/>
      <c r="G99" s="157"/>
      <c r="H99" s="157"/>
      <c r="I99" s="185"/>
      <c r="J99" s="159"/>
      <c r="K99" s="157"/>
      <c r="L99" s="157"/>
      <c r="M99" s="157"/>
      <c r="N99" s="158"/>
      <c r="O99" s="159"/>
      <c r="P99" s="157"/>
      <c r="Q99" s="157"/>
      <c r="R99" s="158"/>
    </row>
    <row r="100" spans="1:18" ht="12.75" hidden="1" thickBot="1">
      <c r="A100" s="12"/>
      <c r="B100" s="20" t="s">
        <v>189</v>
      </c>
      <c r="C100" s="33"/>
      <c r="D100" s="160"/>
      <c r="E100" s="160"/>
      <c r="F100" s="160"/>
      <c r="G100" s="160"/>
      <c r="H100" s="160"/>
      <c r="I100" s="186"/>
      <c r="J100" s="162"/>
      <c r="K100" s="160"/>
      <c r="L100" s="160"/>
      <c r="M100" s="160"/>
      <c r="N100" s="161"/>
      <c r="O100" s="162"/>
      <c r="P100" s="160"/>
      <c r="Q100" s="160"/>
      <c r="R100" s="161"/>
    </row>
    <row r="101" spans="1:18" ht="12" hidden="1">
      <c r="A101" s="10" t="s">
        <v>101</v>
      </c>
      <c r="B101" s="15">
        <v>2019</v>
      </c>
      <c r="C101" s="24"/>
      <c r="D101" s="154"/>
      <c r="E101" s="154"/>
      <c r="F101" s="154"/>
      <c r="G101" s="154"/>
      <c r="H101" s="154"/>
      <c r="I101" s="184"/>
      <c r="J101" s="156"/>
      <c r="K101" s="154"/>
      <c r="L101" s="154"/>
      <c r="M101" s="154"/>
      <c r="N101" s="155"/>
      <c r="O101" s="156"/>
      <c r="P101" s="154"/>
      <c r="Q101" s="154"/>
      <c r="R101" s="155"/>
    </row>
    <row r="102" spans="1:18" ht="12" hidden="1">
      <c r="A102" s="11"/>
      <c r="B102" s="9">
        <v>2020</v>
      </c>
      <c r="C102" s="25"/>
      <c r="D102" s="157"/>
      <c r="E102" s="157"/>
      <c r="F102" s="157"/>
      <c r="G102" s="157"/>
      <c r="H102" s="157"/>
      <c r="I102" s="185"/>
      <c r="J102" s="159"/>
      <c r="K102" s="157"/>
      <c r="L102" s="157"/>
      <c r="M102" s="157"/>
      <c r="N102" s="158"/>
      <c r="O102" s="159"/>
      <c r="P102" s="157"/>
      <c r="Q102" s="157"/>
      <c r="R102" s="158"/>
    </row>
    <row r="103" spans="1:18" ht="12" hidden="1">
      <c r="A103" s="11"/>
      <c r="B103" s="9">
        <v>2021</v>
      </c>
      <c r="C103" s="25"/>
      <c r="D103" s="157"/>
      <c r="E103" s="157"/>
      <c r="F103" s="157"/>
      <c r="G103" s="157"/>
      <c r="H103" s="157"/>
      <c r="I103" s="185"/>
      <c r="J103" s="159"/>
      <c r="K103" s="157"/>
      <c r="L103" s="157"/>
      <c r="M103" s="157"/>
      <c r="N103" s="158"/>
      <c r="O103" s="159"/>
      <c r="P103" s="157"/>
      <c r="Q103" s="157"/>
      <c r="R103" s="158"/>
    </row>
    <row r="104" spans="1:18" ht="12.75" hidden="1" thickBot="1">
      <c r="A104" s="12"/>
      <c r="B104" s="20" t="s">
        <v>189</v>
      </c>
      <c r="C104" s="33"/>
      <c r="D104" s="160"/>
      <c r="E104" s="160"/>
      <c r="F104" s="160"/>
      <c r="G104" s="160"/>
      <c r="H104" s="160"/>
      <c r="I104" s="186"/>
      <c r="J104" s="162"/>
      <c r="K104" s="160"/>
      <c r="L104" s="160"/>
      <c r="M104" s="160"/>
      <c r="N104" s="161"/>
      <c r="O104" s="162"/>
      <c r="P104" s="160"/>
      <c r="Q104" s="160"/>
      <c r="R104" s="161"/>
    </row>
    <row r="105" spans="1:18" ht="12">
      <c r="A105" s="17" t="s">
        <v>2</v>
      </c>
      <c r="B105" s="15">
        <v>2019</v>
      </c>
      <c r="C105" s="37"/>
      <c r="D105" s="166">
        <f>D25</f>
        <v>28794180</v>
      </c>
      <c r="E105" s="166">
        <f aca="true" t="shared" si="1" ref="E105:R105">E25</f>
        <v>2932148</v>
      </c>
      <c r="F105" s="166">
        <f t="shared" si="1"/>
        <v>10676499</v>
      </c>
      <c r="G105" s="166">
        <f t="shared" si="1"/>
        <v>42000</v>
      </c>
      <c r="H105" s="166">
        <f t="shared" si="1"/>
        <v>514838</v>
      </c>
      <c r="I105" s="180">
        <f t="shared" si="1"/>
        <v>42959665</v>
      </c>
      <c r="J105" s="168">
        <f t="shared" si="1"/>
        <v>0</v>
      </c>
      <c r="K105" s="166">
        <f t="shared" si="1"/>
        <v>0</v>
      </c>
      <c r="L105" s="166">
        <f t="shared" si="1"/>
        <v>10072152</v>
      </c>
      <c r="M105" s="166">
        <f t="shared" si="1"/>
        <v>0</v>
      </c>
      <c r="N105" s="171">
        <f t="shared" si="1"/>
        <v>10072152</v>
      </c>
      <c r="O105" s="168">
        <f t="shared" si="1"/>
        <v>0</v>
      </c>
      <c r="P105" s="166">
        <f t="shared" si="1"/>
        <v>0</v>
      </c>
      <c r="Q105" s="178">
        <f t="shared" si="1"/>
        <v>53031817</v>
      </c>
      <c r="R105" s="167">
        <f t="shared" si="1"/>
        <v>0</v>
      </c>
    </row>
    <row r="106" spans="1:18" ht="12">
      <c r="A106" s="13"/>
      <c r="B106" s="9">
        <v>2020</v>
      </c>
      <c r="C106" s="25"/>
      <c r="D106" s="169">
        <f>D26</f>
        <v>29409239</v>
      </c>
      <c r="E106" s="169">
        <f aca="true" t="shared" si="2" ref="E106:I108">E26</f>
        <v>2727485</v>
      </c>
      <c r="F106" s="169">
        <f t="shared" si="2"/>
        <v>10219192</v>
      </c>
      <c r="G106" s="169">
        <f t="shared" si="2"/>
        <v>118000</v>
      </c>
      <c r="H106" s="169">
        <f t="shared" si="2"/>
        <v>514838</v>
      </c>
      <c r="I106" s="188">
        <f t="shared" si="2"/>
        <v>42988754</v>
      </c>
      <c r="J106" s="159"/>
      <c r="K106" s="157"/>
      <c r="L106" s="169">
        <f>L26</f>
        <v>767868</v>
      </c>
      <c r="M106" s="157"/>
      <c r="N106" s="188">
        <f>N26</f>
        <v>767868</v>
      </c>
      <c r="O106" s="165"/>
      <c r="P106" s="164"/>
      <c r="Q106" s="188">
        <f>Q26</f>
        <v>43756622</v>
      </c>
      <c r="R106" s="158"/>
    </row>
    <row r="107" spans="1:18" ht="12">
      <c r="A107" s="13"/>
      <c r="B107" s="9">
        <v>2021</v>
      </c>
      <c r="C107" s="25"/>
      <c r="D107" s="170">
        <f>D27</f>
        <v>29149045</v>
      </c>
      <c r="E107" s="170">
        <f t="shared" si="2"/>
        <v>2798753</v>
      </c>
      <c r="F107" s="170">
        <f t="shared" si="2"/>
        <v>12282578</v>
      </c>
      <c r="G107" s="170">
        <f t="shared" si="2"/>
        <v>140300</v>
      </c>
      <c r="H107" s="170">
        <f t="shared" si="2"/>
        <v>514838</v>
      </c>
      <c r="I107" s="189">
        <f t="shared" si="2"/>
        <v>44885514</v>
      </c>
      <c r="J107" s="159"/>
      <c r="K107" s="157"/>
      <c r="L107" s="170">
        <f>L27</f>
        <v>1086500</v>
      </c>
      <c r="M107" s="157"/>
      <c r="N107" s="189">
        <f>N27</f>
        <v>1086500</v>
      </c>
      <c r="O107" s="159"/>
      <c r="P107" s="157"/>
      <c r="Q107" s="189">
        <f>Q27</f>
        <v>45972014</v>
      </c>
      <c r="R107" s="158"/>
    </row>
    <row r="108" spans="1:18" ht="12.75" thickBot="1">
      <c r="A108" s="12"/>
      <c r="B108" s="20" t="s">
        <v>189</v>
      </c>
      <c r="C108" s="33"/>
      <c r="D108" s="190">
        <f>D28</f>
        <v>-0.008847355757828348</v>
      </c>
      <c r="E108" s="190">
        <f t="shared" si="2"/>
        <v>0.026129566248760304</v>
      </c>
      <c r="F108" s="190">
        <f t="shared" si="2"/>
        <v>0.20191283224740272</v>
      </c>
      <c r="G108" s="190">
        <f t="shared" si="2"/>
        <v>0.18898305084745762</v>
      </c>
      <c r="H108" s="190">
        <f t="shared" si="2"/>
        <v>0</v>
      </c>
      <c r="I108" s="190">
        <f t="shared" si="2"/>
        <v>0.04412223717858861</v>
      </c>
      <c r="J108" s="162"/>
      <c r="K108" s="160"/>
      <c r="L108" s="176">
        <f>(L107-L106)/L106</f>
        <v>0.4149567373558997</v>
      </c>
      <c r="M108" s="160"/>
      <c r="N108" s="176">
        <f>(N107-N106)/N106</f>
        <v>0.4149567373558997</v>
      </c>
      <c r="O108" s="162"/>
      <c r="P108" s="160"/>
      <c r="Q108" s="190">
        <f>Q28</f>
        <v>0.050629868091737064</v>
      </c>
      <c r="R108" s="161"/>
    </row>
  </sheetData>
  <sheetProtection/>
  <mergeCells count="6">
    <mergeCell ref="Q3:R3"/>
    <mergeCell ref="A3:A4"/>
    <mergeCell ref="C3:I3"/>
    <mergeCell ref="J3:N3"/>
    <mergeCell ref="O3:P3"/>
    <mergeCell ref="B3:B4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1" r:id="rId1"/>
  <headerFooter alignWithMargins="0">
    <oddHeader>&amp;C&amp;"Arial,Negrita"&amp;18PROYECTO DE PRESUPUESTO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>Congreso de la República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Directiva Formulaicón de Presupuesto (V 2008)</dc:title>
  <dc:subject/>
  <dc:creator>Asesoria de Presupuesto</dc:creator>
  <cp:keywords/>
  <dc:description/>
  <cp:lastModifiedBy>pined</cp:lastModifiedBy>
  <cp:lastPrinted>2020-09-29T19:33:36Z</cp:lastPrinted>
  <dcterms:created xsi:type="dcterms:W3CDTF">1998-08-20T20:27:58Z</dcterms:created>
  <dcterms:modified xsi:type="dcterms:W3CDTF">2020-10-02T18:16:36Z</dcterms:modified>
  <cp:category/>
  <cp:version/>
  <cp:contentType/>
  <cp:contentStatus/>
</cp:coreProperties>
</file>